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2C543501-6ADF-4BFA-B2BA-F9B8C8BACDD5}" xr6:coauthVersionLast="47" xr6:coauthVersionMax="47" xr10:uidLastSave="{00000000-0000-0000-0000-000000000000}"/>
  <bookViews>
    <workbookView xWindow="-120" yWindow="-120" windowWidth="29040" windowHeight="15840" tabRatio="945" activeTab="2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244" r:id="rId37"/>
    <pivotCache cacheId="4248" r:id="rId38"/>
    <pivotCache cacheId="4253" r:id="rId39"/>
    <pivotCache cacheId="4258" r:id="rId40"/>
    <pivotCache cacheId="4264" r:id="rId41"/>
    <pivotCache cacheId="4269" r:id="rId42"/>
    <pivotCache cacheId="4274" r:id="rId43"/>
    <pivotCache cacheId="4279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3" i="9" l="1"/>
  <c r="K42" i="9"/>
  <c r="C4" i="9"/>
  <c r="C3" i="9"/>
  <c r="D28" i="39"/>
  <c r="E28" i="39" s="1"/>
  <c r="D27" i="39"/>
  <c r="E27" i="39" s="1"/>
  <c r="D26" i="39"/>
  <c r="E26" i="39" s="1"/>
  <c r="D25" i="39"/>
  <c r="E25" i="39" s="1"/>
  <c r="D24" i="39"/>
  <c r="E24" i="39" s="1"/>
  <c r="D23" i="39"/>
  <c r="E23" i="39" s="1"/>
  <c r="D22" i="39"/>
  <c r="E22" i="39" s="1"/>
  <c r="D21" i="39"/>
  <c r="E21" i="39" s="1"/>
  <c r="D20" i="39"/>
  <c r="E20" i="39" s="1"/>
  <c r="D19" i="39"/>
  <c r="E19" i="39" s="1"/>
  <c r="E18" i="39"/>
  <c r="D18" i="39"/>
  <c r="C8" i="39"/>
  <c r="D8" i="39" s="1"/>
  <c r="C5" i="39"/>
  <c r="D5" i="39" s="1"/>
  <c r="D7" i="32"/>
  <c r="E7" i="32" s="1"/>
  <c r="D6" i="32"/>
  <c r="E6" i="32" s="1"/>
  <c r="D5" i="32"/>
  <c r="E5" i="32" s="1"/>
  <c r="E4" i="32"/>
  <c r="D4" i="32"/>
  <c r="D17" i="34"/>
  <c r="E17" i="34" s="1"/>
  <c r="D16" i="34"/>
  <c r="E16" i="34" s="1"/>
  <c r="D15" i="34"/>
  <c r="E15" i="34" s="1"/>
  <c r="E14" i="34" s="1"/>
  <c r="D13" i="34"/>
  <c r="E13" i="34" s="1"/>
  <c r="E12" i="34"/>
  <c r="D12" i="34"/>
  <c r="D11" i="34"/>
  <c r="E11" i="34" s="1"/>
  <c r="E10" i="34"/>
  <c r="D10" i="34"/>
  <c r="D9" i="34"/>
  <c r="E9" i="34" s="1"/>
  <c r="E8" i="34"/>
  <c r="D8" i="34"/>
  <c r="D7" i="34"/>
  <c r="E7" i="34" s="1"/>
  <c r="E6" i="34"/>
  <c r="D6" i="34"/>
  <c r="D5" i="34"/>
  <c r="E5" i="34" s="1"/>
  <c r="E4" i="34"/>
  <c r="D4" i="34"/>
  <c r="E3" i="34"/>
  <c r="D14" i="34"/>
  <c r="D3" i="34"/>
  <c r="D45" i="17"/>
  <c r="E45" i="17" s="1"/>
  <c r="D44" i="17"/>
  <c r="E44" i="17" s="1"/>
  <c r="D43" i="17"/>
  <c r="E43" i="17" s="1"/>
  <c r="D42" i="17"/>
  <c r="E42" i="17" s="1"/>
  <c r="D41" i="17"/>
  <c r="E41" i="17" s="1"/>
  <c r="D40" i="17"/>
  <c r="E40" i="17" s="1"/>
  <c r="D39" i="17"/>
  <c r="E39" i="17" s="1"/>
  <c r="D38" i="17"/>
  <c r="E38" i="17" s="1"/>
  <c r="D37" i="17"/>
  <c r="E37" i="17" s="1"/>
  <c r="D36" i="17"/>
  <c r="E36" i="17" s="1"/>
  <c r="D35" i="17"/>
  <c r="E35" i="17" s="1"/>
  <c r="D34" i="17"/>
  <c r="E34" i="17" s="1"/>
  <c r="D33" i="17"/>
  <c r="E33" i="17" s="1"/>
  <c r="E32" i="17"/>
  <c r="D32" i="17"/>
  <c r="E18" i="17"/>
  <c r="D18" i="17"/>
  <c r="E17" i="17"/>
  <c r="D17" i="17"/>
  <c r="D16" i="17"/>
  <c r="E5" i="17"/>
  <c r="D5" i="17"/>
  <c r="S10" i="70"/>
  <c r="R10" i="70"/>
  <c r="Q10" i="70"/>
  <c r="R9" i="70"/>
  <c r="Q9" i="70"/>
  <c r="K167" i="70"/>
  <c r="J167" i="70"/>
  <c r="C341" i="38" l="1"/>
  <c r="C347" i="38"/>
  <c r="C329" i="38"/>
  <c r="C335" i="38"/>
  <c r="C317" i="38"/>
  <c r="C323" i="38"/>
  <c r="C305" i="38"/>
  <c r="C311" i="38"/>
  <c r="C293" i="38"/>
  <c r="C299" i="38"/>
  <c r="B59" i="26"/>
  <c r="B60" i="26"/>
  <c r="C60" i="26" s="1"/>
  <c r="D60" i="26" s="1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B61" i="26" l="1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D185" i="38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A12" i="8"/>
  <c r="C282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H51" i="26" s="1"/>
  <c r="B52" i="26"/>
  <c r="B53" i="26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4" i="66" l="1"/>
  <c r="D326" i="38"/>
  <c r="H53" i="26"/>
  <c r="D121" i="66"/>
  <c r="D117" i="66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16" i="4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85" i="38" l="1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H49" i="26" l="1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D10" i="53" s="1"/>
  <c r="A32" i="53"/>
  <c r="A36" i="53"/>
  <c r="C275" i="38"/>
  <c r="D11" i="53" l="1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I117" i="58" s="1"/>
  <c r="H180" i="35"/>
  <c r="I110" i="58" s="1"/>
  <c r="I178" i="35"/>
  <c r="J101" i="58" s="1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I80" i="58" s="1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18" i="58"/>
  <c r="H93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H110" i="58"/>
  <c r="H78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H108" i="58"/>
  <c r="I96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H99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H9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78" i="58" l="1"/>
  <c r="J112" i="58"/>
  <c r="J114" i="58"/>
  <c r="J118" i="58"/>
  <c r="J117" i="58"/>
  <c r="I115" i="58"/>
  <c r="I112" i="58"/>
  <c r="I113" i="58"/>
  <c r="I116" i="58"/>
  <c r="I118" i="58"/>
  <c r="J96" i="58"/>
  <c r="J99" i="58"/>
  <c r="J98" i="58"/>
  <c r="J97" i="58"/>
  <c r="J79" i="58"/>
  <c r="J80" i="58"/>
  <c r="J85" i="58"/>
  <c r="I77" i="37"/>
  <c r="I76" i="37"/>
  <c r="I74" i="37"/>
  <c r="I75" i="37"/>
  <c r="I80" i="37"/>
  <c r="I80" i="41" s="1"/>
  <c r="I78" i="37"/>
  <c r="I79" i="37"/>
  <c r="J118" i="37"/>
  <c r="J115" i="37"/>
  <c r="J117" i="37"/>
  <c r="J119" i="37"/>
  <c r="J112" i="37"/>
  <c r="J114" i="37"/>
  <c r="J113" i="37"/>
  <c r="J113" i="41" s="1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9" i="41" s="1"/>
  <c r="I97" i="37"/>
  <c r="I97" i="41" s="1"/>
  <c r="I103" i="37"/>
  <c r="I101" i="37"/>
  <c r="I101" i="41" s="1"/>
  <c r="I100" i="37"/>
  <c r="I96" i="37"/>
  <c r="I96" i="41" s="1"/>
  <c r="I102" i="37"/>
  <c r="I102" i="41" s="1"/>
  <c r="I98" i="37"/>
  <c r="I98" i="41" s="1"/>
  <c r="J99" i="37"/>
  <c r="J103" i="37"/>
  <c r="J101" i="37"/>
  <c r="J101" i="41" s="1"/>
  <c r="J98" i="37"/>
  <c r="J102" i="37"/>
  <c r="J100" i="37"/>
  <c r="J96" i="37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93" i="41" s="1"/>
  <c r="J88" i="37"/>
  <c r="J95" i="37"/>
  <c r="J75" i="37"/>
  <c r="J74" i="37"/>
  <c r="J79" i="37"/>
  <c r="J79" i="41" s="1"/>
  <c r="J76" i="37"/>
  <c r="J78" i="37"/>
  <c r="J78" i="41" s="1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11" i="41" s="1"/>
  <c r="J106" i="37"/>
  <c r="J82" i="37"/>
  <c r="J86" i="37"/>
  <c r="J86" i="41" s="1"/>
  <c r="J85" i="37"/>
  <c r="J81" i="37"/>
  <c r="J84" i="37"/>
  <c r="J83" i="37"/>
  <c r="J87" i="37"/>
  <c r="I113" i="37"/>
  <c r="I112" i="37"/>
  <c r="I119" i="37"/>
  <c r="I114" i="37"/>
  <c r="I117" i="37"/>
  <c r="I117" i="41" s="1"/>
  <c r="I116" i="37"/>
  <c r="I115" i="37"/>
  <c r="I118" i="37"/>
  <c r="H416" i="37"/>
  <c r="H417" i="37"/>
  <c r="I82" i="58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H117" i="41"/>
  <c r="H109" i="41"/>
  <c r="H98" i="41"/>
  <c r="H110" i="41"/>
  <c r="H113" i="41"/>
  <c r="H108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99" i="41" l="1"/>
  <c r="J118" i="41"/>
  <c r="E277" i="38"/>
  <c r="I82" i="41"/>
  <c r="J80" i="41"/>
  <c r="J117" i="41"/>
  <c r="I113" i="41"/>
  <c r="J112" i="41"/>
  <c r="I116" i="41"/>
  <c r="J114" i="41"/>
  <c r="I115" i="41"/>
  <c r="I112" i="41"/>
  <c r="J96" i="41"/>
  <c r="J97" i="41"/>
  <c r="I118" i="41"/>
  <c r="J98" i="41"/>
  <c r="J85" i="4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75" i="58"/>
  <c r="I76" i="58"/>
  <c r="I455" i="37"/>
  <c r="I105" i="58"/>
  <c r="I455" i="58" s="1"/>
  <c r="I75" i="58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O4" i="41" l="1"/>
  <c r="S223" i="66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89" i="58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F93" i="66"/>
  <c r="R191" i="66"/>
  <c r="P191" i="66"/>
  <c r="S191" i="66"/>
  <c r="F237" i="66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C3" i="63"/>
  <c r="H103" i="41"/>
  <c r="M5" i="41" s="1"/>
  <c r="J75" i="41"/>
  <c r="F141" i="66"/>
  <c r="H105" i="41"/>
  <c r="C14" i="39" s="1"/>
  <c r="C41" i="39"/>
  <c r="E88" i="38" s="1"/>
  <c r="F11" i="66"/>
  <c r="F9" i="66" l="1"/>
  <c r="F153" i="66"/>
  <c r="F201" i="66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F75" i="66"/>
  <c r="J416" i="58"/>
  <c r="F252" i="66" s="1"/>
  <c r="N252" i="66" s="1"/>
  <c r="J417" i="58"/>
  <c r="H100" i="58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3" i="39" s="1"/>
  <c r="D3" i="39" s="1"/>
  <c r="I91" i="41"/>
  <c r="F85" i="66"/>
  <c r="N85" i="66" s="1"/>
  <c r="H88" i="41"/>
  <c r="H89" i="41"/>
  <c r="B4" i="39" s="1"/>
  <c r="F27" i="66"/>
  <c r="H416" i="58"/>
  <c r="F156" i="66" s="1"/>
  <c r="N156" i="66" s="1"/>
  <c r="H92" i="41"/>
  <c r="J89" i="4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J100" i="58"/>
  <c r="R175" i="66"/>
  <c r="S175" i="66"/>
  <c r="P175" i="66"/>
  <c r="H454" i="58" l="1"/>
  <c r="C4" i="39"/>
  <c r="D13" i="39" s="1"/>
  <c r="J453" i="37"/>
  <c r="J453" i="58"/>
  <c r="M39" i="39"/>
  <c r="E171" i="38" s="1"/>
  <c r="E39" i="39"/>
  <c r="E120" i="38" s="1"/>
  <c r="E12" i="39"/>
  <c r="I453" i="37"/>
  <c r="I453" i="58"/>
  <c r="D39" i="39"/>
  <c r="E103" i="38" s="1"/>
  <c r="L39" i="39"/>
  <c r="E154" i="38" s="1"/>
  <c r="D12" i="39"/>
  <c r="H453" i="58"/>
  <c r="E368" i="38" s="1"/>
  <c r="K189" i="66" s="1"/>
  <c r="H453" i="37"/>
  <c r="E350" i="38" s="1"/>
  <c r="H454" i="37"/>
  <c r="E351" i="38" s="1"/>
  <c r="C12" i="39"/>
  <c r="P12" i="39" s="1"/>
  <c r="K40" i="39"/>
  <c r="E138" i="38" s="1"/>
  <c r="H439" i="58" s="1"/>
  <c r="B7" i="39"/>
  <c r="H406" i="41"/>
  <c r="T175" i="66"/>
  <c r="J100" i="41"/>
  <c r="I406" i="41"/>
  <c r="J417" i="41"/>
  <c r="J414" i="41"/>
  <c r="F139" i="66"/>
  <c r="P59" i="66"/>
  <c r="S59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F92" i="66"/>
  <c r="Y133" i="66"/>
  <c r="I415" i="41"/>
  <c r="F90" i="66"/>
  <c r="N90" i="66" s="1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F236" i="66"/>
  <c r="C13" i="39"/>
  <c r="E369" i="38"/>
  <c r="K171" i="66" s="1"/>
  <c r="R155" i="66"/>
  <c r="S155" i="66"/>
  <c r="P155" i="66"/>
  <c r="H100" i="41"/>
  <c r="F28" i="66"/>
  <c r="H407" i="41"/>
  <c r="J415" i="41"/>
  <c r="F138" i="66"/>
  <c r="N138" i="66" s="1"/>
  <c r="C40" i="39"/>
  <c r="E87" i="38" s="1"/>
  <c r="C39" i="39"/>
  <c r="E86" i="38" s="1"/>
  <c r="K39" i="39"/>
  <c r="E137" i="38" s="1"/>
  <c r="J413" i="41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H415" i="41"/>
  <c r="F42" i="66"/>
  <c r="N42" i="66" s="1"/>
  <c r="S107" i="66"/>
  <c r="P107" i="66"/>
  <c r="J405" i="41"/>
  <c r="F140" i="66"/>
  <c r="I413" i="41"/>
  <c r="F284" i="66"/>
  <c r="J437" i="37" l="1"/>
  <c r="J141" i="66"/>
  <c r="J437" i="58"/>
  <c r="J285" i="66"/>
  <c r="D4" i="39"/>
  <c r="I454" i="37"/>
  <c r="I454" i="58"/>
  <c r="L40" i="39"/>
  <c r="E155" i="38" s="1"/>
  <c r="D40" i="39"/>
  <c r="E104" i="38" s="1"/>
  <c r="H456" i="37"/>
  <c r="C7" i="39"/>
  <c r="I437" i="58"/>
  <c r="J237" i="66"/>
  <c r="I437" i="37"/>
  <c r="J93" i="66"/>
  <c r="O12" i="39"/>
  <c r="H438" i="37"/>
  <c r="J171" i="66"/>
  <c r="R171" i="66" s="1"/>
  <c r="C16" i="39"/>
  <c r="O16" i="39" s="1"/>
  <c r="K43" i="39"/>
  <c r="E143" i="38" s="1"/>
  <c r="C43" i="39"/>
  <c r="E92" i="38" s="1"/>
  <c r="J9" i="66" s="1"/>
  <c r="H456" i="58"/>
  <c r="E371" i="38" s="1"/>
  <c r="K153" i="66" s="1"/>
  <c r="T11" i="66"/>
  <c r="T155" i="66"/>
  <c r="K27" i="66"/>
  <c r="H454" i="41"/>
  <c r="P13" i="39"/>
  <c r="Q13" i="39" s="1"/>
  <c r="O13" i="39"/>
  <c r="Y90" i="66"/>
  <c r="Y234" i="66"/>
  <c r="Z90" i="66"/>
  <c r="Z234" i="66"/>
  <c r="Y176" i="66"/>
  <c r="Z32" i="66"/>
  <c r="Z176" i="66"/>
  <c r="Y32" i="66"/>
  <c r="Z204" i="66"/>
  <c r="Z60" i="66"/>
  <c r="Y204" i="66"/>
  <c r="Y60" i="66"/>
  <c r="Z108" i="66"/>
  <c r="Z252" i="66"/>
  <c r="Y108" i="66"/>
  <c r="Y252" i="66"/>
  <c r="Y156" i="66"/>
  <c r="Z12" i="66"/>
  <c r="Z156" i="66"/>
  <c r="Y12" i="66"/>
  <c r="Y186" i="66"/>
  <c r="Y42" i="66"/>
  <c r="Z186" i="66"/>
  <c r="Z42" i="66"/>
  <c r="H439" i="37"/>
  <c r="J27" i="66"/>
  <c r="Z282" i="66"/>
  <c r="Z138" i="66"/>
  <c r="Y138" i="66"/>
  <c r="Y282" i="66"/>
  <c r="J189" i="66"/>
  <c r="H437" i="58"/>
  <c r="E353" i="38"/>
  <c r="K9" i="66" s="1"/>
  <c r="K45" i="66"/>
  <c r="H453" i="41"/>
  <c r="Z80" i="66"/>
  <c r="Z224" i="66"/>
  <c r="Y224" i="66"/>
  <c r="Y80" i="66"/>
  <c r="Q12" i="39"/>
  <c r="Z128" i="66"/>
  <c r="Y272" i="66"/>
  <c r="Z272" i="66"/>
  <c r="Y128" i="66"/>
  <c r="J45" i="66"/>
  <c r="H437" i="37"/>
  <c r="I439" i="58" l="1"/>
  <c r="C45" i="63" s="1"/>
  <c r="J219" i="66"/>
  <c r="P285" i="66"/>
  <c r="S285" i="66"/>
  <c r="J454" i="37"/>
  <c r="J454" i="58"/>
  <c r="M40" i="39"/>
  <c r="E172" i="38" s="1"/>
  <c r="E40" i="39"/>
  <c r="E121" i="38" s="1"/>
  <c r="E13" i="39"/>
  <c r="D7" i="39"/>
  <c r="L43" i="39"/>
  <c r="E160" i="38" s="1"/>
  <c r="J201" i="66" s="1"/>
  <c r="D43" i="39"/>
  <c r="E109" i="38" s="1"/>
  <c r="J57" i="66" s="1"/>
  <c r="D16" i="39"/>
  <c r="S141" i="66"/>
  <c r="P141" i="66"/>
  <c r="J75" i="66"/>
  <c r="I439" i="37"/>
  <c r="I439" i="41" s="1"/>
  <c r="J437" i="41"/>
  <c r="P93" i="66"/>
  <c r="S93" i="66"/>
  <c r="I437" i="41"/>
  <c r="P237" i="66"/>
  <c r="S237" i="66"/>
  <c r="P171" i="66"/>
  <c r="S171" i="66"/>
  <c r="T171" i="66" s="1"/>
  <c r="J153" i="66"/>
  <c r="R153" i="66" s="1"/>
  <c r="P16" i="39"/>
  <c r="Q16" i="39" s="1"/>
  <c r="H456" i="41"/>
  <c r="H437" i="41"/>
  <c r="C36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9" i="63"/>
  <c r="H439" i="41"/>
  <c r="S57" i="66" l="1"/>
  <c r="P57" i="66"/>
  <c r="S201" i="66"/>
  <c r="P201" i="66"/>
  <c r="E43" i="39"/>
  <c r="E126" i="38" s="1"/>
  <c r="J105" i="66" s="1"/>
  <c r="M43" i="39"/>
  <c r="E177" i="38" s="1"/>
  <c r="J249" i="66" s="1"/>
  <c r="E16" i="39"/>
  <c r="P219" i="66"/>
  <c r="S219" i="66"/>
  <c r="S75" i="66"/>
  <c r="P75" i="66"/>
  <c r="J439" i="37"/>
  <c r="J123" i="66"/>
  <c r="J439" i="58"/>
  <c r="C54" i="63" s="1"/>
  <c r="J267" i="66"/>
  <c r="C18" i="63"/>
  <c r="S153" i="66"/>
  <c r="T153" i="66" s="1"/>
  <c r="P153" i="66"/>
  <c r="T9" i="66"/>
  <c r="T27" i="66"/>
  <c r="T189" i="66"/>
  <c r="T45" i="66"/>
  <c r="P249" i="66" l="1"/>
  <c r="S249" i="66"/>
  <c r="S105" i="66"/>
  <c r="P105" i="66"/>
  <c r="C27" i="63"/>
  <c r="J439" i="41"/>
  <c r="S267" i="66"/>
  <c r="P267" i="66"/>
  <c r="S123" i="66"/>
  <c r="P123" i="66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P13" i="9" s="1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E31" i="26"/>
  <c r="R7" i="9"/>
  <c r="E32" i="22"/>
  <c r="E35" i="26"/>
  <c r="I198" i="35" s="1"/>
  <c r="R40" i="9"/>
  <c r="E39" i="26"/>
  <c r="I202" i="35" s="1"/>
  <c r="E23" i="26"/>
  <c r="I186" i="35" s="1"/>
  <c r="O40" i="9"/>
  <c r="O30" i="9"/>
  <c r="E36" i="26"/>
  <c r="I199" i="35" s="1"/>
  <c r="E39" i="22"/>
  <c r="P9" i="9"/>
  <c r="K42" i="39"/>
  <c r="E140" i="38" s="1"/>
  <c r="C42" i="39"/>
  <c r="E89" i="38" s="1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P15" i="39" l="1"/>
  <c r="O15" i="39"/>
  <c r="D6" i="39"/>
  <c r="D42" i="39"/>
  <c r="E106" i="38" s="1"/>
  <c r="J92" i="66" s="1"/>
  <c r="L42" i="39"/>
  <c r="E157" i="38" s="1"/>
  <c r="J236" i="66" s="1"/>
  <c r="D15" i="39"/>
  <c r="AB3" i="39" s="1"/>
  <c r="O10" i="9"/>
  <c r="H209" i="37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N236" i="66" l="1"/>
  <c r="P236" i="66"/>
  <c r="S236" i="66"/>
  <c r="N92" i="66"/>
  <c r="S92" i="66"/>
  <c r="P92" i="66"/>
  <c r="F15" i="39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05" i="37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Y92" i="66" l="1"/>
  <c r="Z92" i="66"/>
  <c r="O92" i="66"/>
  <c r="Q92" i="66" s="1"/>
  <c r="R92" i="66" s="1"/>
  <c r="T92" i="66" s="1"/>
  <c r="Z236" i="66"/>
  <c r="Y236" i="66"/>
  <c r="N140" i="66"/>
  <c r="S140" i="66"/>
  <c r="P140" i="66"/>
  <c r="G15" i="39"/>
  <c r="N284" i="66"/>
  <c r="P284" i="66"/>
  <c r="S284" i="66"/>
  <c r="O236" i="66"/>
  <c r="Q236" i="66" s="1"/>
  <c r="R236" i="66" s="1"/>
  <c r="T236" i="66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Y140" i="66"/>
  <c r="O140" i="66"/>
  <c r="Q140" i="66" s="1"/>
  <c r="R140" i="66" s="1"/>
  <c r="T140" i="66" s="1"/>
  <c r="Z140" i="66"/>
  <c r="Z284" i="66"/>
  <c r="Y284" i="66"/>
  <c r="Q44" i="66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I68" i="18" s="1"/>
  <c r="G70" i="18" a="1"/>
  <c r="G70" i="18" s="1"/>
  <c r="H70" i="18" s="1"/>
  <c r="O20" i="20"/>
  <c r="H49" i="35" a="1"/>
  <c r="H49" i="35" s="1"/>
  <c r="I166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I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17" i="41"/>
  <c r="H409" i="41"/>
  <c r="H413" i="41"/>
  <c r="I70" i="18" l="1"/>
  <c r="H68" i="18"/>
  <c r="I28" i="18"/>
  <c r="F28" i="18" s="1"/>
  <c r="H69" i="18"/>
  <c r="H16" i="18"/>
  <c r="H61" i="18"/>
  <c r="J61" i="18" s="1"/>
  <c r="I165" i="37"/>
  <c r="I167" i="37"/>
  <c r="I59" i="18"/>
  <c r="F59" i="18" s="1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J28" i="18" l="1"/>
  <c r="J59" i="18"/>
  <c r="J27" i="18"/>
  <c r="F25" i="18"/>
  <c r="F18" i="18"/>
  <c r="F71" i="18"/>
  <c r="J313" i="37"/>
  <c r="J325" i="37"/>
  <c r="J165" i="37"/>
  <c r="J166" i="37"/>
  <c r="J167" i="37"/>
  <c r="J205" i="37"/>
  <c r="J217" i="37"/>
  <c r="J301" i="37"/>
  <c r="J337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Z75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O59" i="66" l="1"/>
  <c r="Y203" i="66"/>
  <c r="O93" i="66"/>
  <c r="Q93" i="66" s="1"/>
  <c r="R93" i="66" s="1"/>
  <c r="T93" i="66" s="1"/>
  <c r="O57" i="66"/>
  <c r="Y57" i="66"/>
  <c r="Z201" i="66"/>
  <c r="Z57" i="66"/>
  <c r="Y201" i="66"/>
  <c r="Z219" i="66"/>
  <c r="Y75" i="66"/>
  <c r="O219" i="66"/>
  <c r="Q219" i="66" s="1"/>
  <c r="R219" i="66" s="1"/>
  <c r="T219" i="66" s="1"/>
  <c r="Y219" i="66"/>
  <c r="O75" i="66"/>
  <c r="Q75" i="66" s="1"/>
  <c r="R75" i="66" s="1"/>
  <c r="T75" i="66" s="1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F208" i="66"/>
  <c r="D57" i="57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16" i="66" l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Y216" i="66" l="1"/>
  <c r="F17" i="39"/>
  <c r="Z72" i="66"/>
  <c r="Y72" i="66"/>
  <c r="I442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42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I442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E279" i="38"/>
  <c r="E285" i="38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67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C5" i="8" s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5" i="8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I445" i="58" s="1"/>
  <c r="M46" i="39"/>
  <c r="E176" i="38" s="1"/>
  <c r="J445" i="58" s="1"/>
  <c r="K46" i="39"/>
  <c r="E142" i="38" s="1"/>
  <c r="J166" i="66" s="1"/>
  <c r="N166" i="66" s="1"/>
  <c r="J118" i="66"/>
  <c r="N118" i="66" s="1"/>
  <c r="J445" i="37"/>
  <c r="J22" i="66"/>
  <c r="N22" i="66" s="1"/>
  <c r="H445" i="37"/>
  <c r="J70" i="66"/>
  <c r="N70" i="66" s="1"/>
  <c r="I445" i="37"/>
  <c r="J214" i="66" l="1"/>
  <c r="N214" i="66" s="1"/>
  <c r="O214" i="66" s="1"/>
  <c r="J262" i="66"/>
  <c r="G19" i="39" s="1"/>
  <c r="H445" i="58"/>
  <c r="H445" i="41" s="1"/>
  <c r="I445" i="41"/>
  <c r="I461" i="58"/>
  <c r="I461" i="37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F19" i="39" l="1"/>
  <c r="P214" i="66"/>
  <c r="S214" i="66"/>
  <c r="S262" i="66"/>
  <c r="P262" i="66"/>
  <c r="N262" i="66"/>
  <c r="O262" i="66" s="1"/>
  <c r="Q262" i="66" s="1"/>
  <c r="R262" i="66" s="1"/>
  <c r="J460" i="41"/>
  <c r="I460" i="41"/>
  <c r="T166" i="66"/>
  <c r="I461" i="41"/>
  <c r="H460" i="41"/>
  <c r="Q214" i="66"/>
  <c r="R214" i="66" s="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14" i="66" l="1"/>
  <c r="T262" i="66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I402" i="58" s="1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I403" i="58" l="1"/>
  <c r="I403" i="41" s="1"/>
  <c r="F242" i="66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41" i="66" l="1"/>
  <c r="E23" i="53"/>
  <c r="F23" i="53" s="1"/>
  <c r="H17" i="53" s="1"/>
  <c r="G17" i="53" s="1"/>
  <c r="E305" i="38" s="1"/>
  <c r="F290" i="66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G23" i="53" l="1"/>
  <c r="E317" i="38" s="1"/>
  <c r="I462" i="58" s="1"/>
  <c r="L290" i="66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98" i="66"/>
  <c r="L146" i="66"/>
  <c r="L241" i="66" l="1"/>
  <c r="P241" i="66" s="1"/>
  <c r="P289" i="66"/>
  <c r="N289" i="66"/>
  <c r="P290" i="66"/>
  <c r="V290" i="66" s="1"/>
  <c r="X290" i="66" s="1"/>
  <c r="R290" i="66"/>
  <c r="T290" i="66" s="1"/>
  <c r="J462" i="37"/>
  <c r="J462" i="41" s="1"/>
  <c r="M241" i="66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N241" i="66" l="1"/>
  <c r="O241" i="66" s="1"/>
  <c r="U241" i="66" s="1"/>
  <c r="R193" i="66"/>
  <c r="T193" i="66" s="1"/>
  <c r="N193" i="66"/>
  <c r="O193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Y290" i="66"/>
  <c r="Z146" i="66"/>
  <c r="Z290" i="66"/>
  <c r="Y146" i="66"/>
  <c r="Z97" i="66" l="1"/>
  <c r="Y241" i="66"/>
  <c r="Z241" i="66"/>
  <c r="Y97" i="66"/>
  <c r="O97" i="66"/>
  <c r="V97" i="66" s="1"/>
  <c r="X97" i="66" s="1"/>
  <c r="Q241" i="66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 l="1"/>
  <c r="R97" i="66" s="1"/>
  <c r="T97" i="66" s="1"/>
  <c r="U97" i="66"/>
  <c r="Q49" i="66"/>
  <c r="I4" i="37" l="1"/>
  <c r="I4" i="58"/>
  <c r="J4" i="58"/>
  <c r="J4" i="37"/>
  <c r="H4" i="58" l="1"/>
  <c r="H4" i="37"/>
  <c r="J4" i="41"/>
  <c r="E45" i="39" s="1"/>
  <c r="E31" i="53"/>
  <c r="F101" i="66"/>
  <c r="O4" i="58"/>
  <c r="F245" i="66"/>
  <c r="E37" i="53"/>
  <c r="M45" i="39"/>
  <c r="F197" i="66"/>
  <c r="N4" i="58"/>
  <c r="E25" i="53"/>
  <c r="E19" i="53"/>
  <c r="I4" i="41"/>
  <c r="D45" i="39" s="1"/>
  <c r="F53" i="66"/>
  <c r="L45" i="39" l="1"/>
  <c r="E158" i="38" s="1"/>
  <c r="E107" i="38"/>
  <c r="D56" i="39"/>
  <c r="D59" i="39"/>
  <c r="D60" i="39" s="1"/>
  <c r="E59" i="39"/>
  <c r="E60" i="39" s="1"/>
  <c r="E56" i="39"/>
  <c r="E124" i="38"/>
  <c r="H4" i="41"/>
  <c r="K45" i="39" s="1"/>
  <c r="F5" i="66"/>
  <c r="E7" i="53"/>
  <c r="M59" i="39"/>
  <c r="M60" i="39" s="1"/>
  <c r="E175" i="38"/>
  <c r="M56" i="39"/>
  <c r="M4" i="58"/>
  <c r="F149" i="66"/>
  <c r="E13" i="53"/>
  <c r="L56" i="39" l="1"/>
  <c r="L57" i="39" s="1"/>
  <c r="L59" i="39"/>
  <c r="L60" i="39" s="1"/>
  <c r="C45" i="39"/>
  <c r="E90" i="38" s="1"/>
  <c r="K59" i="39"/>
  <c r="K60" i="39" s="1"/>
  <c r="K56" i="39"/>
  <c r="E141" i="38"/>
  <c r="I444" i="58"/>
  <c r="J197" i="66"/>
  <c r="D25" i="53"/>
  <c r="F25" i="53" s="1"/>
  <c r="I452" i="58"/>
  <c r="M58" i="39"/>
  <c r="M57" i="39"/>
  <c r="D31" i="53"/>
  <c r="F31" i="53" s="1"/>
  <c r="H37" i="53" s="1"/>
  <c r="J444" i="37"/>
  <c r="J101" i="66"/>
  <c r="J452" i="37"/>
  <c r="D37" i="53"/>
  <c r="F37" i="53" s="1"/>
  <c r="J245" i="66"/>
  <c r="J452" i="58"/>
  <c r="J444" i="58"/>
  <c r="E58" i="39"/>
  <c r="E57" i="39"/>
  <c r="D57" i="39"/>
  <c r="D58" i="39"/>
  <c r="I452" i="37"/>
  <c r="J53" i="66"/>
  <c r="I444" i="37"/>
  <c r="D19" i="53"/>
  <c r="F19" i="53" s="1"/>
  <c r="H25" i="53" s="1"/>
  <c r="C56" i="39" l="1"/>
  <c r="L58" i="39"/>
  <c r="C59" i="39"/>
  <c r="C60" i="39" s="1"/>
  <c r="S101" i="66"/>
  <c r="W101" i="66"/>
  <c r="S197" i="66"/>
  <c r="W197" i="66"/>
  <c r="H444" i="37"/>
  <c r="J5" i="66"/>
  <c r="D7" i="53"/>
  <c r="F7" i="53" s="1"/>
  <c r="H452" i="37"/>
  <c r="F102" i="66"/>
  <c r="J467" i="37"/>
  <c r="J444" i="41"/>
  <c r="I467" i="58"/>
  <c r="F198" i="66"/>
  <c r="C57" i="39"/>
  <c r="C58" i="39"/>
  <c r="J149" i="66"/>
  <c r="H444" i="58"/>
  <c r="H452" i="58"/>
  <c r="D13" i="53"/>
  <c r="F13" i="53" s="1"/>
  <c r="H7" i="53" s="1"/>
  <c r="F246" i="66"/>
  <c r="J467" i="58"/>
  <c r="K57" i="39"/>
  <c r="K58" i="39"/>
  <c r="I467" i="37"/>
  <c r="I467" i="41" s="1"/>
  <c r="F54" i="66"/>
  <c r="I444" i="41"/>
  <c r="J452" i="41"/>
  <c r="F247" i="66"/>
  <c r="J457" i="58"/>
  <c r="W53" i="66"/>
  <c r="S53" i="66"/>
  <c r="S245" i="66"/>
  <c r="W245" i="66"/>
  <c r="F55" i="66"/>
  <c r="I457" i="37"/>
  <c r="I452" i="41"/>
  <c r="G37" i="53"/>
  <c r="H31" i="53"/>
  <c r="G31" i="53" s="1"/>
  <c r="F199" i="66"/>
  <c r="I457" i="58"/>
  <c r="F103" i="66"/>
  <c r="J457" i="37"/>
  <c r="G25" i="53"/>
  <c r="H19" i="53"/>
  <c r="G19" i="53" s="1"/>
  <c r="J467" i="41" l="1"/>
  <c r="O3" i="41" s="1"/>
  <c r="I458" i="58"/>
  <c r="E379" i="38" s="1"/>
  <c r="K218" i="66" s="1"/>
  <c r="N218" i="66" s="1"/>
  <c r="E378" i="38"/>
  <c r="K199" i="66" s="1"/>
  <c r="N199" i="66" s="1"/>
  <c r="L246" i="66"/>
  <c r="P246" i="66" s="1"/>
  <c r="E331" i="38"/>
  <c r="E337" i="38"/>
  <c r="H457" i="58"/>
  <c r="F151" i="66"/>
  <c r="E343" i="38"/>
  <c r="E349" i="38"/>
  <c r="M245" i="66" s="1"/>
  <c r="L54" i="66"/>
  <c r="P54" i="66" s="1"/>
  <c r="H467" i="58"/>
  <c r="F150" i="66"/>
  <c r="L102" i="66"/>
  <c r="P102" i="66" s="1"/>
  <c r="E307" i="38"/>
  <c r="E313" i="38"/>
  <c r="W149" i="66"/>
  <c r="S149" i="66"/>
  <c r="H452" i="41"/>
  <c r="H457" i="37"/>
  <c r="F7" i="66"/>
  <c r="E325" i="38"/>
  <c r="M197" i="66" s="1"/>
  <c r="E319" i="38"/>
  <c r="I458" i="37"/>
  <c r="E360" i="38"/>
  <c r="K55" i="66" s="1"/>
  <c r="N55" i="66" s="1"/>
  <c r="I457" i="41"/>
  <c r="G7" i="53"/>
  <c r="H13" i="53"/>
  <c r="G13" i="53" s="1"/>
  <c r="E366" i="38"/>
  <c r="K103" i="66" s="1"/>
  <c r="N103" i="66" s="1"/>
  <c r="J458" i="37"/>
  <c r="J457" i="41"/>
  <c r="S5" i="66"/>
  <c r="W5" i="66"/>
  <c r="E384" i="38"/>
  <c r="K247" i="66" s="1"/>
  <c r="N247" i="66" s="1"/>
  <c r="J458" i="58"/>
  <c r="E385" i="38" s="1"/>
  <c r="K266" i="66" s="1"/>
  <c r="N266" i="66" s="1"/>
  <c r="L198" i="66"/>
  <c r="P198" i="66" s="1"/>
  <c r="F6" i="66"/>
  <c r="H444" i="41"/>
  <c r="H467" i="37"/>
  <c r="N198" i="66" l="1"/>
  <c r="H467" i="41"/>
  <c r="M3" i="41" s="1"/>
  <c r="Z247" i="66"/>
  <c r="N102" i="66"/>
  <c r="E283" i="38"/>
  <c r="E289" i="38"/>
  <c r="H458" i="58"/>
  <c r="E373" i="38" s="1"/>
  <c r="K170" i="66" s="1"/>
  <c r="N170" i="66" s="1"/>
  <c r="E372" i="38"/>
  <c r="K151" i="66" s="1"/>
  <c r="N151" i="66" s="1"/>
  <c r="L6" i="66"/>
  <c r="P6" i="66" s="1"/>
  <c r="V6" i="66" s="1"/>
  <c r="X6" i="66" s="1"/>
  <c r="J168" i="70"/>
  <c r="H168" i="70"/>
  <c r="Y55" i="66"/>
  <c r="Y199" i="66"/>
  <c r="Z55" i="66"/>
  <c r="Z199" i="66"/>
  <c r="L150" i="66"/>
  <c r="P150" i="66" s="1"/>
  <c r="V150" i="66" s="1"/>
  <c r="X150" i="66" s="1"/>
  <c r="D20" i="8"/>
  <c r="M101" i="66"/>
  <c r="G18" i="39" s="1"/>
  <c r="E361" i="38"/>
  <c r="K74" i="66" s="1"/>
  <c r="N74" i="66" s="1"/>
  <c r="I458" i="41"/>
  <c r="J464" i="37"/>
  <c r="L101" i="66"/>
  <c r="I464" i="58"/>
  <c r="L197" i="66"/>
  <c r="N54" i="66"/>
  <c r="N246" i="66"/>
  <c r="O246" i="66" s="1"/>
  <c r="E367" i="38"/>
  <c r="K122" i="66" s="1"/>
  <c r="N122" i="66" s="1"/>
  <c r="J458" i="41"/>
  <c r="Z103" i="66"/>
  <c r="Y103" i="66"/>
  <c r="Y247" i="66"/>
  <c r="C20" i="8"/>
  <c r="M53" i="66"/>
  <c r="F18" i="39" s="1"/>
  <c r="E301" i="38"/>
  <c r="M149" i="66" s="1"/>
  <c r="E295" i="38"/>
  <c r="H457" i="41"/>
  <c r="H458" i="37"/>
  <c r="E354" i="38"/>
  <c r="K7" i="66" s="1"/>
  <c r="N7" i="66" s="1"/>
  <c r="I464" i="37"/>
  <c r="I464" i="41" s="1"/>
  <c r="L53" i="66"/>
  <c r="L245" i="66"/>
  <c r="J464" i="58"/>
  <c r="N150" i="66" l="1"/>
  <c r="Z150" i="66" s="1"/>
  <c r="N6" i="66"/>
  <c r="U246" i="66"/>
  <c r="V246" i="66"/>
  <c r="X246" i="66" s="1"/>
  <c r="Q246" i="66"/>
  <c r="Z218" i="66"/>
  <c r="Y218" i="66"/>
  <c r="Y74" i="66"/>
  <c r="Z74" i="66"/>
  <c r="N245" i="66"/>
  <c r="P245" i="66"/>
  <c r="O54" i="66"/>
  <c r="Y54" i="66"/>
  <c r="Y198" i="66"/>
  <c r="Z54" i="66"/>
  <c r="Z198" i="66"/>
  <c r="O198" i="66"/>
  <c r="Y102" i="66"/>
  <c r="P53" i="66"/>
  <c r="N53" i="66"/>
  <c r="P197" i="66"/>
  <c r="N197" i="66"/>
  <c r="O102" i="66"/>
  <c r="Y246" i="66"/>
  <c r="Z7" i="66"/>
  <c r="Y151" i="66"/>
  <c r="Y7" i="66"/>
  <c r="Z151" i="66"/>
  <c r="Z246" i="66"/>
  <c r="E355" i="38"/>
  <c r="K26" i="66" s="1"/>
  <c r="N26" i="66" s="1"/>
  <c r="H458" i="41"/>
  <c r="P101" i="66"/>
  <c r="N101" i="66"/>
  <c r="O6" i="66"/>
  <c r="Y6" i="66"/>
  <c r="Z6" i="66"/>
  <c r="Y150" i="66"/>
  <c r="Z102" i="66"/>
  <c r="J464" i="41"/>
  <c r="M5" i="66"/>
  <c r="B20" i="8"/>
  <c r="L149" i="66"/>
  <c r="H464" i="58"/>
  <c r="Z266" i="66"/>
  <c r="Y122" i="66"/>
  <c r="Z122" i="66"/>
  <c r="Y266" i="66"/>
  <c r="L5" i="66"/>
  <c r="H464" i="37"/>
  <c r="O197" i="66" l="1"/>
  <c r="V197" i="66" s="1"/>
  <c r="X197" i="66" s="1"/>
  <c r="O150" i="66"/>
  <c r="O245" i="66"/>
  <c r="O101" i="66"/>
  <c r="Z101" i="66"/>
  <c r="Y245" i="66"/>
  <c r="Y101" i="66"/>
  <c r="Z245" i="66"/>
  <c r="U198" i="66"/>
  <c r="Q198" i="66"/>
  <c r="V198" i="66"/>
  <c r="X198" i="66" s="1"/>
  <c r="Q102" i="66"/>
  <c r="U102" i="66"/>
  <c r="V102" i="66"/>
  <c r="X102" i="66" s="1"/>
  <c r="Z26" i="66"/>
  <c r="Z170" i="66"/>
  <c r="Y170" i="66"/>
  <c r="Y26" i="66"/>
  <c r="P149" i="66"/>
  <c r="V149" i="66" s="1"/>
  <c r="X149" i="66" s="1"/>
  <c r="R149" i="66"/>
  <c r="T149" i="66" s="1"/>
  <c r="N149" i="66"/>
  <c r="H464" i="41"/>
  <c r="U6" i="66"/>
  <c r="Q6" i="66"/>
  <c r="Y197" i="66"/>
  <c r="Z53" i="66"/>
  <c r="Y53" i="66"/>
  <c r="O53" i="66"/>
  <c r="Z197" i="66"/>
  <c r="U54" i="66"/>
  <c r="Q54" i="66"/>
  <c r="V54" i="66"/>
  <c r="X54" i="66" s="1"/>
  <c r="N5" i="66"/>
  <c r="R5" i="66"/>
  <c r="T5" i="66" s="1"/>
  <c r="P5" i="66"/>
  <c r="V5" i="66" s="1"/>
  <c r="X5" i="66" s="1"/>
  <c r="U197" i="66" l="1"/>
  <c r="Q197" i="66"/>
  <c r="R197" i="66" s="1"/>
  <c r="T197" i="66" s="1"/>
  <c r="U150" i="66"/>
  <c r="Q150" i="66"/>
  <c r="O149" i="66"/>
  <c r="U53" i="66"/>
  <c r="V53" i="66"/>
  <c r="X53" i="66" s="1"/>
  <c r="Q53" i="66"/>
  <c r="R53" i="66" s="1"/>
  <c r="T53" i="66" s="1"/>
  <c r="Z149" i="66"/>
  <c r="Z5" i="66"/>
  <c r="Y5" i="66"/>
  <c r="O5" i="66"/>
  <c r="Y149" i="66"/>
  <c r="U101" i="66"/>
  <c r="V101" i="66"/>
  <c r="X101" i="66" s="1"/>
  <c r="Q101" i="66"/>
  <c r="R101" i="66" s="1"/>
  <c r="T101" i="66" s="1"/>
  <c r="Q245" i="66"/>
  <c r="R245" i="66" s="1"/>
  <c r="T245" i="66" s="1"/>
  <c r="U245" i="66"/>
  <c r="V245" i="66"/>
  <c r="X245" i="66" s="1"/>
  <c r="Q5" i="66" l="1"/>
  <c r="U5" i="66"/>
  <c r="U149" i="66"/>
  <c r="Q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<sst xmlns="http://schemas.openxmlformats.org/spreadsheetml/2006/main" count="4046" uniqueCount="345">
  <si>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</si>
  <si>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</si>
  <si>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</si>
  <si>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</si>
  <si>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</si>
  <si>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</si>
  <si>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</si>
  <si>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</si>
  <si>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</si>
  <si>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</si>
  <si>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</si>
  <si>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</si>
  <si>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</si>
  <si>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</si>
  <si>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</si>
  <si>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</si>
  <si>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</si>
  <si>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</si>
  <si>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</si>
  <si>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</si>
  <si>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</si>
  <si>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</si>
  <si>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</si>
  <si>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</si>
  <si>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</si>
  <si>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</si>
  <si>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</si>
  <si>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</si>
  <si>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</si>
  <si>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</si>
  <si>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</si>
  <si>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</si>
  <si>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</si>
  <si>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</si>
  <si>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</si>
  <si>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</si>
  <si>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</si>
  <si>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</si>
  <si>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</si>
  <si>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</si>
  <si>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</si>
  <si>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</si>
  <si>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</si>
  <si>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</si>
  <si>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</si>
  <si>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</si>
  <si>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</si>
  <si>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</si>
  <si>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</si>
  <si>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</si>
  <si>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</si>
  <si>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</si>
  <si>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</si>
  <si>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</si>
  <si>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</si>
  <si>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</si>
  <si>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</si>
  <si>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</si>
  <si>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</si>
  <si>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</si>
  <si>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</si>
  <si>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</si>
  <si>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</si>
  <si>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</si>
  <si>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</si>
  <si>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</si>
  <si>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</si>
  <si>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</si>
  <si>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</si>
  <si>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</si>
  <si>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</si>
  <si>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</si>
  <si>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</si>
  <si>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</si>
  <si>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</si>
  <si>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</si>
  <si>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</si>
  <si>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</si>
  <si>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</si>
  <si>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</si>
  <si>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</si>
  <si>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</si>
  <si>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</si>
  <si>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</si>
  <si>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</si>
  <si>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</si>
  <si>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</si>
  <si>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</si>
  <si>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</si>
  <si>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</si>
  <si>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</si>
  <si>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</si>
  <si>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</si>
  <si>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</si>
  <si>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</si>
  <si>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</si>
  <si>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</si>
  <si>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</si>
  <si>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</si>
  <si>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</si>
  <si>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</si>
  <si>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</si>
  <si>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</si>
  <si>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</si>
  <si>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</si>
  <si>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</si>
  <si>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</si>
  <si>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</si>
  <si>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</si>
  <si>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</si>
  <si>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</si>
  <si>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</si>
  <si>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</si>
  <si>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</si>
  <si>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</si>
  <si>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</si>
  <si>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</si>
  <si>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</si>
  <si>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</si>
  <si>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</si>
  <si>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</si>
  <si>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</si>
  <si>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</si>
  <si>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</si>
  <si>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</si>
  <si>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</si>
  <si>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</si>
  <si>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</si>
  <si>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</si>
  <si>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</si>
  <si>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</si>
  <si>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</si>
  <si>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</si>
  <si>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</si>
  <si>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</si>
  <si>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</si>
  <si>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</si>
  <si>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</si>
  <si>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</si>
  <si>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</si>
  <si>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</si>
  <si>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</si>
  <si>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</si>
  <si>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</si>
  <si>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</si>
  <si>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</si>
  <si>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</si>
  <si>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</si>
  <si>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</si>
  <si>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</si>
  <si>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</si>
  <si>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</si>
  <si>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</si>
  <si>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</si>
  <si>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</si>
  <si>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</si>
  <si>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</si>
  <si>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</si>
  <si>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</si>
  <si>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</si>
  <si>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</si>
  <si>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</si>
  <si>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</si>
  <si>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</si>
  <si>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</si>
  <si>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</si>
  <si>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</si>
  <si>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</si>
  <si>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</si>
  <si>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</si>
  <si>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</si>
  <si>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</si>
  <si>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</si>
  <si>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</si>
  <si>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</si>
  <si>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</si>
  <si>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</si>
  <si>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</si>
  <si>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</si>
  <si>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</si>
  <si>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</si>
  <si>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</si>
  <si>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</si>
  <si>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</si>
  <si>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</si>
  <si>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</si>
  <si>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</si>
  <si>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</si>
  <si>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</si>
  <si>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</si>
  <si>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</si>
  <si>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</si>
  <si>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</si>
  <si>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</si>
  <si>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</si>
  <si>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</si>
  <si>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</si>
  <si>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</si>
  <si>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</si>
  <si>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</si>
  <si>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</si>
  <si>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</si>
  <si>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</si>
  <si>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</si>
  <si>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</si>
  <si>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</si>
  <si>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</si>
  <si>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</si>
  <si>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</si>
  <si>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</si>
  <si>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</si>
  <si>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</si>
  <si>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</si>
  <si>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</si>
  <si>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</si>
  <si>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</si>
  <si>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</si>
  <si>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</si>
  <si>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</si>
  <si>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</si>
  <si>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</si>
  <si>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</si>
  <si>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</si>
  <si>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</si>
  <si>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</si>
  <si>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</si>
  <si>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</si>
  <si>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</si>
  <si>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</si>
  <si>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</si>
  <si>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</si>
  <si>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</si>
  <si>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</si>
  <si>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</si>
  <si>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</si>
  <si>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</si>
  <si>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</si>
  <si>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</si>
  <si>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</si>
  <si>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</si>
  <si>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</si>
  <si>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</si>
  <si>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</si>
  <si>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</si>
  <si>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</si>
  <si>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</si>
  <si>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</si>
  <si>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</si>
  <si>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</si>
  <si>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</si>
  <si>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</si>
  <si>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</si>
  <si>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</si>
  <si>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</si>
  <si>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</si>
  <si>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</si>
  <si>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</si>
  <si>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</si>
  <si>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</si>
  <si>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</si>
  <si>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</si>
  <si>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</si>
  <si>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</si>
  <si>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</si>
  <si>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</si>
  <si>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</si>
  <si>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</si>
  <si>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</si>
  <si>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</si>
  <si>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</si>
  <si>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</si>
  <si>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</si>
  <si>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</si>
  <si>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</si>
  <si>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</si>
  <si>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</si>
  <si>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</si>
  <si>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</si>
  <si>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</si>
  <si>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</si>
  <si>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</si>
  <si>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</si>
  <si>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</si>
  <si>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</si>
  <si>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</si>
  <si>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</si>
  <si>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</si>
  <si>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</si>
  <si>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</si>
  <si>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</si>
  <si>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</si>
  <si>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</si>
  <si>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</si>
  <si>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</si>
  <si>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</si>
  <si>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</si>
  <si>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</si>
  <si>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</si>
  <si>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</si>
  <si>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</si>
  <si>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</si>
  <si>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</si>
  <si>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</si>
  <si>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</si>
  <si>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</si>
  <si>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</si>
  <si>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</si>
  <si>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</si>
  <si>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</si>
  <si>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</si>
  <si>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</si>
  <si>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</si>
  <si>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</si>
  <si>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</si>
  <si>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</si>
  <si>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</si>
  <si>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</si>
  <si>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</si>
  <si>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</si>
  <si>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</si>
  <si>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</si>
  <si>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</si>
  <si>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</si>
  <si>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</si>
  <si>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</si>
  <si>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</si>
  <si>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</si>
  <si>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</si>
  <si>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</si>
  <si>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</si>
  <si>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</si>
  <si>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</si>
  <si>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</si>
  <si>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</si>
  <si>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</si>
  <si>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</si>
  <si>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</si>
  <si>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</si>
  <si>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</si>
  <si>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</si>
  <si>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*De 62% kommer fra 10B KF21 (sektornotat landbrug)</t>
  </si>
  <si>
    <t xml:space="preserve">Biogasgylle overskud: </t>
  </si>
  <si>
    <t>Kunstgødning import:</t>
  </si>
  <si>
    <t>ton vv</t>
  </si>
  <si>
    <t>gødning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</si>
</sst>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171" fontId="0" fillId="4" borderId="1" xfId="5" applyNumberFormat="1" applyFont="1" applyFill="1" applyBorder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171" fontId="0" fillId="2" borderId="0" xfId="5" applyNumberFormat="1" applyFon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2478369.9999999995</c:v>
                </c:pt>
                <c:pt idx="2">
                  <c:v>2478369.9999999995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572920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561900</c:v>
                </c:pt>
                <c:pt idx="2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6549977.7837975938</c:v>
                </c:pt>
                <c:pt idx="2">
                  <c:v>6549977.7837975938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-739848.59491668525</c:v>
                </c:pt>
                <c:pt idx="2">
                  <c:v>-1127060.9209503944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11164025.44152257</c:v>
                </c:pt>
                <c:pt idx="2">
                  <c:v>10776813.115488859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75529.477832668155</c:v>
                </c:pt>
                <c:pt idx="2">
                  <c:v>75529.477832668155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5018.9357347281402</c:v>
                </c:pt>
                <c:pt idx="2">
                  <c:v>5018.9357347281402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259420.84580784471</c:v>
                </c:pt>
                <c:pt idx="2">
                  <c:v>259420.84580784471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12691.43089649695</c:v>
                </c:pt>
                <c:pt idx="2">
                  <c:v>12691.43089649695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18532.273380057628</c:v>
                </c:pt>
                <c:pt idx="2">
                  <c:v>18532.273380057628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53252.861443761023</c:v>
                </c:pt>
                <c:pt idx="2">
                  <c:v>53252.861443761023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1315844.5557046072</c:v>
                </c:pt>
                <c:pt idx="2">
                  <c:v>1315844.5557046072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176947.20620019</c:v>
                </c:pt>
                <c:pt idx="2">
                  <c:v>176947.20620019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68458.477525207447</c:v>
                </c:pt>
                <c:pt idx="2">
                  <c:v>68458.477525207447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159637.62253140187</c:v>
                </c:pt>
                <c:pt idx="2">
                  <c:v>159637.62253140187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33877.965249666944</c:v>
                </c:pt>
                <c:pt idx="2">
                  <c:v>33877.965249666944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188936.32165572047</c:v>
                </c:pt>
                <c:pt idx="2">
                  <c:v>188936.32165572047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7671.3072982264957</c:v>
                </c:pt>
                <c:pt idx="2">
                  <c:v>7671.3072982264957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102550.71873942249</c:v>
                </c:pt>
                <c:pt idx="2">
                  <c:v>102550.71873942249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19.81115680323347</c:v>
                </c:pt>
                <c:pt idx="2">
                  <c:v>19.906120705526224</c:v>
                </c:pt>
                <c:pt idx="3">
                  <c:v>7.483154704207001</c:v>
                </c:pt>
                <c:pt idx="4">
                  <c:v>7.5365451248242881</c:v>
                </c:pt>
                <c:pt idx="5">
                  <c:v>7.5945634625016289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11.233379459920556</c:v>
                </c:pt>
                <c:pt idx="2">
                  <c:v>11.233379459920556</c:v>
                </c:pt>
                <c:pt idx="3">
                  <c:v>1.4201719861750002</c:v>
                </c:pt>
                <c:pt idx="4">
                  <c:v>1.420171986175</c:v>
                </c:pt>
                <c:pt idx="5">
                  <c:v>1.420171986175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24.669724856822906</c:v>
                </c:pt>
                <c:pt idx="2">
                  <c:v>24.589063627524784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2.9126775873857147</c:v>
                </c:pt>
                <c:pt idx="2">
                  <c:v>2.9126775873857147</c:v>
                </c:pt>
                <c:pt idx="3">
                  <c:v>5.0922829580050024</c:v>
                </c:pt>
                <c:pt idx="4">
                  <c:v>5.0922829580050006</c:v>
                </c:pt>
                <c:pt idx="5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7.4864703205546164</c:v>
                </c:pt>
                <c:pt idx="2">
                  <c:v>7.4864703205546164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44.662476881731756</c:v>
                </c:pt>
                <c:pt idx="2">
                  <c:v>41.432909409895991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1356331.4163449779</c:v>
                </c:pt>
                <c:pt idx="2">
                  <c:v>1374725.705834579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1220808.2513568106</c:v>
                </c:pt>
                <c:pt idx="2">
                  <c:v>1220808.2513568108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2144239.6902705692</c:v>
                </c:pt>
                <c:pt idx="2">
                  <c:v>2136938.6674309736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1109681.5179761907</c:v>
                </c:pt>
                <c:pt idx="2">
                  <c:v>1109681.5179761907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1485511.5945687837</c:v>
                </c:pt>
                <c:pt idx="2">
                  <c:v>1375304.7672248303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72415.092228932088</c:v>
                </c:pt>
                <c:pt idx="5">
                  <c:v>72415.092228932088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729134</c:v>
                </c:pt>
                <c:pt idx="2">
                  <c:v>729134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757087.00000000023</c:v>
                </c:pt>
                <c:pt idx="2">
                  <c:v>757087.00000000023</c:v>
                </c:pt>
                <c:pt idx="15">
                  <c:v>823764.99285714305</c:v>
                </c:pt>
                <c:pt idx="16">
                  <c:v>823764.99285714305</c:v>
                </c:pt>
                <c:pt idx="17">
                  <c:v>823764.99285714305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4441.5</c:v>
                </c:pt>
                <c:pt idx="2">
                  <c:v>4441.5</c:v>
                </c:pt>
                <c:pt idx="15">
                  <c:v>4441.5</c:v>
                </c:pt>
                <c:pt idx="16">
                  <c:v>4441.5</c:v>
                </c:pt>
                <c:pt idx="17">
                  <c:v>4441.5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85677.000000000015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13739757.985270016</c:v>
                </c:pt>
                <c:pt idx="5">
                  <c:v>13739757.985270016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867975.34157733875</c:v>
                </c:pt>
                <c:pt idx="5">
                  <c:v>867975.34157733875</c:v>
                </c:pt>
                <c:pt idx="9">
                  <c:v>1893765.2125355615</c:v>
                </c:pt>
                <c:pt idx="10">
                  <c:v>1805540.7414875296</c:v>
                </c:pt>
                <c:pt idx="11">
                  <c:v>1805540.7414875296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5421074.2654714445</c:v>
                </c:pt>
                <c:pt idx="5">
                  <c:v>5421074.2654714445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995653.99999999953</c:v>
                </c:pt>
                <c:pt idx="2">
                  <c:v>995653.99999999953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6600836.8097011279</c:v>
                </c:pt>
                <c:pt idx="5">
                  <c:v>6600836.8097011279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4353509.666666666</c:v>
                </c:pt>
                <c:pt idx="2">
                  <c:v>4353509.666666666</c:v>
                </c:pt>
                <c:pt idx="15">
                  <c:v>9696490.333333334</c:v>
                </c:pt>
                <c:pt idx="16">
                  <c:v>9696490.3333333321</c:v>
                </c:pt>
                <c:pt idx="17">
                  <c:v>9696490.3333333321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1701754.6673799041</c:v>
                </c:pt>
                <c:pt idx="5">
                  <c:v>1701754.6673799041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330025.99999999994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6351407.0475792512</c:v>
                </c:pt>
                <c:pt idx="5">
                  <c:v>6351407.0475792512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668434.85004951945</c:v>
                </c:pt>
                <c:pt idx="20">
                  <c:v>668434.85004951945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2775826.6867543533</c:v>
                </c:pt>
                <c:pt idx="2">
                  <c:v>2892093.5705389259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2914869.333333333</c:v>
                </c:pt>
                <c:pt idx="2">
                  <c:v>2914869.333333333</c:v>
                </c:pt>
                <c:pt idx="15">
                  <c:v>14742130.666666664</c:v>
                </c:pt>
                <c:pt idx="16">
                  <c:v>14742130.666666666</c:v>
                </c:pt>
                <c:pt idx="17">
                  <c:v>14742130.666666666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181154.31424708109</c:v>
                </c:pt>
                <c:pt idx="11">
                  <c:v>181154.31424708109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2851556.9755475889</c:v>
                </c:pt>
                <c:pt idx="11">
                  <c:v>2628729.3549700924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240377.87559326066</c:v>
                </c:pt>
                <c:pt idx="5">
                  <c:v>240377.87559326066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213899.15201584619</c:v>
                </c:pt>
                <c:pt idx="11">
                  <c:v>213899.15201584619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8780944.7787605803</c:v>
                </c:pt>
                <c:pt idx="17">
                  <c:v>8756981.5780534334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890470.69395743217</c:v>
                </c:pt>
                <c:pt idx="17">
                  <c:v>891519.08398836968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784233.65417649108</c:v>
                </c:pt>
                <c:pt idx="14">
                  <c:v>728920.99629092962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225131.82947161151</c:v>
                </c:pt>
                <c:pt idx="2">
                  <c:v>246630.84611972622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890470.69395743217</c:v>
                </c:pt>
                <c:pt idx="2">
                  <c:v>891519.08398836968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440560.86296927743</c:v>
                </c:pt>
                <c:pt idx="2">
                  <c:v>461087.56228154775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206284.26164707771</c:v>
                </c:pt>
                <c:pt idx="2">
                  <c:v>206284.26164707771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3351434.4059226979</c:v>
                </c:pt>
                <c:pt idx="2">
                  <c:v>3482281.7528930027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1405561.2688290682</c:v>
                </c:pt>
                <c:pt idx="2">
                  <c:v>1405561.2688290682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1564413.1727342645</c:v>
                </c:pt>
                <c:pt idx="2">
                  <c:v>1564413.1727342645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1931709.2202029359</c:v>
                </c:pt>
                <c:pt idx="2">
                  <c:v>1921878.0115849536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1754233.8709876414</c:v>
                </c:pt>
                <c:pt idx="2">
                  <c:v>1730682.1844083001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51892.132620096454</c:v>
                </c:pt>
                <c:pt idx="2">
                  <c:v>51892.132620096454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1081950.2974583334</c:v>
                </c:pt>
                <c:pt idx="2">
                  <c:v>1081950.2974583334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1647305.568768583</c:v>
                </c:pt>
                <c:pt idx="2">
                  <c:v>1647305.568768583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105946.31157195523</c:v>
                </c:pt>
                <c:pt idx="2">
                  <c:v>105946.31157195523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885315.35589861078</c:v>
                </c:pt>
                <c:pt idx="2">
                  <c:v>885315.35589861078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1948665.320823289</c:v>
                </c:pt>
                <c:pt idx="2">
                  <c:v>1948665.320823289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93839.549431499036</c:v>
                </c:pt>
                <c:pt idx="2">
                  <c:v>93839.549431499036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2478369.9999999995</c:v>
                </c:pt>
                <c:pt idx="2">
                  <c:v>2478369.9999999995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572920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561900</c:v>
                </c:pt>
                <c:pt idx="2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6549977.7837975938</c:v>
                </c:pt>
                <c:pt idx="2">
                  <c:v>6549977.7837975938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-739848.59491668525</c:v>
                </c:pt>
                <c:pt idx="2">
                  <c:v>-1127060.9209503944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11164025.44152257</c:v>
                </c:pt>
                <c:pt idx="2">
                  <c:v>10776813.115488859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75529.477832668155</c:v>
                </c:pt>
                <c:pt idx="2">
                  <c:v>75529.477832668155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5018.9357347281402</c:v>
                </c:pt>
                <c:pt idx="2">
                  <c:v>5018.9357347281402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259420.84580784471</c:v>
                </c:pt>
                <c:pt idx="2">
                  <c:v>259420.84580784471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12691.43089649695</c:v>
                </c:pt>
                <c:pt idx="2">
                  <c:v>12691.43089649695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18532.273380057628</c:v>
                </c:pt>
                <c:pt idx="2">
                  <c:v>18532.273380057628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53252.861443761023</c:v>
                </c:pt>
                <c:pt idx="2">
                  <c:v>53252.861443761023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1315844.5557046072</c:v>
                </c:pt>
                <c:pt idx="2">
                  <c:v>1315844.5557046072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176947.20620019</c:v>
                </c:pt>
                <c:pt idx="2">
                  <c:v>176947.20620019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68458.477525207447</c:v>
                </c:pt>
                <c:pt idx="2">
                  <c:v>68458.477525207447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159637.62253140187</c:v>
                </c:pt>
                <c:pt idx="2">
                  <c:v>159637.62253140187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33877.965249666944</c:v>
                </c:pt>
                <c:pt idx="2">
                  <c:v>33877.965249666944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188936.32165572047</c:v>
                </c:pt>
                <c:pt idx="2">
                  <c:v>188936.32165572047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7671.3072982264957</c:v>
                </c:pt>
                <c:pt idx="2">
                  <c:v>7671.3072982264957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102550.71873942249</c:v>
                </c:pt>
                <c:pt idx="2">
                  <c:v>102550.71873942249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11854751.885301495</c:v>
                </c:pt>
                <c:pt idx="2">
                  <c:v>11854751.885301495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1265458.2176968176</c:v>
                </c:pt>
                <c:pt idx="2">
                  <c:v>1265458.2176968176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19821370.233686633</c:v>
                </c:pt>
                <c:pt idx="2">
                  <c:v>19821370.233686633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444240.11469850544</c:v>
                </c:pt>
                <c:pt idx="2">
                  <c:v>444240.11469850544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225973.78230318238</c:v>
                </c:pt>
                <c:pt idx="2">
                  <c:v>225973.78230318238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3238510.7663133652</c:v>
                </c:pt>
                <c:pt idx="2">
                  <c:v>3238510.7663133652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278699.35387600982</c:v>
                </c:pt>
                <c:pt idx="2">
                  <c:v>278699.35387600982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1405561.2688290682</c:v>
                </c:pt>
                <c:pt idx="2">
                  <c:v>1405561.2688290682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40686.374061947514</c:v>
                </c:pt>
                <c:pt idx="2">
                  <c:v>40686.374061947514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15389848.15800428</c:v>
                </c:pt>
                <c:pt idx="2">
                  <c:v>15389848.15800428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278911.32931372407</c:v>
                </c:pt>
                <c:pt idx="2">
                  <c:v>278911.32931372407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885315.35589861078</c:v>
                </c:pt>
                <c:pt idx="2">
                  <c:v>885315.35589861078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2162201.3179389434</c:v>
                </c:pt>
                <c:pt idx="2">
                  <c:v>2162201.3179389434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8911024.563177228</c:v>
                </c:pt>
                <c:pt idx="2">
                  <c:v>8911024.563177228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7763383.3450375833</c:v>
                </c:pt>
                <c:pt idx="2">
                  <c:v>7763383.3450375833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1948665.320823289</c:v>
                </c:pt>
                <c:pt idx="2">
                  <c:v>1948665.320823289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181154.31424708109</c:v>
                </c:pt>
                <c:pt idx="2">
                  <c:v>181154.31424708109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668434.85004951945</c:v>
                </c:pt>
                <c:pt idx="2">
                  <c:v>668434.85004951945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2620364.063254239</c:v>
                </c:pt>
                <c:pt idx="2">
                  <c:v>2620364.063254239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2851556.9755475889</c:v>
                </c:pt>
                <c:pt idx="2">
                  <c:v>2628729.3549700924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784233.65417649108</c:v>
                </c:pt>
                <c:pt idx="2">
                  <c:v>728920.99629092962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20216.842987579123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20216.842987579123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20216.842987579123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20216.842987579123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206284.26164707771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206284.26164707771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72415.092228932088</c:v>
                </c:pt>
                <c:pt idx="5">
                  <c:v>72415.092228932088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729134</c:v>
                </c:pt>
                <c:pt idx="2">
                  <c:v>729134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757087.00000000023</c:v>
                </c:pt>
                <c:pt idx="2">
                  <c:v>757087.00000000023</c:v>
                </c:pt>
                <c:pt idx="15">
                  <c:v>823764.99285714305</c:v>
                </c:pt>
                <c:pt idx="16">
                  <c:v>823764.99285714305</c:v>
                </c:pt>
                <c:pt idx="17">
                  <c:v>823764.99285714305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4441.5</c:v>
                </c:pt>
                <c:pt idx="2">
                  <c:v>4441.5</c:v>
                </c:pt>
                <c:pt idx="15">
                  <c:v>4441.5</c:v>
                </c:pt>
                <c:pt idx="16">
                  <c:v>4441.5</c:v>
                </c:pt>
                <c:pt idx="17">
                  <c:v>4441.5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85677.000000000015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13739757.985270016</c:v>
                </c:pt>
                <c:pt idx="5">
                  <c:v>13739757.985270016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867975.34157733875</c:v>
                </c:pt>
                <c:pt idx="5">
                  <c:v>867975.34157733875</c:v>
                </c:pt>
                <c:pt idx="9">
                  <c:v>1893765.2125355615</c:v>
                </c:pt>
                <c:pt idx="10">
                  <c:v>1805540.7414875296</c:v>
                </c:pt>
                <c:pt idx="11">
                  <c:v>1805540.7414875296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5421074.2654714445</c:v>
                </c:pt>
                <c:pt idx="5">
                  <c:v>5421074.2654714445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995653.99999999953</c:v>
                </c:pt>
                <c:pt idx="2">
                  <c:v>995653.99999999953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6600836.8097011279</c:v>
                </c:pt>
                <c:pt idx="5">
                  <c:v>6600836.8097011279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4353509.666666666</c:v>
                </c:pt>
                <c:pt idx="2">
                  <c:v>4353509.666666666</c:v>
                </c:pt>
                <c:pt idx="15">
                  <c:v>9696490.333333334</c:v>
                </c:pt>
                <c:pt idx="16">
                  <c:v>9696490.3333333321</c:v>
                </c:pt>
                <c:pt idx="17">
                  <c:v>9696490.3333333321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1701754.6673799041</c:v>
                </c:pt>
                <c:pt idx="5">
                  <c:v>1701754.6673799041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330025.99999999994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6351407.0475792512</c:v>
                </c:pt>
                <c:pt idx="5">
                  <c:v>6351407.0475792512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668434.85004951945</c:v>
                </c:pt>
                <c:pt idx="20">
                  <c:v>668434.85004951945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2775826.6867543533</c:v>
                </c:pt>
                <c:pt idx="2">
                  <c:v>2892093.5705389259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2914869.333333333</c:v>
                </c:pt>
                <c:pt idx="2">
                  <c:v>2914869.333333333</c:v>
                </c:pt>
                <c:pt idx="15">
                  <c:v>14742130.666666664</c:v>
                </c:pt>
                <c:pt idx="16">
                  <c:v>14742130.666666666</c:v>
                </c:pt>
                <c:pt idx="17">
                  <c:v>14742130.666666666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181154.31424708109</c:v>
                </c:pt>
                <c:pt idx="11">
                  <c:v>181154.31424708109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2851556.9755475889</c:v>
                </c:pt>
                <c:pt idx="11">
                  <c:v>2628729.3549700924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240377.87559326066</c:v>
                </c:pt>
                <c:pt idx="5">
                  <c:v>240377.87559326066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213899.15201584619</c:v>
                </c:pt>
                <c:pt idx="11">
                  <c:v>213899.15201584619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8780944.7787605803</c:v>
                </c:pt>
                <c:pt idx="17">
                  <c:v>8756981.5780534334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890470.69395743217</c:v>
                </c:pt>
                <c:pt idx="17">
                  <c:v>891519.08398836968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784233.65417649108</c:v>
                </c:pt>
                <c:pt idx="14">
                  <c:v>728920.99629092962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225131.82947161151</c:v>
                </c:pt>
                <c:pt idx="2">
                  <c:v>246630.84611972622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890470.69395743217</c:v>
                </c:pt>
                <c:pt idx="2">
                  <c:v>891519.08398836968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440560.86296927743</c:v>
                </c:pt>
                <c:pt idx="2">
                  <c:v>461087.56228154775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206284.26164707771</c:v>
                </c:pt>
                <c:pt idx="2">
                  <c:v>206284.26164707771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3351434.4059226979</c:v>
                </c:pt>
                <c:pt idx="2">
                  <c:v>3482281.7528930027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1405561.2688290682</c:v>
                </c:pt>
                <c:pt idx="2">
                  <c:v>1405561.2688290682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1564413.1727342645</c:v>
                </c:pt>
                <c:pt idx="2">
                  <c:v>1564413.1727342645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1931709.2202029359</c:v>
                </c:pt>
                <c:pt idx="2">
                  <c:v>1921878.0115849536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1754233.8709876414</c:v>
                </c:pt>
                <c:pt idx="2">
                  <c:v>1730682.1844083001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51892.132620096454</c:v>
                </c:pt>
                <c:pt idx="2">
                  <c:v>51892.132620096454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1081950.2974583334</c:v>
                </c:pt>
                <c:pt idx="2">
                  <c:v>1081950.2974583334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1647305.568768583</c:v>
                </c:pt>
                <c:pt idx="2">
                  <c:v>1647305.568768583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105946.31157195523</c:v>
                </c:pt>
                <c:pt idx="2">
                  <c:v>105946.31157195523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885315.35589861078</c:v>
                </c:pt>
                <c:pt idx="2">
                  <c:v>885315.35589861078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1948665.320823289</c:v>
                </c:pt>
                <c:pt idx="2">
                  <c:v>1948665.320823289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93839.549431499036</c:v>
                </c:pt>
                <c:pt idx="2">
                  <c:v>93839.549431499036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19.81115680323347</c:v>
                </c:pt>
                <c:pt idx="2">
                  <c:v>19.906120705526224</c:v>
                </c:pt>
                <c:pt idx="3">
                  <c:v>7.483154704207001</c:v>
                </c:pt>
                <c:pt idx="4">
                  <c:v>7.5365451248242881</c:v>
                </c:pt>
                <c:pt idx="5">
                  <c:v>7.5945634625016289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11.233379459920556</c:v>
                </c:pt>
                <c:pt idx="2">
                  <c:v>11.233379459920556</c:v>
                </c:pt>
                <c:pt idx="3">
                  <c:v>1.4201719861750002</c:v>
                </c:pt>
                <c:pt idx="4">
                  <c:v>1.420171986175</c:v>
                </c:pt>
                <c:pt idx="5">
                  <c:v>1.420171986175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24.669724856822906</c:v>
                </c:pt>
                <c:pt idx="2">
                  <c:v>24.589063627524784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2.9126775873857147</c:v>
                </c:pt>
                <c:pt idx="2">
                  <c:v>2.9126775873857147</c:v>
                </c:pt>
                <c:pt idx="3">
                  <c:v>5.0922829580050024</c:v>
                </c:pt>
                <c:pt idx="4">
                  <c:v>5.0922829580050006</c:v>
                </c:pt>
                <c:pt idx="5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7.4864703205546164</c:v>
                </c:pt>
                <c:pt idx="2">
                  <c:v>7.4864703205546164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44.662476881731756</c:v>
                </c:pt>
                <c:pt idx="2">
                  <c:v>41.432909409895991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1356331.4163449779</c:v>
                </c:pt>
                <c:pt idx="2">
                  <c:v>1374725.705834579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1220808.2513568106</c:v>
                </c:pt>
                <c:pt idx="2">
                  <c:v>1220808.2513568108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2144239.6902705692</c:v>
                </c:pt>
                <c:pt idx="2">
                  <c:v>2136938.6674309736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1109681.5179761907</c:v>
                </c:pt>
                <c:pt idx="2">
                  <c:v>1109681.5179761907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1485511.5945687837</c:v>
                </c:pt>
                <c:pt idx="2">
                  <c:v>1375304.7672248303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100</xdr:row>
      <xdr:rowOff>31750</xdr:rowOff>
    </xdr:from>
    <xdr:to>
      <xdr:col>28</xdr:col>
      <xdr:colOff>0</xdr:colOff>
      <xdr:row>134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167119</xdr:rowOff>
    </xdr:from>
    <xdr:to>
      <xdr:col>12</xdr:col>
      <xdr:colOff>432954</xdr:colOff>
      <xdr:row>177</xdr:row>
      <xdr:rowOff>47625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31751</xdr:colOff>
      <xdr:row>137</xdr:row>
      <xdr:rowOff>15876</xdr:rowOff>
    </xdr:from>
    <xdr:to>
      <xdr:col>26</xdr:col>
      <xdr:colOff>583394</xdr:colOff>
      <xdr:row>185</xdr:row>
      <xdr:rowOff>51594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6.3510174931521793E-2</v>
          </cell>
          <cell r="J4">
            <v>6.237848677468566E-2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 refreshError="1"/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064815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2910743.331263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4066864.6068164087"/>
    </cacheField>
    <cacheField name="Gødning" numFmtId="3">
      <sharedItems containsSemiMixedTypes="0" containsString="0" containsNumber="1" minValue="0" maxValue="12876380.307038061"/>
    </cacheField>
    <cacheField name="Energi" numFmtId="3">
      <sharedItems containsSemiMixedTypes="0" containsString="0" containsNumber="1" minValue="0" maxValue="352910743.33126384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52910743.331263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1574075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871862.55652163725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180555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2910743.331263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4066864.6068164087"/>
    </cacheField>
    <cacheField name="Gødning" numFmtId="3">
      <sharedItems containsSemiMixedTypes="0" containsString="0" containsNumber="1" minValue="0" maxValue="12876380.307038061"/>
    </cacheField>
    <cacheField name="Energi" numFmtId="3">
      <sharedItems containsSemiMixedTypes="0" containsString="0" containsNumber="1" minValue="0" maxValue="352910743.33126384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52910743.331263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203703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2910743.331263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4066864.6068164087"/>
    </cacheField>
    <cacheField name="Gødning" numFmtId="3">
      <sharedItems containsSemiMixedTypes="0" containsString="0" containsNumber="1" minValue="0" maxValue="12876380.307038061"/>
    </cacheField>
    <cacheField name="Energi" numFmtId="3">
      <sharedItems containsSemiMixedTypes="0" containsString="0" containsNumber="1" minValue="0" maxValue="352910743.33126384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52910743.331263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226852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1.8401588526851431E-5" maxValue="853064.00210361299"/>
    </cacheField>
    <cacheField name="Udbytte, hovedafgrøde" numFmtId="0">
      <sharedItems containsSemiMixedTypes="0" containsString="0" containsNumber="1" minValue="3.0470270362186938E-4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9.9602419032895499E-5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249999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582.71091846241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261573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0.62896284722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76380.3070380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</r>
  <r>
    <x v="1"/>
    <x v="10"/>
    <n v="0"/>
    <x v="1"/>
    <s v="Vestdanmark"/>
    <n v="251942.51103552672"/>
    <n v="64498.47547519199"/>
    <n v="0"/>
    <n v="0"/>
    <n v="0"/>
    <n v="0"/>
    <n v="0"/>
    <n v="0"/>
    <n v="187444.0355603347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</r>
  <r>
    <x v="3"/>
    <x v="10"/>
    <n v="1"/>
    <x v="1"/>
    <s v="Vestdanmark"/>
    <n v="352343383.55163503"/>
    <n v="0"/>
    <n v="0"/>
    <n v="0"/>
    <n v="0"/>
    <n v="0"/>
    <n v="352343383.55163503"/>
    <n v="0"/>
    <n v="0"/>
    <n v="0"/>
    <n v="352343383.55163503"/>
    <n v="0"/>
    <n v="0"/>
    <n v="0"/>
    <n v="0"/>
    <n v="0"/>
    <n v="0"/>
    <n v="0"/>
    <n v="0"/>
  </r>
  <r>
    <x v="4"/>
    <x v="10"/>
    <n v="0"/>
    <x v="1"/>
    <s v="Vestdanmark"/>
    <n v="9617432.0173852239"/>
    <n v="0"/>
    <n v="0"/>
    <n v="0"/>
    <n v="0"/>
    <n v="6960723.7107095271"/>
    <n v="0"/>
    <n v="0"/>
    <n v="2656708.3066756967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</r>
  <r>
    <x v="9"/>
    <x v="10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</r>
  <r>
    <x v="10"/>
    <x v="10"/>
    <n v="0"/>
    <x v="1"/>
    <s v="Vestdanmark"/>
    <n v="816683.24927192752"/>
    <n v="0"/>
    <n v="0"/>
    <n v="0"/>
    <n v="0"/>
    <n v="0"/>
    <n v="0"/>
    <n v="0"/>
    <n v="816683.24927192752"/>
    <n v="0"/>
    <n v="0"/>
    <n v="0"/>
    <n v="0"/>
    <n v="0"/>
    <n v="0"/>
    <n v="0"/>
    <n v="0"/>
    <n v="0"/>
    <n v="0"/>
  </r>
  <r>
    <x v="11"/>
    <x v="10"/>
    <n v="0"/>
    <x v="1"/>
    <s v="Vestdanmark"/>
    <n v="25103.663143485108"/>
    <n v="0"/>
    <n v="0"/>
    <n v="257923.29437791562"/>
    <n v="0"/>
    <n v="0"/>
    <n v="0"/>
    <n v="0"/>
    <n v="-232819.6312344305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475308.007050257"/>
    <n v="12237689.9092583"/>
    <n v="0"/>
    <n v="0"/>
    <n v="75018.541590975714"/>
    <n v="0"/>
    <n v="0"/>
    <n v="0"/>
    <n v="1162599.5562009811"/>
    <n v="1162599.5562009811"/>
    <n v="75018.541590975714"/>
    <n v="2.1390378584652803"/>
    <n v="2.2770625976749765"/>
    <n v="0.13802473920969646"/>
    <n v="2.1390378584652803"/>
    <n v="325527.87573627476"/>
    <n v="346533.06738174794"/>
    <n v="21005.191645473202"/>
    <n v="325527.87573627476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83141.32099151294"/>
    <n v="0"/>
    <n v="0"/>
    <n v="270140.71358529059"/>
    <n v="0"/>
    <n v="0"/>
    <n v="0"/>
    <n v="0"/>
    <n v="-86999.392593777651"/>
    <n v="0"/>
    <n v="0"/>
    <n v="0"/>
    <n v="0"/>
    <n v="0"/>
    <n v="0"/>
    <n v="0"/>
    <n v="0"/>
    <n v="0"/>
    <n v="0"/>
  </r>
  <r>
    <x v="16"/>
    <x v="5"/>
    <n v="1"/>
    <x v="1"/>
    <s v="Vestdanmark"/>
    <n v="2638910.761883507"/>
    <n v="773085.89354292618"/>
    <n v="728576.62938789232"/>
    <n v="0"/>
    <n v="52759.391018010894"/>
    <n v="0"/>
    <n v="1084488.8479346768"/>
    <n v="0"/>
    <n v="0"/>
    <n v="0"/>
    <n v="1137248.2389526877"/>
    <n v="0"/>
    <n v="11.513253088493739"/>
    <n v="0.30418637928998254"/>
    <n v="11.209066709203757"/>
    <n v="0"/>
    <n v="966661.00310978456"/>
    <n v="44845.482365309261"/>
    <n v="921815.520744475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</r>
  <r>
    <x v="20"/>
    <x v="10"/>
    <n v="0"/>
    <x v="1"/>
    <s v="Vestdanmark"/>
    <n v="741510.76618312241"/>
    <n v="0"/>
    <n v="0"/>
    <n v="0"/>
    <n v="0"/>
    <n v="0"/>
    <n v="0"/>
    <n v="0"/>
    <n v="741510.76618312241"/>
    <n v="0"/>
    <n v="0"/>
    <n v="0"/>
    <n v="0"/>
    <n v="0"/>
    <n v="0"/>
    <n v="0"/>
    <n v="0"/>
    <n v="0"/>
    <n v="0"/>
  </r>
  <r>
    <x v="21"/>
    <x v="10"/>
    <n v="0"/>
    <x v="1"/>
    <s v="Vestdanmark"/>
    <n v="2048170.9409103482"/>
    <n v="0"/>
    <n v="0"/>
    <n v="123531.68309679118"/>
    <n v="0"/>
    <n v="0"/>
    <n v="0"/>
    <n v="0"/>
    <n v="1924639.2578135571"/>
    <n v="0"/>
    <n v="0"/>
    <n v="0"/>
    <n v="0"/>
    <n v="0"/>
    <n v="0"/>
    <n v="0"/>
    <n v="0"/>
    <n v="0"/>
    <n v="0"/>
  </r>
  <r>
    <x v="22"/>
    <x v="5"/>
    <n v="1"/>
    <x v="1"/>
    <s v="Vestdanmark"/>
    <n v="6660662.8299724497"/>
    <n v="5879215.2019956242"/>
    <n v="0"/>
    <n v="295933.04302308214"/>
    <n v="2829.8956304621011"/>
    <n v="0"/>
    <n v="0"/>
    <n v="0"/>
    <n v="482684.68932328094"/>
    <n v="482684.68932328094"/>
    <n v="2829.8956304621011"/>
    <n v="1.6531274850757323"/>
    <n v="1.6628194814246766"/>
    <n v="9.6919963489444337E-3"/>
    <n v="1.6531274850757323"/>
    <n v="149632.2536902171"/>
    <n v="150509.52133566033"/>
    <n v="877.26764544325135"/>
    <n v="149632.25369021707"/>
  </r>
  <r>
    <x v="23"/>
    <x v="10"/>
    <n v="0"/>
    <x v="1"/>
    <s v="Vestdanmark"/>
    <n v="0"/>
    <n v="0"/>
    <n v="0"/>
    <n v="0"/>
    <n v="0"/>
    <n v="518382.89357522689"/>
    <n v="0"/>
    <n v="0"/>
    <n v="-518382.89357522689"/>
    <n v="0"/>
    <n v="0"/>
    <n v="0"/>
    <n v="0"/>
    <n v="0"/>
    <n v="0"/>
    <n v="0"/>
    <n v="0"/>
    <n v="0"/>
    <n v="0"/>
  </r>
  <r>
    <x v="24"/>
    <x v="2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</r>
  <r>
    <x v="25"/>
    <x v="10"/>
    <n v="0"/>
    <x v="1"/>
    <s v="Vestdanmark"/>
    <n v="1637278.8284784025"/>
    <n v="1515714.1736670118"/>
    <n v="0"/>
    <n v="0"/>
    <n v="0"/>
    <n v="0"/>
    <n v="0"/>
    <n v="0"/>
    <n v="121564.65481139068"/>
    <n v="0"/>
    <n v="0"/>
    <n v="0"/>
    <n v="0"/>
    <n v="0"/>
    <n v="0"/>
    <n v="0"/>
    <n v="0"/>
    <n v="0"/>
    <n v="0"/>
  </r>
  <r>
    <x v="26"/>
    <x v="4"/>
    <n v="1"/>
    <x v="1"/>
    <s v="Vestdanmark"/>
    <n v="7401057.8539744057"/>
    <n v="5657053.7864699634"/>
    <n v="0"/>
    <n v="0"/>
    <n v="314623.32990126638"/>
    <n v="0"/>
    <n v="0"/>
    <n v="0"/>
    <n v="1429380.7376031764"/>
    <n v="1081950.2974583334"/>
    <n v="314623.32990126638"/>
    <n v="3.8842015678754174"/>
    <n v="5.0136993222209636"/>
    <n v="1.1294977543455464"/>
    <n v="3.8842015678754169"/>
    <n v="324585.08923750004"/>
    <n v="418972.08820787992"/>
    <n v="94386.998970379907"/>
    <n v="324585.08923749998"/>
  </r>
  <r>
    <x v="27"/>
    <x v="10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</r>
  <r>
    <x v="28"/>
    <x v="6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</r>
  <r>
    <x v="30"/>
    <x v="10"/>
    <n v="0"/>
    <x v="1"/>
    <s v="Vestdanmark"/>
    <n v="1558166.0944741257"/>
    <n v="0"/>
    <n v="0"/>
    <n v="0"/>
    <n v="0"/>
    <n v="0"/>
    <n v="0"/>
    <n v="0"/>
    <n v="1558166.0944741257"/>
    <n v="0"/>
    <n v="0"/>
    <n v="0"/>
    <n v="0"/>
    <n v="0"/>
    <n v="0"/>
    <n v="0"/>
    <n v="0"/>
    <n v="0"/>
    <n v="0"/>
  </r>
  <r>
    <x v="31"/>
    <x v="7"/>
    <n v="1"/>
    <x v="1"/>
    <s v="Vestdanmark"/>
    <n v="146406.17107700335"/>
    <n v="0"/>
    <n v="0"/>
    <n v="0"/>
    <n v="0"/>
    <n v="0"/>
    <n v="146406.17107700335"/>
    <n v="0"/>
    <n v="0"/>
    <n v="0"/>
    <n v="146406.17107700335"/>
    <n v="0"/>
    <n v="2.6938735478168612"/>
    <n v="0"/>
    <n v="2.6938735478168612"/>
    <n v="0"/>
    <n v="60758.560996956396"/>
    <n v="0"/>
    <n v="60758.560996956396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</r>
  <r>
    <x v="35"/>
    <x v="10"/>
    <n v="0"/>
    <x v="1"/>
    <s v="Vestdanmark"/>
    <n v="476340.01515460305"/>
    <n v="0"/>
    <n v="0"/>
    <n v="0"/>
    <n v="0"/>
    <n v="0"/>
    <n v="0"/>
    <n v="476340.01515460305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38170.00757730153"/>
    <n v="214099.10609126228"/>
    <n v="0"/>
    <n v="0"/>
    <n v="0"/>
    <n v="0"/>
    <n v="0"/>
    <n v="0"/>
    <n v="24070.901486039249"/>
    <n v="0"/>
    <n v="0"/>
    <n v="0"/>
    <n v="0"/>
    <n v="0"/>
    <n v="0"/>
    <n v="0"/>
    <n v="0"/>
    <n v="0"/>
    <n v="0"/>
  </r>
  <r>
    <x v="37"/>
    <x v="9"/>
    <n v="1"/>
    <x v="1"/>
    <s v="Vestdanmark"/>
    <n v="152428.80484947297"/>
    <n v="0"/>
    <n v="0"/>
    <n v="0"/>
    <n v="0"/>
    <n v="0"/>
    <n v="152428.80484947297"/>
    <n v="0"/>
    <n v="0"/>
    <n v="0"/>
    <n v="152428.80484947297"/>
    <n v="0"/>
    <n v="5.3350081697315535"/>
    <n v="0"/>
    <n v="5.3350081697315535"/>
    <n v="0"/>
    <n v="0"/>
    <n v="0"/>
    <n v="0"/>
  </r>
  <r>
    <x v="38"/>
    <x v="4"/>
    <n v="1"/>
    <x v="1"/>
    <s v="Vestdanmark"/>
    <n v="373912.94111232943"/>
    <n v="841167.61765562883"/>
    <n v="0"/>
    <n v="0"/>
    <n v="4087.4992709451894"/>
    <n v="0"/>
    <n v="0"/>
    <n v="0"/>
    <n v="-471342.17581424461"/>
    <n v="0"/>
    <n v="4087.4992709451894"/>
    <n v="0"/>
    <n v="1.1093636521316083E-2"/>
    <n v="1.1093636521316083E-2"/>
    <n v="0"/>
    <n v="0"/>
    <n v="817.49985418903793"/>
    <n v="817.49985418903793"/>
    <n v="0"/>
  </r>
  <r>
    <x v="39"/>
    <x v="10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</r>
  <r>
    <x v="40"/>
    <x v="10"/>
    <n v="0"/>
    <x v="1"/>
    <s v="Vestdanmark"/>
    <n v="131636.61559425521"/>
    <n v="39415.735012617326"/>
    <n v="0"/>
    <n v="0"/>
    <n v="0"/>
    <n v="0"/>
    <n v="0"/>
    <n v="0"/>
    <n v="92220.880581637888"/>
    <n v="0"/>
    <n v="0"/>
    <n v="0"/>
    <n v="0"/>
    <n v="0"/>
    <n v="0"/>
    <n v="0"/>
    <n v="0"/>
    <n v="0"/>
    <n v="0"/>
  </r>
  <r>
    <x v="41"/>
    <x v="1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</r>
  <r>
    <x v="42"/>
    <x v="2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</r>
  <r>
    <x v="43"/>
    <x v="10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</r>
  <r>
    <x v="44"/>
    <x v="6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5884.0906945551"/>
    <n v="0"/>
    <n v="0"/>
    <n v="0"/>
    <n v="0"/>
    <n v="0"/>
    <n v="2205884.0906945551"/>
    <n v="0"/>
    <n v="0"/>
    <n v="0"/>
    <n v="2205884.0906945551"/>
    <n v="0"/>
    <n v="31.971133055605648"/>
    <n v="0"/>
    <n v="31.971133055605648"/>
    <n v="0"/>
    <n v="1090993.506522682"/>
    <n v="0"/>
    <n v="1090993.506522682"/>
  </r>
  <r>
    <x v="47"/>
    <x v="10"/>
    <n v="0"/>
    <x v="1"/>
    <s v="Vestdanmark"/>
    <n v="606661.04726979067"/>
    <n v="0"/>
    <n v="0"/>
    <n v="0"/>
    <n v="0"/>
    <n v="0"/>
    <n v="0"/>
    <n v="606661.0472697906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</r>
  <r>
    <x v="1"/>
    <x v="10"/>
    <n v="0"/>
    <x v="2"/>
    <s v="Vestdanmark"/>
    <n v="251942.51103552672"/>
    <n v="64498.47547519199"/>
    <n v="0"/>
    <n v="0"/>
    <n v="0"/>
    <n v="0"/>
    <n v="0"/>
    <n v="0"/>
    <n v="187444.0355603347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</r>
  <r>
    <x v="3"/>
    <x v="10"/>
    <n v="1"/>
    <x v="2"/>
    <s v="Vestdanmark"/>
    <n v="352910743.33126384"/>
    <n v="0"/>
    <n v="0"/>
    <n v="0"/>
    <n v="0"/>
    <n v="0"/>
    <n v="352910743.33126384"/>
    <n v="0"/>
    <n v="0"/>
    <n v="0"/>
    <n v="352910743.33126384"/>
    <n v="0"/>
    <n v="0"/>
    <n v="0"/>
    <n v="0"/>
    <n v="0"/>
    <n v="0"/>
    <n v="0"/>
    <n v="0"/>
  </r>
  <r>
    <x v="4"/>
    <x v="10"/>
    <n v="0"/>
    <x v="2"/>
    <s v="Vestdanmark"/>
    <n v="9667687.4423104227"/>
    <n v="0"/>
    <n v="0"/>
    <n v="0"/>
    <n v="0"/>
    <n v="6917063.4331097705"/>
    <n v="0"/>
    <n v="0"/>
    <n v="2750624.0092006521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</r>
  <r>
    <x v="9"/>
    <x v="10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</r>
  <r>
    <x v="10"/>
    <x v="10"/>
    <n v="0"/>
    <x v="2"/>
    <s v="Vestdanmark"/>
    <n v="816683.24927192752"/>
    <n v="0"/>
    <n v="0"/>
    <n v="0"/>
    <n v="0"/>
    <n v="0"/>
    <n v="0"/>
    <n v="0"/>
    <n v="816683.24927192752"/>
    <n v="0"/>
    <n v="0"/>
    <n v="0"/>
    <n v="0"/>
    <n v="0"/>
    <n v="0"/>
    <n v="0"/>
    <n v="0"/>
    <n v="0"/>
    <n v="0"/>
  </r>
  <r>
    <x v="11"/>
    <x v="10"/>
    <n v="0"/>
    <x v="2"/>
    <s v="Vestdanmark"/>
    <n v="25103.663143485108"/>
    <n v="0"/>
    <n v="0"/>
    <n v="267978.92035102146"/>
    <n v="0"/>
    <n v="0"/>
    <n v="0"/>
    <n v="0"/>
    <n v="-242875.25720753634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3475308.007050257"/>
    <n v="12237689.9092583"/>
    <n v="0"/>
    <n v="0"/>
    <n v="75018.541590975714"/>
    <n v="0"/>
    <n v="0"/>
    <n v="0"/>
    <n v="1162599.5562009811"/>
    <n v="1162599.5562009811"/>
    <n v="75018.541590975714"/>
    <n v="2.1390378584652803"/>
    <n v="2.2770625976749765"/>
    <n v="0.13802473920969646"/>
    <n v="2.1390378584652803"/>
    <n v="325527.87573627476"/>
    <n v="346533.06738174794"/>
    <n v="21005.191645473202"/>
    <n v="325527.875736274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3141.32099151294"/>
    <n v="0"/>
    <n v="0"/>
    <n v="280672.65868343826"/>
    <n v="0"/>
    <n v="0"/>
    <n v="0"/>
    <n v="0"/>
    <n v="-97531.337691925321"/>
    <n v="0"/>
    <n v="0"/>
    <n v="0"/>
    <n v="0"/>
    <n v="0"/>
    <n v="0"/>
    <n v="0"/>
    <n v="0"/>
    <n v="0"/>
    <n v="0"/>
  </r>
  <r>
    <x v="16"/>
    <x v="5"/>
    <n v="1"/>
    <x v="2"/>
    <s v="Vestdanmark"/>
    <n v="2638910.761883507"/>
    <n v="773085.89354292618"/>
    <n v="728576.62938789232"/>
    <n v="0"/>
    <n v="52759.391018010894"/>
    <n v="0"/>
    <n v="1084488.8479346768"/>
    <n v="0"/>
    <n v="0"/>
    <n v="0"/>
    <n v="1137248.2389526877"/>
    <n v="0"/>
    <n v="11.513253088493739"/>
    <n v="0.30418637928998254"/>
    <n v="11.209066709203757"/>
    <n v="0"/>
    <n v="966661.00310978456"/>
    <n v="44845.482365309261"/>
    <n v="921815.520744475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</r>
  <r>
    <x v="20"/>
    <x v="10"/>
    <n v="0"/>
    <x v="2"/>
    <s v="Vestdanmark"/>
    <n v="741510.76618312241"/>
    <n v="0"/>
    <n v="0"/>
    <n v="0"/>
    <n v="0"/>
    <n v="0"/>
    <n v="0"/>
    <n v="0"/>
    <n v="741510.76618312241"/>
    <n v="0"/>
    <n v="0"/>
    <n v="0"/>
    <n v="0"/>
    <n v="0"/>
    <n v="0"/>
    <n v="0"/>
    <n v="0"/>
    <n v="0"/>
    <n v="0"/>
  </r>
  <r>
    <x v="21"/>
    <x v="10"/>
    <n v="0"/>
    <x v="2"/>
    <s v="Vestdanmark"/>
    <n v="2048170.9409103482"/>
    <n v="0"/>
    <n v="0"/>
    <n v="128347.79869443661"/>
    <n v="0"/>
    <n v="0"/>
    <n v="0"/>
    <n v="0"/>
    <n v="1919823.1422159115"/>
    <n v="0"/>
    <n v="0"/>
    <n v="0"/>
    <n v="0"/>
    <n v="0"/>
    <n v="0"/>
    <n v="0"/>
    <n v="0"/>
    <n v="0"/>
    <n v="0"/>
  </r>
  <r>
    <x v="22"/>
    <x v="5"/>
    <n v="1"/>
    <x v="2"/>
    <s v="Vestdanmark"/>
    <n v="6660662.8299724497"/>
    <n v="5879215.2019956242"/>
    <n v="0"/>
    <n v="307470.55071854044"/>
    <n v="2829.8956304621011"/>
    <n v="0"/>
    <n v="0"/>
    <n v="0"/>
    <n v="471147.18162782304"/>
    <n v="471147.18162782304"/>
    <n v="2829.8956304621011"/>
    <n v="1.6136131364698663"/>
    <n v="1.6233051328188106"/>
    <n v="9.6919963489444337E-3"/>
    <n v="1.6136131364698663"/>
    <n v="146055.62630462516"/>
    <n v="146932.89395006839"/>
    <n v="877.26764544325135"/>
    <n v="146055.62630462513"/>
  </r>
  <r>
    <x v="23"/>
    <x v="10"/>
    <n v="0"/>
    <x v="2"/>
    <s v="Vestdanmark"/>
    <n v="0"/>
    <n v="0"/>
    <n v="0"/>
    <n v="0"/>
    <n v="0"/>
    <n v="520293.03072021605"/>
    <n v="0"/>
    <n v="0"/>
    <n v="-520293.03072021605"/>
    <n v="0"/>
    <n v="0"/>
    <n v="0"/>
    <n v="0"/>
    <n v="0"/>
    <n v="0"/>
    <n v="0"/>
    <n v="0"/>
    <n v="0"/>
    <n v="0"/>
  </r>
  <r>
    <x v="24"/>
    <x v="2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</r>
  <r>
    <x v="25"/>
    <x v="10"/>
    <n v="0"/>
    <x v="2"/>
    <s v="Vestdanmark"/>
    <n v="1637278.8284784025"/>
    <n v="1515714.1736670118"/>
    <n v="0"/>
    <n v="0"/>
    <n v="0"/>
    <n v="0"/>
    <n v="0"/>
    <n v="0"/>
    <n v="121564.65481139068"/>
    <n v="0"/>
    <n v="0"/>
    <n v="0"/>
    <n v="0"/>
    <n v="0"/>
    <n v="0"/>
    <n v="0"/>
    <n v="0"/>
    <n v="0"/>
    <n v="0"/>
  </r>
  <r>
    <x v="26"/>
    <x v="4"/>
    <n v="1"/>
    <x v="2"/>
    <s v="Vestdanmark"/>
    <n v="7401057.8539744057"/>
    <n v="5657053.7864699634"/>
    <n v="0"/>
    <n v="0"/>
    <n v="314623.32990126638"/>
    <n v="0"/>
    <n v="0"/>
    <n v="0"/>
    <n v="1429380.7376031764"/>
    <n v="1081950.2974583334"/>
    <n v="314623.32990126638"/>
    <n v="3.8842015678754174"/>
    <n v="5.0136993222209636"/>
    <n v="1.1294977543455464"/>
    <n v="3.8842015678754169"/>
    <n v="324585.08923750004"/>
    <n v="418972.08820787992"/>
    <n v="94386.998970379907"/>
    <n v="324585.08923749998"/>
  </r>
  <r>
    <x v="27"/>
    <x v="10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</r>
  <r>
    <x v="28"/>
    <x v="6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</r>
  <r>
    <x v="30"/>
    <x v="10"/>
    <n v="0"/>
    <x v="2"/>
    <s v="Vestdanmark"/>
    <n v="1558166.0944741257"/>
    <n v="0"/>
    <n v="0"/>
    <n v="0"/>
    <n v="0"/>
    <n v="0"/>
    <n v="0"/>
    <n v="0"/>
    <n v="1558166.0944741257"/>
    <n v="0"/>
    <n v="0"/>
    <n v="0"/>
    <n v="0"/>
    <n v="0"/>
    <n v="0"/>
    <n v="0"/>
    <n v="0"/>
    <n v="0"/>
    <n v="0"/>
  </r>
  <r>
    <x v="31"/>
    <x v="7"/>
    <n v="1"/>
    <x v="2"/>
    <s v="Vestdanmark"/>
    <n v="146406.17107700335"/>
    <n v="0"/>
    <n v="0"/>
    <n v="0"/>
    <n v="0"/>
    <n v="0"/>
    <n v="146406.17107700335"/>
    <n v="0"/>
    <n v="0"/>
    <n v="0"/>
    <n v="146406.17107700335"/>
    <n v="0"/>
    <n v="2.6938735478168612"/>
    <n v="0"/>
    <n v="2.6938735478168612"/>
    <n v="0"/>
    <n v="60758.560996956396"/>
    <n v="0"/>
    <n v="60758.56099695639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</r>
  <r>
    <x v="35"/>
    <x v="10"/>
    <n v="0"/>
    <x v="2"/>
    <s v="Vestdanmark"/>
    <n v="476340.01515460305"/>
    <n v="0"/>
    <n v="0"/>
    <n v="0"/>
    <n v="0"/>
    <n v="0"/>
    <n v="0"/>
    <n v="476340.01515460305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38170.00757730153"/>
    <n v="214099.10609126228"/>
    <n v="0"/>
    <n v="0"/>
    <n v="0"/>
    <n v="0"/>
    <n v="0"/>
    <n v="0"/>
    <n v="24070.901486039249"/>
    <n v="0"/>
    <n v="0"/>
    <n v="0"/>
    <n v="0"/>
    <n v="0"/>
    <n v="0"/>
    <n v="0"/>
    <n v="0"/>
    <n v="0"/>
    <n v="0"/>
  </r>
  <r>
    <x v="37"/>
    <x v="9"/>
    <n v="1"/>
    <x v="2"/>
    <s v="Vestdanmark"/>
    <n v="152428.80484947297"/>
    <n v="0"/>
    <n v="0"/>
    <n v="0"/>
    <n v="0"/>
    <n v="0"/>
    <n v="152428.80484947297"/>
    <n v="0"/>
    <n v="0"/>
    <n v="0"/>
    <n v="152428.80484947297"/>
    <n v="0"/>
    <n v="5.3350081697315535"/>
    <n v="0"/>
    <n v="5.3350081697315535"/>
    <n v="0"/>
    <n v="0"/>
    <n v="0"/>
    <n v="0"/>
  </r>
  <r>
    <x v="38"/>
    <x v="4"/>
    <n v="1"/>
    <x v="2"/>
    <s v="Vestdanmark"/>
    <n v="373912.94111232943"/>
    <n v="841167.61765562883"/>
    <n v="0"/>
    <n v="0"/>
    <n v="4087.4992709451894"/>
    <n v="0"/>
    <n v="0"/>
    <n v="0"/>
    <n v="-471342.17581424461"/>
    <n v="0"/>
    <n v="4087.4992709451894"/>
    <n v="0"/>
    <n v="1.1093636521316083E-2"/>
    <n v="1.1093636521316083E-2"/>
    <n v="0"/>
    <n v="0"/>
    <n v="817.49985418903793"/>
    <n v="817.49985418903793"/>
    <n v="0"/>
  </r>
  <r>
    <x v="39"/>
    <x v="10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</r>
  <r>
    <x v="40"/>
    <x v="10"/>
    <n v="0"/>
    <x v="2"/>
    <s v="Vestdanmark"/>
    <n v="131636.61559425521"/>
    <n v="39415.735012617326"/>
    <n v="0"/>
    <n v="0"/>
    <n v="0"/>
    <n v="0"/>
    <n v="0"/>
    <n v="0"/>
    <n v="92220.880581637888"/>
    <n v="0"/>
    <n v="0"/>
    <n v="0"/>
    <n v="0"/>
    <n v="0"/>
    <n v="0"/>
    <n v="0"/>
    <n v="0"/>
    <n v="0"/>
    <n v="0"/>
  </r>
  <r>
    <x v="41"/>
    <x v="1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</r>
  <r>
    <x v="42"/>
    <x v="2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</r>
  <r>
    <x v="43"/>
    <x v="10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</r>
  <r>
    <x v="44"/>
    <x v="6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33510.9249418937"/>
    <n v="0"/>
    <n v="0"/>
    <n v="0"/>
    <n v="0"/>
    <n v="0"/>
    <n v="2033510.9249418937"/>
    <n v="0"/>
    <n v="0"/>
    <n v="0"/>
    <n v="2033510.9249418937"/>
    <n v="0"/>
    <n v="29.472830701124686"/>
    <n v="0"/>
    <n v="29.472830701124686"/>
    <n v="0"/>
    <n v="1005740.6116275116"/>
    <n v="0"/>
    <n v="1005740.6116275116"/>
  </r>
  <r>
    <x v="47"/>
    <x v="10"/>
    <n v="0"/>
    <x v="2"/>
    <s v="Vestdanmark"/>
    <n v="563872.73439718515"/>
    <n v="0"/>
    <n v="0"/>
    <n v="0"/>
    <n v="0"/>
    <n v="0"/>
    <n v="0"/>
    <n v="563872.73439718515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</r>
  <r>
    <x v="1"/>
    <x v="10"/>
    <n v="0"/>
    <x v="1"/>
    <s v="Østdanmark"/>
    <n v="26756.842840483081"/>
    <n v="7916.616753740097"/>
    <n v="0"/>
    <n v="0"/>
    <n v="0"/>
    <n v="0"/>
    <n v="0"/>
    <n v="0"/>
    <n v="18840.22608674298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</r>
  <r>
    <x v="3"/>
    <x v="10"/>
    <n v="1"/>
    <x v="1"/>
    <s v="Østdanmark"/>
    <n v="111981103.64425051"/>
    <n v="0"/>
    <n v="0"/>
    <n v="0"/>
    <n v="0"/>
    <n v="0"/>
    <n v="111981103.64425051"/>
    <n v="0"/>
    <n v="0"/>
    <n v="0"/>
    <n v="111981103.64425051"/>
    <n v="0"/>
    <n v="0"/>
    <n v="0"/>
    <n v="0"/>
    <n v="0"/>
    <n v="0"/>
    <n v="0"/>
    <n v="0"/>
  </r>
  <r>
    <x v="4"/>
    <x v="10"/>
    <n v="0"/>
    <x v="1"/>
    <s v="Østdanmark"/>
    <n v="2514947.1672980539"/>
    <n v="0"/>
    <n v="0"/>
    <n v="0"/>
    <n v="0"/>
    <n v="1820221.068051053"/>
    <n v="0"/>
    <n v="0"/>
    <n v="694726.09924700088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</r>
  <r>
    <x v="9"/>
    <x v="10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</r>
  <r>
    <x v="10"/>
    <x v="10"/>
    <n v="0"/>
    <x v="1"/>
    <s v="Østdanmark"/>
    <n v="588878.01955714053"/>
    <n v="0"/>
    <n v="0"/>
    <n v="0"/>
    <n v="0"/>
    <n v="0"/>
    <n v="0"/>
    <n v="0"/>
    <n v="588878.01955714053"/>
    <n v="0"/>
    <n v="0"/>
    <n v="0"/>
    <n v="0"/>
    <n v="0"/>
    <n v="0"/>
    <n v="0"/>
    <n v="0"/>
    <n v="0"/>
    <n v="0"/>
  </r>
  <r>
    <x v="11"/>
    <x v="10"/>
    <n v="0"/>
    <x v="1"/>
    <s v="Østdanmark"/>
    <n v="15582.71091846241"/>
    <n v="0"/>
    <n v="0"/>
    <n v="223323.94265330929"/>
    <n v="0"/>
    <n v="0"/>
    <n v="0"/>
    <n v="0"/>
    <n v="-207741.2317348468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1914540.1509540223"/>
    <n v="1502068.0760117145"/>
    <n v="0"/>
    <n v="0"/>
    <n v="10658.458409024295"/>
    <n v="0"/>
    <n v="0"/>
    <n v="0"/>
    <n v="401813.61653328338"/>
    <n v="401813.61653328338"/>
    <n v="10658.458409024295"/>
    <n v="0.73928682771917476"/>
    <n v="0.75889705888447834"/>
    <n v="1.9610231165303575E-2"/>
    <n v="0.73928682771917476"/>
    <n v="112507.81262931935"/>
    <n v="115492.18098384616"/>
    <n v="2984.3683545268032"/>
    <n v="112507.8126293193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5770.008322211143"/>
    <n v="0"/>
    <n v="0"/>
    <n v="233902.44520004498"/>
    <n v="0"/>
    <n v="0"/>
    <n v="0"/>
    <n v="0"/>
    <n v="-138132.43687783385"/>
    <n v="0"/>
    <n v="0"/>
    <n v="0"/>
    <n v="0"/>
    <n v="0"/>
    <n v="0"/>
    <n v="0"/>
    <n v="0"/>
    <n v="0"/>
    <n v="0"/>
  </r>
  <r>
    <x v="16"/>
    <x v="5"/>
    <n v="1"/>
    <x v="1"/>
    <s v="Østdanmark"/>
    <n v="942884.75112836226"/>
    <n v="94889.448034412562"/>
    <n v="103768.80055910767"/>
    <n v="0"/>
    <n v="23174.608981989095"/>
    <n v="0"/>
    <n v="721051.89355285291"/>
    <n v="0"/>
    <n v="0"/>
    <n v="0"/>
    <n v="744226.502534842"/>
    <n v="0"/>
    <n v="7.5862668672984315"/>
    <n v="0.1336141350700174"/>
    <n v="7.4526527322284144"/>
    <n v="0"/>
    <n v="632592.52715461573"/>
    <n v="19698.41763469073"/>
    <n v="612894.10951992497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</r>
  <r>
    <x v="20"/>
    <x v="10"/>
    <n v="0"/>
    <x v="1"/>
    <s v="Østdanmark"/>
    <n v="143804.58971548834"/>
    <n v="0"/>
    <n v="0"/>
    <n v="0"/>
    <n v="0"/>
    <n v="0"/>
    <n v="0"/>
    <n v="0"/>
    <n v="143804.58971548834"/>
    <n v="0"/>
    <n v="0"/>
    <n v="0"/>
    <n v="0"/>
    <n v="0"/>
    <n v="0"/>
    <n v="0"/>
    <n v="0"/>
    <n v="0"/>
    <n v="0"/>
  </r>
  <r>
    <x v="21"/>
    <x v="10"/>
    <n v="0"/>
    <x v="1"/>
    <s v="Østdanmark"/>
    <n v="114030.37702859532"/>
    <n v="0"/>
    <n v="0"/>
    <n v="106960.41463921656"/>
    <n v="0"/>
    <n v="0"/>
    <n v="0"/>
    <n v="0"/>
    <n v="7069.9623893787648"/>
    <n v="0"/>
    <n v="0"/>
    <n v="0"/>
    <n v="0"/>
    <n v="0"/>
    <n v="0"/>
    <n v="0"/>
    <n v="0"/>
    <n v="0"/>
    <n v="0"/>
  </r>
  <r>
    <x v="22"/>
    <x v="5"/>
    <n v="1"/>
    <x v="1"/>
    <s v="Østdanmark"/>
    <n v="2250361.7332047778"/>
    <n v="721621.60770550347"/>
    <n v="0"/>
    <n v="256234.83946537593"/>
    <n v="956.10436953789804"/>
    <n v="0"/>
    <n v="0"/>
    <n v="0"/>
    <n v="1271549.1816643605"/>
    <n v="1271549.1816643605"/>
    <n v="956.10436953789804"/>
    <n v="4.354877930315002"/>
    <n v="4.3581524539260572"/>
    <n v="3.2745236110555661E-3"/>
    <n v="4.354877930315002"/>
    <n v="394180.24631595175"/>
    <n v="394476.63867050852"/>
    <n v="296.39235455674839"/>
    <n v="394180.24631595175"/>
  </r>
  <r>
    <x v="23"/>
    <x v="10"/>
    <n v="0"/>
    <x v="1"/>
    <s v="Østdanmark"/>
    <n v="0"/>
    <n v="0"/>
    <n v="0"/>
    <n v="0"/>
    <n v="0"/>
    <n v="372087.80038220529"/>
    <n v="0"/>
    <n v="0"/>
    <n v="-372087.80038220529"/>
    <n v="0"/>
    <n v="0"/>
    <n v="0"/>
    <n v="0"/>
    <n v="0"/>
    <n v="0"/>
    <n v="0"/>
    <n v="0"/>
    <n v="0"/>
    <n v="0"/>
  </r>
  <r>
    <x v="24"/>
    <x v="2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</r>
  <r>
    <x v="25"/>
    <x v="10"/>
    <n v="0"/>
    <x v="1"/>
    <s v="Østdanmark"/>
    <n v="116367.97152159807"/>
    <n v="186040.49371289229"/>
    <n v="0"/>
    <n v="0"/>
    <n v="0"/>
    <n v="0"/>
    <n v="0"/>
    <n v="0"/>
    <n v="-69672.522191294222"/>
    <n v="0"/>
    <n v="0"/>
    <n v="0"/>
    <n v="0"/>
    <n v="0"/>
    <n v="0"/>
    <n v="0"/>
    <n v="0"/>
    <n v="0"/>
    <n v="0"/>
  </r>
  <r>
    <x v="26"/>
    <x v="4"/>
    <n v="1"/>
    <x v="1"/>
    <s v="Østdanmark"/>
    <n v="362325.49106317805"/>
    <n v="694353.26110928762"/>
    <n v="0"/>
    <n v="0"/>
    <n v="15402.670098733543"/>
    <n v="0"/>
    <n v="0"/>
    <n v="0"/>
    <n v="-347430.44014484307"/>
    <n v="0"/>
    <n v="15402.670098733543"/>
    <n v="0"/>
    <n v="5.5295585654453423E-2"/>
    <n v="5.5295585654453423E-2"/>
    <n v="0"/>
    <n v="0"/>
    <n v="4620.8010296200628"/>
    <n v="4620.8010296200628"/>
    <n v="0"/>
  </r>
  <r>
    <x v="27"/>
    <x v="10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</r>
  <r>
    <x v="28"/>
    <x v="6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</r>
  <r>
    <x v="30"/>
    <x v="10"/>
    <n v="0"/>
    <x v="1"/>
    <s v="Østdanmark"/>
    <n v="390499.22634916333"/>
    <n v="0"/>
    <n v="0"/>
    <n v="0"/>
    <n v="0"/>
    <n v="0"/>
    <n v="0"/>
    <n v="0"/>
    <n v="390499.22634916333"/>
    <n v="0"/>
    <n v="0"/>
    <n v="0"/>
    <n v="0"/>
    <n v="0"/>
    <n v="0"/>
    <n v="0"/>
    <n v="0"/>
    <n v="0"/>
    <n v="0"/>
  </r>
  <r>
    <x v="31"/>
    <x v="7"/>
    <n v="1"/>
    <x v="1"/>
    <s v="Østdanmark"/>
    <n v="34748.143170077739"/>
    <n v="0"/>
    <n v="0"/>
    <n v="0"/>
    <n v="0"/>
    <n v="0"/>
    <n v="34748.143170077739"/>
    <n v="0"/>
    <n v="0"/>
    <n v="0"/>
    <n v="34748.143170077739"/>
    <n v="0"/>
    <n v="0.63936583432943028"/>
    <n v="0"/>
    <n v="0.63936583432943028"/>
    <n v="0"/>
    <n v="14420.479415582264"/>
    <n v="0"/>
    <n v="14420.47941558226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</r>
  <r>
    <x v="35"/>
    <x v="10"/>
    <n v="0"/>
    <x v="1"/>
    <s v="Østdanmark"/>
    <n v="192094.83489491633"/>
    <n v="0"/>
    <n v="0"/>
    <n v="0"/>
    <n v="0"/>
    <n v="0"/>
    <n v="0"/>
    <n v="192094.83489491633"/>
    <n v="0"/>
    <n v="0"/>
    <n v="0"/>
    <n v="0"/>
    <n v="0"/>
    <n v="0"/>
    <n v="0"/>
    <n v="0"/>
    <n v="0"/>
    <n v="0"/>
    <n v="0"/>
  </r>
  <r>
    <x v="36"/>
    <x v="10"/>
    <n v="0"/>
    <x v="1"/>
    <s v="Østdanmark"/>
    <n v="96047.417447458167"/>
    <n v="26278.769501998377"/>
    <n v="0"/>
    <n v="0"/>
    <n v="0"/>
    <n v="0"/>
    <n v="0"/>
    <n v="0"/>
    <n v="69768.647945459787"/>
    <n v="0"/>
    <n v="0"/>
    <n v="0"/>
    <n v="0"/>
    <n v="0"/>
    <n v="0"/>
    <n v="0"/>
    <n v="0"/>
    <n v="0"/>
    <n v="0"/>
  </r>
  <r>
    <x v="37"/>
    <x v="9"/>
    <n v="1"/>
    <x v="1"/>
    <s v="Østdanmark"/>
    <n v="61470.347166373227"/>
    <n v="0"/>
    <n v="0"/>
    <n v="0"/>
    <n v="0"/>
    <n v="0"/>
    <n v="61470.347166373227"/>
    <n v="0"/>
    <n v="0"/>
    <n v="0"/>
    <n v="61470.347166373227"/>
    <n v="0"/>
    <n v="2.1514621508230629"/>
    <n v="0"/>
    <n v="2.1514621508230629"/>
    <n v="0"/>
    <n v="0"/>
    <n v="0"/>
    <n v="0"/>
  </r>
  <r>
    <x v="38"/>
    <x v="4"/>
    <n v="1"/>
    <x v="1"/>
    <s v="Østdanmark"/>
    <n v="2246451.1221419098"/>
    <n v="103245.8768300271"/>
    <n v="0"/>
    <n v="0"/>
    <n v="24557.500729054813"/>
    <n v="0"/>
    <n v="0"/>
    <n v="0"/>
    <n v="2118647.7445828277"/>
    <n v="1647305.568768583"/>
    <n v="24557.500729054813"/>
    <n v="4.4708532058606849"/>
    <n v="4.5375032451393684"/>
    <n v="6.6650039278683931E-2"/>
    <n v="4.4708532058606849"/>
    <n v="329461.11375371664"/>
    <n v="334372.61389952758"/>
    <n v="4911.5001458109627"/>
    <n v="329461.11375371664"/>
  </r>
  <r>
    <x v="39"/>
    <x v="10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</r>
  <r>
    <x v="40"/>
    <x v="10"/>
    <n v="0"/>
    <x v="1"/>
    <s v="Østdanmark"/>
    <n v="18563.363450936293"/>
    <n v="4837.9324606189484"/>
    <n v="0"/>
    <n v="0"/>
    <n v="0"/>
    <n v="0"/>
    <n v="0"/>
    <n v="0"/>
    <n v="13725.430990317345"/>
    <n v="0"/>
    <n v="0"/>
    <n v="0"/>
    <n v="0"/>
    <n v="0"/>
    <n v="0"/>
    <n v="0"/>
    <n v="0"/>
    <n v="0"/>
    <n v="0"/>
  </r>
  <r>
    <x v="41"/>
    <x v="1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</r>
  <r>
    <x v="42"/>
    <x v="2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</r>
  <r>
    <x v="43"/>
    <x v="10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</r>
  <r>
    <x v="44"/>
    <x v="6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672.88485303381"/>
    <n v="0"/>
    <n v="0"/>
    <n v="0"/>
    <n v="0"/>
    <n v="0"/>
    <n v="645672.88485303381"/>
    <n v="0"/>
    <n v="0"/>
    <n v="0"/>
    <n v="645672.88485303381"/>
    <n v="0"/>
    <n v="9.3581044439798156"/>
    <n v="0"/>
    <n v="9.3581044439798156"/>
    <n v="0"/>
    <n v="319339.04763356299"/>
    <n v="0"/>
    <n v="319339.04763356299"/>
  </r>
  <r>
    <x v="47"/>
    <x v="10"/>
    <n v="0"/>
    <x v="1"/>
    <s v="Østdanmark"/>
    <n v="177572.60690670041"/>
    <n v="0"/>
    <n v="0"/>
    <n v="0"/>
    <n v="0"/>
    <n v="0"/>
    <n v="0"/>
    <n v="177572.60690670041"/>
    <n v="0"/>
    <n v="0"/>
    <n v="0"/>
    <n v="0"/>
    <n v="0"/>
    <n v="0"/>
    <n v="0"/>
    <n v="0"/>
    <n v="0"/>
    <n v="0"/>
    <n v="0"/>
  </r>
  <r>
    <x v="0"/>
    <x v="10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</r>
  <r>
    <x v="1"/>
    <x v="10"/>
    <n v="0"/>
    <x v="2"/>
    <s v="Østdanmark"/>
    <n v="26756.842840483081"/>
    <n v="7916.616753740097"/>
    <n v="0"/>
    <n v="0"/>
    <n v="0"/>
    <n v="0"/>
    <n v="0"/>
    <n v="0"/>
    <n v="18840.22608674298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</r>
  <r>
    <x v="3"/>
    <x v="10"/>
    <n v="1"/>
    <x v="2"/>
    <s v="Østdanmark"/>
    <n v="113029853.54922721"/>
    <n v="0"/>
    <n v="0"/>
    <n v="0"/>
    <n v="0"/>
    <n v="0"/>
    <n v="113029853.54922721"/>
    <n v="0"/>
    <n v="0"/>
    <n v="0"/>
    <n v="113029853.54922721"/>
    <n v="0"/>
    <n v="0"/>
    <n v="0"/>
    <n v="0"/>
    <n v="0"/>
    <n v="0"/>
    <n v="0"/>
    <n v="0"/>
  </r>
  <r>
    <x v="4"/>
    <x v="10"/>
    <n v="0"/>
    <x v="2"/>
    <s v="Østdanmark"/>
    <n v="2571575.8886360126"/>
    <n v="0"/>
    <n v="0"/>
    <n v="0"/>
    <n v="0"/>
    <n v="1839918.144943662"/>
    <n v="0"/>
    <n v="0"/>
    <n v="731657.7436923505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</r>
  <r>
    <x v="9"/>
    <x v="10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</r>
  <r>
    <x v="10"/>
    <x v="10"/>
    <n v="0"/>
    <x v="2"/>
    <s v="Østdanmark"/>
    <n v="588878.01955714053"/>
    <n v="0"/>
    <n v="0"/>
    <n v="0"/>
    <n v="0"/>
    <n v="0"/>
    <n v="0"/>
    <n v="0"/>
    <n v="588878.01955714053"/>
    <n v="0"/>
    <n v="0"/>
    <n v="0"/>
    <n v="0"/>
    <n v="0"/>
    <n v="0"/>
    <n v="0"/>
    <n v="0"/>
    <n v="0"/>
    <n v="0"/>
  </r>
  <r>
    <x v="11"/>
    <x v="10"/>
    <n v="0"/>
    <x v="2"/>
    <s v="Østdanmark"/>
    <n v="15582.71091846241"/>
    <n v="0"/>
    <n v="0"/>
    <n v="233795.01599247381"/>
    <n v="0"/>
    <n v="0"/>
    <n v="0"/>
    <n v="0"/>
    <n v="-218212.30507401141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1914540.1509540223"/>
    <n v="1502068.0760117145"/>
    <n v="0"/>
    <n v="0"/>
    <n v="10658.458409024295"/>
    <n v="0"/>
    <n v="0"/>
    <n v="0"/>
    <n v="401813.61653328338"/>
    <n v="401813.61653328338"/>
    <n v="10658.458409024295"/>
    <n v="0.73928682771917476"/>
    <n v="0.75889705888447834"/>
    <n v="1.9610231165303575E-2"/>
    <n v="0.73928682771917476"/>
    <n v="112507.81262931935"/>
    <n v="115492.18098384616"/>
    <n v="2984.3683545268032"/>
    <n v="112507.8126293193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5770.008322211143"/>
    <n v="0"/>
    <n v="0"/>
    <n v="244869.51675001203"/>
    <n v="0"/>
    <n v="0"/>
    <n v="0"/>
    <n v="0"/>
    <n v="-149099.5084278009"/>
    <n v="0"/>
    <n v="0"/>
    <n v="0"/>
    <n v="0"/>
    <n v="0"/>
    <n v="0"/>
    <n v="0"/>
    <n v="0"/>
    <n v="0"/>
    <n v="0"/>
  </r>
  <r>
    <x v="16"/>
    <x v="5"/>
    <n v="1"/>
    <x v="2"/>
    <s v="Østdanmark"/>
    <n v="942884.75112836226"/>
    <n v="94889.448034412562"/>
    <n v="103768.80055910767"/>
    <n v="0"/>
    <n v="23174.608981989095"/>
    <n v="0"/>
    <n v="721051.89355285291"/>
    <n v="0"/>
    <n v="0"/>
    <n v="0"/>
    <n v="744226.502534842"/>
    <n v="0"/>
    <n v="7.5862668672984315"/>
    <n v="0.1336141350700174"/>
    <n v="7.4526527322284144"/>
    <n v="0"/>
    <n v="632592.52715461573"/>
    <n v="19698.41763469073"/>
    <n v="612894.10951992497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</r>
  <r>
    <x v="20"/>
    <x v="10"/>
    <n v="0"/>
    <x v="2"/>
    <s v="Østdanmark"/>
    <n v="143804.58971548834"/>
    <n v="0"/>
    <n v="0"/>
    <n v="0"/>
    <n v="0"/>
    <n v="0"/>
    <n v="0"/>
    <n v="0"/>
    <n v="143804.58971548834"/>
    <n v="0"/>
    <n v="0"/>
    <n v="0"/>
    <n v="0"/>
    <n v="0"/>
    <n v="0"/>
    <n v="0"/>
    <n v="0"/>
    <n v="0"/>
    <n v="0"/>
  </r>
  <r>
    <x v="21"/>
    <x v="10"/>
    <n v="0"/>
    <x v="2"/>
    <s v="Østdanmark"/>
    <n v="114030.37702859532"/>
    <n v="0"/>
    <n v="0"/>
    <n v="111975.50765955324"/>
    <n v="0"/>
    <n v="0"/>
    <n v="0"/>
    <n v="0"/>
    <n v="2054.8693690420769"/>
    <n v="0"/>
    <n v="0"/>
    <n v="0"/>
    <n v="0"/>
    <n v="0"/>
    <n v="0"/>
    <n v="0"/>
    <n v="0"/>
    <n v="0"/>
    <n v="0"/>
  </r>
  <r>
    <x v="22"/>
    <x v="5"/>
    <n v="1"/>
    <x v="2"/>
    <s v="Østdanmark"/>
    <n v="2250361.7332047778"/>
    <n v="721621.60770550347"/>
    <n v="0"/>
    <n v="268249.01834925939"/>
    <n v="956.10436953789804"/>
    <n v="0"/>
    <n v="0"/>
    <n v="0"/>
    <n v="1259535.0027804771"/>
    <n v="1259535.0027804771"/>
    <n v="956.10436953789804"/>
    <n v="4.3137310496227457"/>
    <n v="4.3170055732338009"/>
    <n v="3.2745236110555661E-3"/>
    <n v="4.3137310496227457"/>
    <n v="390455.85086194787"/>
    <n v="390752.24321650463"/>
    <n v="296.39235455674839"/>
    <n v="390455.85086194787"/>
  </r>
  <r>
    <x v="23"/>
    <x v="10"/>
    <n v="0"/>
    <x v="2"/>
    <s v="Østdanmark"/>
    <n v="0"/>
    <n v="0"/>
    <n v="0"/>
    <n v="0"/>
    <n v="0"/>
    <n v="371226.05326815369"/>
    <n v="0"/>
    <n v="0"/>
    <n v="-371226.05326815369"/>
    <n v="0"/>
    <n v="0"/>
    <n v="0"/>
    <n v="0"/>
    <n v="0"/>
    <n v="0"/>
    <n v="0"/>
    <n v="0"/>
    <n v="0"/>
    <n v="0"/>
  </r>
  <r>
    <x v="24"/>
    <x v="2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</r>
  <r>
    <x v="25"/>
    <x v="10"/>
    <n v="0"/>
    <x v="2"/>
    <s v="Østdanmark"/>
    <n v="116367.97152159807"/>
    <n v="186040.49371289229"/>
    <n v="0"/>
    <n v="0"/>
    <n v="0"/>
    <n v="0"/>
    <n v="0"/>
    <n v="0"/>
    <n v="-69672.522191294222"/>
    <n v="0"/>
    <n v="0"/>
    <n v="0"/>
    <n v="0"/>
    <n v="0"/>
    <n v="0"/>
    <n v="0"/>
    <n v="0"/>
    <n v="0"/>
    <n v="0"/>
  </r>
  <r>
    <x v="26"/>
    <x v="4"/>
    <n v="1"/>
    <x v="2"/>
    <s v="Østdanmark"/>
    <n v="362325.49106317805"/>
    <n v="694353.26110928762"/>
    <n v="0"/>
    <n v="0"/>
    <n v="15402.670098733543"/>
    <n v="0"/>
    <n v="0"/>
    <n v="0"/>
    <n v="-347430.44014484307"/>
    <n v="0"/>
    <n v="15402.670098733543"/>
    <n v="0"/>
    <n v="5.5295585654453423E-2"/>
    <n v="5.5295585654453423E-2"/>
    <n v="0"/>
    <n v="0"/>
    <n v="4620.8010296200628"/>
    <n v="4620.8010296200628"/>
    <n v="0"/>
  </r>
  <r>
    <x v="27"/>
    <x v="10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</r>
  <r>
    <x v="28"/>
    <x v="6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</r>
  <r>
    <x v="30"/>
    <x v="10"/>
    <n v="0"/>
    <x v="2"/>
    <s v="Østdanmark"/>
    <n v="390499.22634916333"/>
    <n v="0"/>
    <n v="0"/>
    <n v="0"/>
    <n v="0"/>
    <n v="0"/>
    <n v="0"/>
    <n v="0"/>
    <n v="390499.22634916333"/>
    <n v="0"/>
    <n v="0"/>
    <n v="0"/>
    <n v="0"/>
    <n v="0"/>
    <n v="0"/>
    <n v="0"/>
    <n v="0"/>
    <n v="0"/>
    <n v="0"/>
  </r>
  <r>
    <x v="31"/>
    <x v="7"/>
    <n v="1"/>
    <x v="2"/>
    <s v="Østdanmark"/>
    <n v="34748.143170077739"/>
    <n v="0"/>
    <n v="0"/>
    <n v="0"/>
    <n v="0"/>
    <n v="0"/>
    <n v="34748.143170077739"/>
    <n v="0"/>
    <n v="0"/>
    <n v="0"/>
    <n v="34748.143170077739"/>
    <n v="0"/>
    <n v="0.63936583432943028"/>
    <n v="0"/>
    <n v="0.63936583432943028"/>
    <n v="0"/>
    <n v="14420.479415582264"/>
    <n v="0"/>
    <n v="14420.47941558226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</r>
  <r>
    <x v="35"/>
    <x v="10"/>
    <n v="0"/>
    <x v="2"/>
    <s v="Østdanmark"/>
    <n v="192094.83489491633"/>
    <n v="0"/>
    <n v="0"/>
    <n v="0"/>
    <n v="0"/>
    <n v="0"/>
    <n v="0"/>
    <n v="192094.8348949163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6047.417447458167"/>
    <n v="26278.769501998377"/>
    <n v="0"/>
    <n v="0"/>
    <n v="0"/>
    <n v="0"/>
    <n v="0"/>
    <n v="0"/>
    <n v="69768.647945459787"/>
    <n v="0"/>
    <n v="0"/>
    <n v="0"/>
    <n v="0"/>
    <n v="0"/>
    <n v="0"/>
    <n v="0"/>
    <n v="0"/>
    <n v="0"/>
    <n v="0"/>
  </r>
  <r>
    <x v="37"/>
    <x v="9"/>
    <n v="1"/>
    <x v="2"/>
    <s v="Østdanmark"/>
    <n v="61470.347166373227"/>
    <n v="0"/>
    <n v="0"/>
    <n v="0"/>
    <n v="0"/>
    <n v="0"/>
    <n v="61470.347166373227"/>
    <n v="0"/>
    <n v="0"/>
    <n v="0"/>
    <n v="61470.347166373227"/>
    <n v="0"/>
    <n v="2.1514621508230629"/>
    <n v="0"/>
    <n v="2.1514621508230629"/>
    <n v="0"/>
    <n v="0"/>
    <n v="0"/>
    <n v="0"/>
  </r>
  <r>
    <x v="38"/>
    <x v="4"/>
    <n v="1"/>
    <x v="2"/>
    <s v="Østdanmark"/>
    <n v="2246451.1221419098"/>
    <n v="103245.8768300271"/>
    <n v="0"/>
    <n v="0"/>
    <n v="24557.500729054813"/>
    <n v="0"/>
    <n v="0"/>
    <n v="0"/>
    <n v="2118647.7445828277"/>
    <n v="1647305.568768583"/>
    <n v="24557.500729054813"/>
    <n v="4.4708532058606849"/>
    <n v="4.5375032451393684"/>
    <n v="6.6650039278683931E-2"/>
    <n v="4.4708532058606849"/>
    <n v="329461.11375371664"/>
    <n v="334372.61389952758"/>
    <n v="4911.5001458109627"/>
    <n v="329461.11375371664"/>
  </r>
  <r>
    <x v="39"/>
    <x v="10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</r>
  <r>
    <x v="40"/>
    <x v="10"/>
    <n v="0"/>
    <x v="2"/>
    <s v="Østdanmark"/>
    <n v="18563.363450936293"/>
    <n v="4837.9324606189484"/>
    <n v="0"/>
    <n v="0"/>
    <n v="0"/>
    <n v="0"/>
    <n v="0"/>
    <n v="0"/>
    <n v="13725.430990317345"/>
    <n v="0"/>
    <n v="0"/>
    <n v="0"/>
    <n v="0"/>
    <n v="0"/>
    <n v="0"/>
    <n v="0"/>
    <n v="0"/>
    <n v="0"/>
    <n v="0"/>
  </r>
  <r>
    <x v="41"/>
    <x v="1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</r>
  <r>
    <x v="42"/>
    <x v="2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</r>
  <r>
    <x v="43"/>
    <x v="10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</r>
  <r>
    <x v="44"/>
    <x v="6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95218.43002819875"/>
    <n v="0"/>
    <n v="0"/>
    <n v="0"/>
    <n v="0"/>
    <n v="0"/>
    <n v="595218.43002819875"/>
    <n v="0"/>
    <n v="0"/>
    <n v="0"/>
    <n v="595218.43002819875"/>
    <n v="0"/>
    <n v="8.6268393266250119"/>
    <n v="0"/>
    <n v="8.6268393266250119"/>
    <n v="0"/>
    <n v="294385.11518477998"/>
    <n v="0"/>
    <n v="294385.11518477998"/>
  </r>
  <r>
    <x v="47"/>
    <x v="10"/>
    <n v="0"/>
    <x v="2"/>
    <s v="Østdanmark"/>
    <n v="165048.26189374441"/>
    <n v="0"/>
    <n v="0"/>
    <n v="0"/>
    <n v="0"/>
    <n v="0"/>
    <n v="0"/>
    <n v="165048.2618937444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9538570.0866147242"/>
    <s v="CO2 - atmosfære"/>
    <x v="0"/>
  </r>
  <r>
    <s v="Vestdanmark"/>
    <x v="1"/>
    <n v="5069555.7415848225"/>
    <s v="Landbrug"/>
    <x v="1"/>
  </r>
  <r>
    <s v="Vestdanmark"/>
    <x v="1"/>
    <n v="4155713.5630745986"/>
    <s v="Landbrug"/>
    <x v="2"/>
  </r>
  <r>
    <s v="Vestdanmark"/>
    <x v="1"/>
    <n v="1037730.055244103"/>
    <s v="Landbrug"/>
    <x v="2"/>
  </r>
  <r>
    <s v="Vestdanmark"/>
    <x v="1"/>
    <n v="65.998469138771299"/>
    <s v="Landbrug"/>
    <x v="2"/>
  </r>
  <r>
    <s v="Vestdanmark"/>
    <x v="1"/>
    <n v="-158.24317477886137"/>
    <s v="Hav"/>
    <x v="3"/>
  </r>
  <r>
    <s v="Vestdanmark"/>
    <x v="1"/>
    <n v="-572326.01664430613"/>
    <s v="Skov"/>
    <x v="4"/>
  </r>
  <r>
    <s v="Vestdanmark"/>
    <x v="1"/>
    <n v="-152011.01193885587"/>
    <s v="Biogasanlæg"/>
    <x v="5"/>
  </r>
  <r>
    <s v="Vestdanmark"/>
    <x v="1"/>
    <n v="0"/>
    <s v="Pyrolyseproces"/>
    <x v="6"/>
  </r>
  <r>
    <s v="Vestdanmark"/>
    <x v="2"/>
    <n v="9239033.5467373915"/>
    <s v="CO2 - atmosfære"/>
    <x v="0"/>
  </r>
  <r>
    <s v="Vestdanmark"/>
    <x v="2"/>
    <n v="5069555.7415848225"/>
    <s v="Landbrug"/>
    <x v="1"/>
  </r>
  <r>
    <s v="Vestdanmark"/>
    <x v="2"/>
    <n v="4155713.5630745986"/>
    <s v="Landbrug"/>
    <x v="2"/>
  </r>
  <r>
    <s v="Vestdanmark"/>
    <x v="2"/>
    <n v="1037730.055244103"/>
    <s v="Landbrug"/>
    <x v="2"/>
  </r>
  <r>
    <s v="Vestdanmark"/>
    <x v="2"/>
    <n v="65.998469138771299"/>
    <s v="Landbrug"/>
    <x v="2"/>
  </r>
  <r>
    <s v="Vestdanmark"/>
    <x v="2"/>
    <n v="-158.24317477886137"/>
    <s v="Hav"/>
    <x v="3"/>
  </r>
  <r>
    <s v="Vestdanmark"/>
    <x v="2"/>
    <n v="-871862.55652163725"/>
    <s v="Skov"/>
    <x v="4"/>
  </r>
  <r>
    <s v="Vestdanmark"/>
    <x v="2"/>
    <n v="-152011.01193885587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625455.3549078461"/>
    <s v="CO2 - atmosfære"/>
    <x v="0"/>
  </r>
  <r>
    <s v="Østdanmark"/>
    <x v="1"/>
    <n v="449706.1591518941"/>
    <s v="Landbrug"/>
    <x v="1"/>
  </r>
  <r>
    <s v="Østdanmark"/>
    <x v="1"/>
    <n v="1244614.3784581725"/>
    <s v="Landbrug"/>
    <x v="2"/>
  </r>
  <r>
    <s v="Østdanmark"/>
    <x v="1"/>
    <n v="111846.67809052246"/>
    <s v="Landbrug"/>
    <x v="2"/>
  </r>
  <r>
    <s v="Østdanmark"/>
    <x v="1"/>
    <n v="7.1104610596313274"/>
    <s v="Landbrug"/>
    <x v="2"/>
  </r>
  <r>
    <s v="Østdanmark"/>
    <x v="1"/>
    <n v="-0.19402522113858015"/>
    <s v="Hav"/>
    <x v="3"/>
  </r>
  <r>
    <s v="Østdanmark"/>
    <x v="1"/>
    <n v="-167522.57827237912"/>
    <s v="Skov"/>
    <x v="4"/>
  </r>
  <r>
    <s v="Østdanmark"/>
    <x v="1"/>
    <n v="-13196.198956203871"/>
    <s v="Biogasanlæg"/>
    <x v="5"/>
  </r>
  <r>
    <s v="Østdanmark"/>
    <x v="1"/>
    <n v="0"/>
    <s v="Pyrolyseproces"/>
    <x v="6"/>
  </r>
  <r>
    <s v="Østdanmark"/>
    <x v="2"/>
    <n v="1537779.5687514679"/>
    <s v="CO2 - atmosfære"/>
    <x v="0"/>
  </r>
  <r>
    <s v="Østdanmark"/>
    <x v="2"/>
    <n v="449706.1591518941"/>
    <s v="Landbrug"/>
    <x v="1"/>
  </r>
  <r>
    <s v="Østdanmark"/>
    <x v="2"/>
    <n v="1244614.3784581725"/>
    <s v="Landbrug"/>
    <x v="2"/>
  </r>
  <r>
    <s v="Østdanmark"/>
    <x v="2"/>
    <n v="111846.67809052246"/>
    <s v="Landbrug"/>
    <x v="2"/>
  </r>
  <r>
    <s v="Østdanmark"/>
    <x v="2"/>
    <n v="7.1104610596313274"/>
    <s v="Landbrug"/>
    <x v="2"/>
  </r>
  <r>
    <s v="Østdanmark"/>
    <x v="2"/>
    <n v="-0.19402522113858015"/>
    <s v="Hav"/>
    <x v="3"/>
  </r>
  <r>
    <s v="Østdanmark"/>
    <x v="2"/>
    <n v="-255198.36442875714"/>
    <s v="Skov"/>
    <x v="4"/>
  </r>
  <r>
    <s v="Østdanmark"/>
    <x v="2"/>
    <n v="-13196.198956203871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51942.51103552672"/>
    <n v="64498.47547519199"/>
    <n v="0"/>
    <n v="0"/>
    <n v="0"/>
    <n v="0"/>
    <n v="0"/>
    <n v="0"/>
    <n v="187444.0355603347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  <n v="1"/>
    <x v="1"/>
  </r>
  <r>
    <x v="3"/>
    <s v=""/>
    <n v="1"/>
    <x v="1"/>
    <s v="Vestdanmark"/>
    <n v="352343383.55163503"/>
    <n v="0"/>
    <n v="0"/>
    <n v="0"/>
    <n v="0"/>
    <n v="0"/>
    <n v="352343383.55163503"/>
    <n v="0"/>
    <n v="0"/>
    <n v="0"/>
    <n v="352343383.55163503"/>
    <n v="0"/>
    <n v="0"/>
    <n v="0"/>
    <n v="0"/>
    <n v="0"/>
    <n v="0"/>
    <n v="0"/>
    <n v="0"/>
    <n v="0"/>
    <x v="1"/>
  </r>
  <r>
    <x v="4"/>
    <s v=""/>
    <n v="0"/>
    <x v="1"/>
    <s v="Vestdanmark"/>
    <n v="9617432.0173852239"/>
    <n v="0"/>
    <n v="0"/>
    <n v="0"/>
    <n v="0"/>
    <n v="6960723.7107095271"/>
    <n v="0"/>
    <n v="0"/>
    <n v="2656708.306675696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n v="0"/>
    <x v="1"/>
  </r>
  <r>
    <x v="9"/>
    <s v="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816683.24927192752"/>
    <n v="0"/>
    <n v="0"/>
    <n v="0"/>
    <n v="0"/>
    <n v="0"/>
    <n v="0"/>
    <n v="0"/>
    <n v="816683.2492719275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5103.663143485108"/>
    <n v="0"/>
    <n v="0"/>
    <n v="257923.29437791562"/>
    <n v="0"/>
    <n v="0"/>
    <n v="0"/>
    <n v="0"/>
    <n v="-232819.6312344305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475308.007050257"/>
    <n v="12237689.9092583"/>
    <n v="0"/>
    <n v="0"/>
    <n v="75018.541590975714"/>
    <n v="0"/>
    <n v="0"/>
    <n v="0"/>
    <n v="1162599.5562009811"/>
    <n v="1162599.5562009811"/>
    <n v="75018.541590975714"/>
    <n v="2.1390378584652803"/>
    <n v="2.2770625976749765"/>
    <n v="0.13802473920969646"/>
    <n v="2.1390378584652803"/>
    <n v="325527.87573627476"/>
    <n v="346533.06738174794"/>
    <n v="21005.191645473202"/>
    <n v="325527.87573627476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83141.32099151294"/>
    <n v="0"/>
    <n v="0"/>
    <n v="270140.71358529059"/>
    <n v="0"/>
    <n v="0"/>
    <n v="0"/>
    <n v="0"/>
    <n v="-86999.392593777651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8910.761883507"/>
    <n v="773085.89354292618"/>
    <n v="728576.62938789232"/>
    <n v="0"/>
    <n v="52759.391018010894"/>
    <n v="0"/>
    <n v="1084488.8479346768"/>
    <n v="0"/>
    <n v="0"/>
    <n v="0"/>
    <n v="1137248.2389526877"/>
    <n v="0"/>
    <n v="11.513253088493739"/>
    <n v="0.30418637928998254"/>
    <n v="11.209066709203757"/>
    <n v="0"/>
    <n v="966661.00310978456"/>
    <n v="44845.482365309261"/>
    <n v="921815.520744475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  <n v="1"/>
    <x v="1"/>
  </r>
  <r>
    <x v="20"/>
    <s v=""/>
    <n v="0"/>
    <x v="1"/>
    <s v="Vestdanmark"/>
    <n v="741510.76618312241"/>
    <n v="0"/>
    <n v="0"/>
    <n v="0"/>
    <n v="0"/>
    <n v="0"/>
    <n v="0"/>
    <n v="0"/>
    <n v="741510.76618312241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048170.9409103482"/>
    <n v="0"/>
    <n v="0"/>
    <n v="123531.68309679118"/>
    <n v="0"/>
    <n v="0"/>
    <n v="0"/>
    <n v="0"/>
    <n v="1924639.2578135571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660662.8299724497"/>
    <n v="5879215.2019956242"/>
    <n v="0"/>
    <n v="295933.04302308214"/>
    <n v="2829.8956304621011"/>
    <n v="0"/>
    <n v="0"/>
    <n v="0"/>
    <n v="482684.68932328094"/>
    <n v="482684.68932328094"/>
    <n v="2829.8956304621011"/>
    <n v="1.6531274850757323"/>
    <n v="1.6628194814246766"/>
    <n v="9.6919963489444337E-3"/>
    <n v="1.6531274850757323"/>
    <n v="149632.2536902171"/>
    <n v="150509.52133566033"/>
    <n v="877.26764544325135"/>
    <n v="149632.25369021707"/>
    <n v="0"/>
    <x v="0"/>
  </r>
  <r>
    <x v="23"/>
    <s v=""/>
    <n v="0"/>
    <x v="1"/>
    <s v="Vestdanmark"/>
    <n v="0"/>
    <n v="0"/>
    <n v="0"/>
    <n v="0"/>
    <n v="0"/>
    <n v="518382.89357522689"/>
    <n v="0"/>
    <n v="0"/>
    <n v="-518382.893575226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n v="0"/>
    <x v="1"/>
  </r>
  <r>
    <x v="25"/>
    <s v=""/>
    <n v="0"/>
    <x v="1"/>
    <s v="Vestdanmark"/>
    <n v="1637278.8284784025"/>
    <n v="1515714.1736670118"/>
    <n v="0"/>
    <n v="0"/>
    <n v="0"/>
    <n v="0"/>
    <n v="0"/>
    <n v="0"/>
    <n v="121564.6548113906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401057.8539744057"/>
    <n v="5657053.7864699634"/>
    <n v="0"/>
    <n v="0"/>
    <n v="314623.32990126638"/>
    <n v="0"/>
    <n v="0"/>
    <n v="0"/>
    <n v="1429380.7376031764"/>
    <n v="1081950.2974583334"/>
    <n v="314623.32990126638"/>
    <n v="3.8842015678754174"/>
    <n v="5.0136993222209636"/>
    <n v="1.1294977543455464"/>
    <n v="3.8842015678754169"/>
    <n v="324585.08923750004"/>
    <n v="418972.08820787992"/>
    <n v="94386.998970379907"/>
    <n v="324585.08923749998"/>
    <n v="0"/>
    <x v="0"/>
  </r>
  <r>
    <x v="27"/>
    <s v="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558166.0944741257"/>
    <n v="0"/>
    <n v="0"/>
    <n v="0"/>
    <n v="0"/>
    <n v="0"/>
    <n v="0"/>
    <n v="0"/>
    <n v="1558166.094474125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6406.17107700335"/>
    <n v="0"/>
    <n v="0"/>
    <n v="0"/>
    <n v="0"/>
    <n v="0"/>
    <n v="146406.17107700335"/>
    <n v="0"/>
    <n v="0"/>
    <n v="0"/>
    <n v="146406.17107700335"/>
    <n v="0"/>
    <n v="2.6938735478168612"/>
    <n v="0"/>
    <n v="2.6938735478168612"/>
    <n v="0"/>
    <n v="60758.560996956396"/>
    <n v="0"/>
    <n v="60758.560996956396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76340.01515460305"/>
    <n v="0"/>
    <n v="0"/>
    <n v="0"/>
    <n v="0"/>
    <n v="0"/>
    <n v="0"/>
    <n v="476340.0151546030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38170.00757730153"/>
    <n v="214099.10609126228"/>
    <n v="0"/>
    <n v="0"/>
    <n v="0"/>
    <n v="0"/>
    <n v="0"/>
    <n v="0"/>
    <n v="24070.90148603924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2428.80484947297"/>
    <n v="0"/>
    <n v="0"/>
    <n v="0"/>
    <n v="0"/>
    <n v="0"/>
    <n v="152428.80484947297"/>
    <n v="0"/>
    <n v="0"/>
    <n v="0"/>
    <n v="152428.80484947297"/>
    <n v="0"/>
    <n v="5.3350081697315535"/>
    <n v="0"/>
    <n v="5.3350081697315535"/>
    <n v="0"/>
    <n v="0"/>
    <n v="0"/>
    <n v="0"/>
    <n v="0"/>
    <x v="1"/>
  </r>
  <r>
    <x v="38"/>
    <s v="Græs og urter"/>
    <n v="1"/>
    <x v="1"/>
    <s v="Vestdanmark"/>
    <n v="373912.94111232943"/>
    <n v="841167.61765562883"/>
    <n v="0"/>
    <n v="0"/>
    <n v="4087.4992709451894"/>
    <n v="0"/>
    <n v="0"/>
    <n v="0"/>
    <n v="-471342.17581424461"/>
    <n v="0"/>
    <n v="4087.4992709451894"/>
    <n v="0"/>
    <n v="1.1093636521316083E-2"/>
    <n v="1.1093636521316083E-2"/>
    <n v="0"/>
    <n v="0"/>
    <n v="817.49985418903793"/>
    <n v="817.49985418903793"/>
    <n v="0"/>
    <n v="0"/>
    <x v="0"/>
  </r>
  <r>
    <x v="39"/>
    <s v="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31636.61559425521"/>
    <n v="39415.735012617326"/>
    <n v="0"/>
    <n v="0"/>
    <n v="0"/>
    <n v="0"/>
    <n v="0"/>
    <n v="0"/>
    <n v="92220.880581637888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  <n v="0"/>
    <x v="0"/>
  </r>
  <r>
    <x v="42"/>
    <s v="Husdyrgødning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n v="0"/>
    <x v="1"/>
  </r>
  <r>
    <x v="43"/>
    <s v="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5884.0906945551"/>
    <n v="0"/>
    <n v="0"/>
    <n v="0"/>
    <n v="0"/>
    <n v="0"/>
    <n v="2205884.0906945551"/>
    <n v="0"/>
    <n v="0"/>
    <n v="0"/>
    <n v="2205884.0906945551"/>
    <n v="0"/>
    <n v="31.971133055605648"/>
    <n v="0"/>
    <n v="31.971133055605648"/>
    <n v="0"/>
    <n v="1090993.506522682"/>
    <n v="0"/>
    <n v="1090993.506522682"/>
    <n v="0"/>
    <x v="1"/>
  </r>
  <r>
    <x v="47"/>
    <s v=""/>
    <n v="0"/>
    <x v="1"/>
    <s v="Vestdanmark"/>
    <n v="606661.04726979067"/>
    <n v="0"/>
    <n v="0"/>
    <n v="0"/>
    <n v="0"/>
    <n v="0"/>
    <n v="0"/>
    <n v="606661.0472697906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51942.51103552672"/>
    <n v="64498.47547519199"/>
    <n v="0"/>
    <n v="0"/>
    <n v="0"/>
    <n v="0"/>
    <n v="0"/>
    <n v="0"/>
    <n v="187444.0355603347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  <n v="1"/>
    <x v="1"/>
  </r>
  <r>
    <x v="3"/>
    <s v=""/>
    <n v="1"/>
    <x v="2"/>
    <s v="Vestdanmark"/>
    <n v="352910743.33126384"/>
    <n v="0"/>
    <n v="0"/>
    <n v="0"/>
    <n v="0"/>
    <n v="0"/>
    <n v="352910743.33126384"/>
    <n v="0"/>
    <n v="0"/>
    <n v="0"/>
    <n v="352910743.33126384"/>
    <n v="0"/>
    <n v="0"/>
    <n v="0"/>
    <n v="0"/>
    <n v="0"/>
    <n v="0"/>
    <n v="0"/>
    <n v="0"/>
    <n v="0"/>
    <x v="1"/>
  </r>
  <r>
    <x v="4"/>
    <s v=""/>
    <n v="0"/>
    <x v="2"/>
    <s v="Vestdanmark"/>
    <n v="9667687.4423104227"/>
    <n v="0"/>
    <n v="0"/>
    <n v="0"/>
    <n v="0"/>
    <n v="6917063.4331097705"/>
    <n v="0"/>
    <n v="0"/>
    <n v="2750624.009200652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n v="0"/>
    <x v="1"/>
  </r>
  <r>
    <x v="9"/>
    <s v="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16683.24927192752"/>
    <n v="0"/>
    <n v="0"/>
    <n v="0"/>
    <n v="0"/>
    <n v="0"/>
    <n v="0"/>
    <n v="0"/>
    <n v="816683.24927192752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5103.663143485108"/>
    <n v="0"/>
    <n v="0"/>
    <n v="267978.92035102146"/>
    <n v="0"/>
    <n v="0"/>
    <n v="0"/>
    <n v="0"/>
    <n v="-242875.25720753634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3475308.007050257"/>
    <n v="12237689.9092583"/>
    <n v="0"/>
    <n v="0"/>
    <n v="75018.541590975714"/>
    <n v="0"/>
    <n v="0"/>
    <n v="0"/>
    <n v="1162599.5562009811"/>
    <n v="1162599.5562009811"/>
    <n v="75018.541590975714"/>
    <n v="2.1390378584652803"/>
    <n v="2.2770625976749765"/>
    <n v="0.13802473920969646"/>
    <n v="2.1390378584652803"/>
    <n v="325527.87573627476"/>
    <n v="346533.06738174794"/>
    <n v="21005.191645473202"/>
    <n v="325527.875736274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3141.32099151294"/>
    <n v="0"/>
    <n v="0"/>
    <n v="280672.65868343826"/>
    <n v="0"/>
    <n v="0"/>
    <n v="0"/>
    <n v="0"/>
    <n v="-97531.337691925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638910.761883507"/>
    <n v="773085.89354292618"/>
    <n v="728576.62938789232"/>
    <n v="0"/>
    <n v="52759.391018010894"/>
    <n v="0"/>
    <n v="1084488.8479346768"/>
    <n v="0"/>
    <n v="0"/>
    <n v="0"/>
    <n v="1137248.2389526877"/>
    <n v="0"/>
    <n v="11.513253088493739"/>
    <n v="0.30418637928998254"/>
    <n v="11.209066709203757"/>
    <n v="0"/>
    <n v="966661.00310978456"/>
    <n v="44845.482365309261"/>
    <n v="921815.520744475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  <n v="1"/>
    <x v="1"/>
  </r>
  <r>
    <x v="20"/>
    <s v=""/>
    <n v="0"/>
    <x v="2"/>
    <s v="Vestdanmark"/>
    <n v="741510.76618312241"/>
    <n v="0"/>
    <n v="0"/>
    <n v="0"/>
    <n v="0"/>
    <n v="0"/>
    <n v="0"/>
    <n v="0"/>
    <n v="741510.7661831224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048170.9409103482"/>
    <n v="0"/>
    <n v="0"/>
    <n v="128347.79869443661"/>
    <n v="0"/>
    <n v="0"/>
    <n v="0"/>
    <n v="0"/>
    <n v="1919823.142215911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660662.8299724497"/>
    <n v="5879215.2019956242"/>
    <n v="0"/>
    <n v="307470.55071854044"/>
    <n v="2829.8956304621011"/>
    <n v="0"/>
    <n v="0"/>
    <n v="0"/>
    <n v="471147.18162782304"/>
    <n v="471147.18162782304"/>
    <n v="2829.8956304621011"/>
    <n v="1.6136131364698663"/>
    <n v="1.6233051328188106"/>
    <n v="9.6919963489444337E-3"/>
    <n v="1.6136131364698663"/>
    <n v="146055.62630462516"/>
    <n v="146932.89395006839"/>
    <n v="877.26764544325135"/>
    <n v="146055.62630462513"/>
    <n v="0"/>
    <x v="0"/>
  </r>
  <r>
    <x v="23"/>
    <s v=""/>
    <n v="0"/>
    <x v="2"/>
    <s v="Vestdanmark"/>
    <n v="0"/>
    <n v="0"/>
    <n v="0"/>
    <n v="0"/>
    <n v="0"/>
    <n v="520293.03072021605"/>
    <n v="0"/>
    <n v="0"/>
    <n v="-520293.0307202160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n v="0"/>
    <x v="1"/>
  </r>
  <r>
    <x v="25"/>
    <s v=""/>
    <n v="0"/>
    <x v="2"/>
    <s v="Vestdanmark"/>
    <n v="1637278.8284784025"/>
    <n v="1515714.1736670118"/>
    <n v="0"/>
    <n v="0"/>
    <n v="0"/>
    <n v="0"/>
    <n v="0"/>
    <n v="0"/>
    <n v="121564.6548113906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401057.8539744057"/>
    <n v="5657053.7864699634"/>
    <n v="0"/>
    <n v="0"/>
    <n v="314623.32990126638"/>
    <n v="0"/>
    <n v="0"/>
    <n v="0"/>
    <n v="1429380.7376031764"/>
    <n v="1081950.2974583334"/>
    <n v="314623.32990126638"/>
    <n v="3.8842015678754174"/>
    <n v="5.0136993222209636"/>
    <n v="1.1294977543455464"/>
    <n v="3.8842015678754169"/>
    <n v="324585.08923750004"/>
    <n v="418972.08820787992"/>
    <n v="94386.998970379907"/>
    <n v="324585.08923749998"/>
    <n v="0"/>
    <x v="0"/>
  </r>
  <r>
    <x v="27"/>
    <s v="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558166.0944741257"/>
    <n v="0"/>
    <n v="0"/>
    <n v="0"/>
    <n v="0"/>
    <n v="0"/>
    <n v="0"/>
    <n v="0"/>
    <n v="1558166.0944741257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46406.17107700335"/>
    <n v="0"/>
    <n v="0"/>
    <n v="0"/>
    <n v="0"/>
    <n v="0"/>
    <n v="146406.17107700335"/>
    <n v="0"/>
    <n v="0"/>
    <n v="0"/>
    <n v="146406.17107700335"/>
    <n v="0"/>
    <n v="2.6938735478168612"/>
    <n v="0"/>
    <n v="2.6938735478168612"/>
    <n v="0"/>
    <n v="60758.560996956396"/>
    <n v="0"/>
    <n v="60758.56099695639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76340.01515460305"/>
    <n v="0"/>
    <n v="0"/>
    <n v="0"/>
    <n v="0"/>
    <n v="0"/>
    <n v="0"/>
    <n v="476340.0151546030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38170.00757730153"/>
    <n v="214099.10609126228"/>
    <n v="0"/>
    <n v="0"/>
    <n v="0"/>
    <n v="0"/>
    <n v="0"/>
    <n v="0"/>
    <n v="24070.90148603924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2428.80484947297"/>
    <n v="0"/>
    <n v="0"/>
    <n v="0"/>
    <n v="0"/>
    <n v="0"/>
    <n v="152428.80484947297"/>
    <n v="0"/>
    <n v="0"/>
    <n v="0"/>
    <n v="152428.80484947297"/>
    <n v="0"/>
    <n v="5.3350081697315535"/>
    <n v="0"/>
    <n v="5.3350081697315535"/>
    <n v="0"/>
    <n v="0"/>
    <n v="0"/>
    <n v="0"/>
    <n v="0"/>
    <x v="1"/>
  </r>
  <r>
    <x v="38"/>
    <s v="Græs og urter"/>
    <n v="1"/>
    <x v="2"/>
    <s v="Vestdanmark"/>
    <n v="373912.94111232943"/>
    <n v="841167.61765562883"/>
    <n v="0"/>
    <n v="0"/>
    <n v="4087.4992709451894"/>
    <n v="0"/>
    <n v="0"/>
    <n v="0"/>
    <n v="-471342.17581424461"/>
    <n v="0"/>
    <n v="4087.4992709451894"/>
    <n v="0"/>
    <n v="1.1093636521316083E-2"/>
    <n v="1.1093636521316083E-2"/>
    <n v="0"/>
    <n v="0"/>
    <n v="817.49985418903793"/>
    <n v="817.49985418903793"/>
    <n v="0"/>
    <n v="0"/>
    <x v="0"/>
  </r>
  <r>
    <x v="39"/>
    <s v="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31636.61559425521"/>
    <n v="39415.735012617326"/>
    <n v="0"/>
    <n v="0"/>
    <n v="0"/>
    <n v="0"/>
    <n v="0"/>
    <n v="0"/>
    <n v="92220.88058163788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  <n v="0"/>
    <x v="0"/>
  </r>
  <r>
    <x v="42"/>
    <s v="Husdyrgødning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n v="0"/>
    <x v="1"/>
  </r>
  <r>
    <x v="43"/>
    <s v="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33510.9249418937"/>
    <n v="0"/>
    <n v="0"/>
    <n v="0"/>
    <n v="0"/>
    <n v="0"/>
    <n v="2033510.9249418937"/>
    <n v="0"/>
    <n v="0"/>
    <n v="0"/>
    <n v="2033510.9249418937"/>
    <n v="0"/>
    <n v="29.472830701124686"/>
    <n v="0"/>
    <n v="29.472830701124686"/>
    <n v="0"/>
    <n v="1005740.6116275116"/>
    <n v="0"/>
    <n v="1005740.6116275116"/>
    <n v="0"/>
    <x v="1"/>
  </r>
  <r>
    <x v="47"/>
    <s v=""/>
    <n v="0"/>
    <x v="2"/>
    <s v="Vestdanmark"/>
    <n v="563872.73439718515"/>
    <n v="0"/>
    <n v="0"/>
    <n v="0"/>
    <n v="0"/>
    <n v="0"/>
    <n v="0"/>
    <n v="563872.73439718515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6756.842840483081"/>
    <n v="7916.616753740097"/>
    <n v="0"/>
    <n v="0"/>
    <n v="0"/>
    <n v="0"/>
    <n v="0"/>
    <n v="0"/>
    <n v="18840.22608674298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  <n v="1"/>
    <x v="1"/>
  </r>
  <r>
    <x v="3"/>
    <s v=""/>
    <n v="1"/>
    <x v="1"/>
    <s v="Østdanmark"/>
    <n v="111981103.64425051"/>
    <n v="0"/>
    <n v="0"/>
    <n v="0"/>
    <n v="0"/>
    <n v="0"/>
    <n v="111981103.64425051"/>
    <n v="0"/>
    <n v="0"/>
    <n v="0"/>
    <n v="111981103.64425051"/>
    <n v="0"/>
    <n v="0"/>
    <n v="0"/>
    <n v="0"/>
    <n v="0"/>
    <n v="0"/>
    <n v="0"/>
    <n v="0"/>
    <n v="0"/>
    <x v="1"/>
  </r>
  <r>
    <x v="4"/>
    <s v=""/>
    <n v="0"/>
    <x v="1"/>
    <s v="Østdanmark"/>
    <n v="2514947.1672980539"/>
    <n v="0"/>
    <n v="0"/>
    <n v="0"/>
    <n v="0"/>
    <n v="1820221.068051053"/>
    <n v="0"/>
    <n v="0"/>
    <n v="694726.0992470008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n v="0"/>
    <x v="1"/>
  </r>
  <r>
    <x v="9"/>
    <s v="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588878.01955714053"/>
    <n v="0"/>
    <n v="0"/>
    <n v="0"/>
    <n v="0"/>
    <n v="0"/>
    <n v="0"/>
    <n v="0"/>
    <n v="588878.01955714053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5582.71091846241"/>
    <n v="0"/>
    <n v="0"/>
    <n v="223323.94265330929"/>
    <n v="0"/>
    <n v="0"/>
    <n v="0"/>
    <n v="0"/>
    <n v="-207741.2317348468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1914540.1509540223"/>
    <n v="1502068.0760117145"/>
    <n v="0"/>
    <n v="0"/>
    <n v="10658.458409024295"/>
    <n v="0"/>
    <n v="0"/>
    <n v="0"/>
    <n v="401813.61653328338"/>
    <n v="401813.61653328338"/>
    <n v="10658.458409024295"/>
    <n v="0.73928682771917476"/>
    <n v="0.75889705888447834"/>
    <n v="1.9610231165303575E-2"/>
    <n v="0.73928682771917476"/>
    <n v="112507.81262931935"/>
    <n v="115492.18098384616"/>
    <n v="2984.3683545268032"/>
    <n v="112507.8126293193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5770.008322211143"/>
    <n v="0"/>
    <n v="0"/>
    <n v="233902.44520004498"/>
    <n v="0"/>
    <n v="0"/>
    <n v="0"/>
    <n v="0"/>
    <n v="-138132.4368778338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42884.75112836226"/>
    <n v="94889.448034412562"/>
    <n v="103768.80055910767"/>
    <n v="0"/>
    <n v="23174.608981989095"/>
    <n v="0"/>
    <n v="721051.89355285291"/>
    <n v="0"/>
    <n v="0"/>
    <n v="0"/>
    <n v="744226.502534842"/>
    <n v="0"/>
    <n v="7.5862668672984315"/>
    <n v="0.1336141350700174"/>
    <n v="7.4526527322284144"/>
    <n v="0"/>
    <n v="632592.52715461573"/>
    <n v="19698.41763469073"/>
    <n v="612894.10951992497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  <n v="1"/>
    <x v="1"/>
  </r>
  <r>
    <x v="20"/>
    <s v=""/>
    <n v="0"/>
    <x v="1"/>
    <s v="Østdanmark"/>
    <n v="143804.58971548834"/>
    <n v="0"/>
    <n v="0"/>
    <n v="0"/>
    <n v="0"/>
    <n v="0"/>
    <n v="0"/>
    <n v="0"/>
    <n v="143804.5897154883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14030.37702859532"/>
    <n v="0"/>
    <n v="0"/>
    <n v="106960.41463921656"/>
    <n v="0"/>
    <n v="0"/>
    <n v="0"/>
    <n v="0"/>
    <n v="7069.962389378764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250361.7332047778"/>
    <n v="721621.60770550347"/>
    <n v="0"/>
    <n v="256234.83946537593"/>
    <n v="956.10436953789804"/>
    <n v="0"/>
    <n v="0"/>
    <n v="0"/>
    <n v="1271549.1816643605"/>
    <n v="1271549.1816643605"/>
    <n v="956.10436953789804"/>
    <n v="4.354877930315002"/>
    <n v="4.3581524539260572"/>
    <n v="3.2745236110555661E-3"/>
    <n v="4.354877930315002"/>
    <n v="394180.24631595175"/>
    <n v="394476.63867050852"/>
    <n v="296.39235455674839"/>
    <n v="394180.24631595175"/>
    <n v="0"/>
    <x v="0"/>
  </r>
  <r>
    <x v="23"/>
    <s v=""/>
    <n v="0"/>
    <x v="1"/>
    <s v="Østdanmark"/>
    <n v="0"/>
    <n v="0"/>
    <n v="0"/>
    <n v="0"/>
    <n v="0"/>
    <n v="372087.80038220529"/>
    <n v="0"/>
    <n v="0"/>
    <n v="-372087.8003822052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n v="0"/>
    <x v="1"/>
  </r>
  <r>
    <x v="25"/>
    <s v=""/>
    <n v="0"/>
    <x v="1"/>
    <s v="Østdanmark"/>
    <n v="116367.97152159807"/>
    <n v="186040.49371289229"/>
    <n v="0"/>
    <n v="0"/>
    <n v="0"/>
    <n v="0"/>
    <n v="0"/>
    <n v="0"/>
    <n v="-69672.522191294222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62325.49106317805"/>
    <n v="694353.26110928762"/>
    <n v="0"/>
    <n v="0"/>
    <n v="15402.670098733543"/>
    <n v="0"/>
    <n v="0"/>
    <n v="0"/>
    <n v="-347430.44014484307"/>
    <n v="0"/>
    <n v="15402.670098733543"/>
    <n v="0"/>
    <n v="5.5295585654453423E-2"/>
    <n v="5.5295585654453423E-2"/>
    <n v="0"/>
    <n v="0"/>
    <n v="4620.8010296200628"/>
    <n v="4620.8010296200628"/>
    <n v="0"/>
    <n v="0"/>
    <x v="0"/>
  </r>
  <r>
    <x v="27"/>
    <s v="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90499.22634916333"/>
    <n v="0"/>
    <n v="0"/>
    <n v="0"/>
    <n v="0"/>
    <n v="0"/>
    <n v="0"/>
    <n v="0"/>
    <n v="390499.226349163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4748.143170077739"/>
    <n v="0"/>
    <n v="0"/>
    <n v="0"/>
    <n v="0"/>
    <n v="0"/>
    <n v="34748.143170077739"/>
    <n v="0"/>
    <n v="0"/>
    <n v="0"/>
    <n v="34748.143170077739"/>
    <n v="0"/>
    <n v="0.63936583432943028"/>
    <n v="0"/>
    <n v="0.63936583432943028"/>
    <n v="0"/>
    <n v="14420.479415582264"/>
    <n v="0"/>
    <n v="14420.47941558226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92094.83489491633"/>
    <n v="0"/>
    <n v="0"/>
    <n v="0"/>
    <n v="0"/>
    <n v="0"/>
    <n v="0"/>
    <n v="192094.8348949163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96047.417447458167"/>
    <n v="26278.769501998377"/>
    <n v="0"/>
    <n v="0"/>
    <n v="0"/>
    <n v="0"/>
    <n v="0"/>
    <n v="0"/>
    <n v="69768.64794545978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1470.347166373227"/>
    <n v="0"/>
    <n v="0"/>
    <n v="0"/>
    <n v="0"/>
    <n v="0"/>
    <n v="61470.347166373227"/>
    <n v="0"/>
    <n v="0"/>
    <n v="0"/>
    <n v="61470.347166373227"/>
    <n v="0"/>
    <n v="2.1514621508230629"/>
    <n v="0"/>
    <n v="2.1514621508230629"/>
    <n v="0"/>
    <n v="0"/>
    <n v="0"/>
    <n v="0"/>
    <n v="0"/>
    <x v="1"/>
  </r>
  <r>
    <x v="38"/>
    <s v="Græs og urter"/>
    <n v="1"/>
    <x v="1"/>
    <s v="Østdanmark"/>
    <n v="2246451.1221419098"/>
    <n v="103245.8768300271"/>
    <n v="0"/>
    <n v="0"/>
    <n v="24557.500729054813"/>
    <n v="0"/>
    <n v="0"/>
    <n v="0"/>
    <n v="2118647.7445828277"/>
    <n v="1647305.568768583"/>
    <n v="24557.500729054813"/>
    <n v="4.4708532058606849"/>
    <n v="4.5375032451393684"/>
    <n v="6.6650039278683931E-2"/>
    <n v="4.4708532058606849"/>
    <n v="329461.11375371664"/>
    <n v="334372.61389952758"/>
    <n v="4911.5001458109627"/>
    <n v="329461.11375371664"/>
    <n v="0"/>
    <x v="0"/>
  </r>
  <r>
    <x v="39"/>
    <s v="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563.363450936293"/>
    <n v="4837.9324606189484"/>
    <n v="0"/>
    <n v="0"/>
    <n v="0"/>
    <n v="0"/>
    <n v="0"/>
    <n v="0"/>
    <n v="13725.43099031734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  <n v="0"/>
    <x v="0"/>
  </r>
  <r>
    <x v="42"/>
    <s v="Husdyrgødning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n v="0"/>
    <x v="1"/>
  </r>
  <r>
    <x v="43"/>
    <s v="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672.88485303381"/>
    <n v="0"/>
    <n v="0"/>
    <n v="0"/>
    <n v="0"/>
    <n v="0"/>
    <n v="645672.88485303381"/>
    <n v="0"/>
    <n v="0"/>
    <n v="0"/>
    <n v="645672.88485303381"/>
    <n v="0"/>
    <n v="9.3581044439798156"/>
    <n v="0"/>
    <n v="9.3581044439798156"/>
    <n v="0"/>
    <n v="319339.04763356299"/>
    <n v="0"/>
    <n v="319339.04763356299"/>
    <n v="0"/>
    <x v="1"/>
  </r>
  <r>
    <x v="47"/>
    <s v=""/>
    <n v="0"/>
    <x v="1"/>
    <s v="Østdanmark"/>
    <n v="177572.60690670041"/>
    <n v="0"/>
    <n v="0"/>
    <n v="0"/>
    <n v="0"/>
    <n v="0"/>
    <n v="0"/>
    <n v="177572.60690670041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6756.842840483081"/>
    <n v="7916.616753740097"/>
    <n v="0"/>
    <n v="0"/>
    <n v="0"/>
    <n v="0"/>
    <n v="0"/>
    <n v="0"/>
    <n v="18840.22608674298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  <n v="1"/>
    <x v="1"/>
  </r>
  <r>
    <x v="3"/>
    <s v=""/>
    <n v="1"/>
    <x v="2"/>
    <s v="Østdanmark"/>
    <n v="113029853.54922721"/>
    <n v="0"/>
    <n v="0"/>
    <n v="0"/>
    <n v="0"/>
    <n v="0"/>
    <n v="113029853.54922721"/>
    <n v="0"/>
    <n v="0"/>
    <n v="0"/>
    <n v="113029853.54922721"/>
    <n v="0"/>
    <n v="0"/>
    <n v="0"/>
    <n v="0"/>
    <n v="0"/>
    <n v="0"/>
    <n v="0"/>
    <n v="0"/>
    <n v="0"/>
    <x v="1"/>
  </r>
  <r>
    <x v="4"/>
    <s v=""/>
    <n v="0"/>
    <x v="2"/>
    <s v="Østdanmark"/>
    <n v="2571575.8886360126"/>
    <n v="0"/>
    <n v="0"/>
    <n v="0"/>
    <n v="0"/>
    <n v="1839918.144943662"/>
    <n v="0"/>
    <n v="0"/>
    <n v="731657.7436923505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n v="0"/>
    <x v="1"/>
  </r>
  <r>
    <x v="9"/>
    <s v="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588878.01955714053"/>
    <n v="0"/>
    <n v="0"/>
    <n v="0"/>
    <n v="0"/>
    <n v="0"/>
    <n v="0"/>
    <n v="0"/>
    <n v="588878.01955714053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5582.71091846241"/>
    <n v="0"/>
    <n v="0"/>
    <n v="233795.01599247381"/>
    <n v="0"/>
    <n v="0"/>
    <n v="0"/>
    <n v="0"/>
    <n v="-218212.30507401141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1914540.1509540223"/>
    <n v="1502068.0760117145"/>
    <n v="0"/>
    <n v="0"/>
    <n v="10658.458409024295"/>
    <n v="0"/>
    <n v="0"/>
    <n v="0"/>
    <n v="401813.61653328338"/>
    <n v="401813.61653328338"/>
    <n v="10658.458409024295"/>
    <n v="0.73928682771917476"/>
    <n v="0.75889705888447834"/>
    <n v="1.9610231165303575E-2"/>
    <n v="0.73928682771917476"/>
    <n v="112507.81262931935"/>
    <n v="115492.18098384616"/>
    <n v="2984.3683545268032"/>
    <n v="112507.8126293193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5770.008322211143"/>
    <n v="0"/>
    <n v="0"/>
    <n v="244869.51675001203"/>
    <n v="0"/>
    <n v="0"/>
    <n v="0"/>
    <n v="0"/>
    <n v="-149099.508427800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42884.75112836226"/>
    <n v="94889.448034412562"/>
    <n v="103768.80055910767"/>
    <n v="0"/>
    <n v="23174.608981989095"/>
    <n v="0"/>
    <n v="721051.89355285291"/>
    <n v="0"/>
    <n v="0"/>
    <n v="0"/>
    <n v="744226.502534842"/>
    <n v="0"/>
    <n v="7.5862668672984315"/>
    <n v="0.1336141350700174"/>
    <n v="7.4526527322284144"/>
    <n v="0"/>
    <n v="632592.52715461573"/>
    <n v="19698.41763469073"/>
    <n v="612894.10951992497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  <n v="1"/>
    <x v="1"/>
  </r>
  <r>
    <x v="20"/>
    <s v=""/>
    <n v="0"/>
    <x v="2"/>
    <s v="Østdanmark"/>
    <n v="143804.58971548834"/>
    <n v="0"/>
    <n v="0"/>
    <n v="0"/>
    <n v="0"/>
    <n v="0"/>
    <n v="0"/>
    <n v="0"/>
    <n v="143804.58971548834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4030.37702859532"/>
    <n v="0"/>
    <n v="0"/>
    <n v="111975.50765955324"/>
    <n v="0"/>
    <n v="0"/>
    <n v="0"/>
    <n v="0"/>
    <n v="2054.86936904207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50361.7332047778"/>
    <n v="721621.60770550347"/>
    <n v="0"/>
    <n v="268249.01834925939"/>
    <n v="956.10436953789804"/>
    <n v="0"/>
    <n v="0"/>
    <n v="0"/>
    <n v="1259535.0027804771"/>
    <n v="1259535.0027804771"/>
    <n v="956.10436953789804"/>
    <n v="4.3137310496227457"/>
    <n v="4.3170055732338009"/>
    <n v="3.2745236110555661E-3"/>
    <n v="4.3137310496227457"/>
    <n v="390455.85086194787"/>
    <n v="390752.24321650463"/>
    <n v="296.39235455674839"/>
    <n v="390455.85086194787"/>
    <n v="0"/>
    <x v="0"/>
  </r>
  <r>
    <x v="23"/>
    <s v=""/>
    <n v="0"/>
    <x v="2"/>
    <s v="Østdanmark"/>
    <n v="0"/>
    <n v="0"/>
    <n v="0"/>
    <n v="0"/>
    <n v="0"/>
    <n v="371226.05326815369"/>
    <n v="0"/>
    <n v="0"/>
    <n v="-371226.0532681536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n v="0"/>
    <x v="1"/>
  </r>
  <r>
    <x v="25"/>
    <s v=""/>
    <n v="0"/>
    <x v="2"/>
    <s v="Østdanmark"/>
    <n v="116367.97152159807"/>
    <n v="186040.49371289229"/>
    <n v="0"/>
    <n v="0"/>
    <n v="0"/>
    <n v="0"/>
    <n v="0"/>
    <n v="0"/>
    <n v="-69672.522191294222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2325.49106317805"/>
    <n v="694353.26110928762"/>
    <n v="0"/>
    <n v="0"/>
    <n v="15402.670098733543"/>
    <n v="0"/>
    <n v="0"/>
    <n v="0"/>
    <n v="-347430.44014484307"/>
    <n v="0"/>
    <n v="15402.670098733543"/>
    <n v="0"/>
    <n v="5.5295585654453423E-2"/>
    <n v="5.5295585654453423E-2"/>
    <n v="0"/>
    <n v="0"/>
    <n v="4620.8010296200628"/>
    <n v="4620.8010296200628"/>
    <n v="0"/>
    <n v="0"/>
    <x v="0"/>
  </r>
  <r>
    <x v="27"/>
    <s v="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90499.22634916333"/>
    <n v="0"/>
    <n v="0"/>
    <n v="0"/>
    <n v="0"/>
    <n v="0"/>
    <n v="0"/>
    <n v="0"/>
    <n v="390499.22634916333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4748.143170077739"/>
    <n v="0"/>
    <n v="0"/>
    <n v="0"/>
    <n v="0"/>
    <n v="0"/>
    <n v="34748.143170077739"/>
    <n v="0"/>
    <n v="0"/>
    <n v="0"/>
    <n v="34748.143170077739"/>
    <n v="0"/>
    <n v="0.63936583432943028"/>
    <n v="0"/>
    <n v="0.63936583432943028"/>
    <n v="0"/>
    <n v="14420.479415582264"/>
    <n v="0"/>
    <n v="14420.47941558226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2094.83489491633"/>
    <n v="0"/>
    <n v="0"/>
    <n v="0"/>
    <n v="0"/>
    <n v="0"/>
    <n v="0"/>
    <n v="192094.8348949163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6047.417447458167"/>
    <n v="26278.769501998377"/>
    <n v="0"/>
    <n v="0"/>
    <n v="0"/>
    <n v="0"/>
    <n v="0"/>
    <n v="0"/>
    <n v="69768.64794545978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470.347166373227"/>
    <n v="0"/>
    <n v="0"/>
    <n v="0"/>
    <n v="0"/>
    <n v="0"/>
    <n v="61470.347166373227"/>
    <n v="0"/>
    <n v="0"/>
    <n v="0"/>
    <n v="61470.347166373227"/>
    <n v="0"/>
    <n v="2.1514621508230629"/>
    <n v="0"/>
    <n v="2.1514621508230629"/>
    <n v="0"/>
    <n v="0"/>
    <n v="0"/>
    <n v="0"/>
    <n v="0"/>
    <x v="1"/>
  </r>
  <r>
    <x v="38"/>
    <s v="Græs og urter"/>
    <n v="1"/>
    <x v="2"/>
    <s v="Østdanmark"/>
    <n v="2246451.1221419098"/>
    <n v="103245.8768300271"/>
    <n v="0"/>
    <n v="0"/>
    <n v="24557.500729054813"/>
    <n v="0"/>
    <n v="0"/>
    <n v="0"/>
    <n v="2118647.7445828277"/>
    <n v="1647305.568768583"/>
    <n v="24557.500729054813"/>
    <n v="4.4708532058606849"/>
    <n v="4.5375032451393684"/>
    <n v="6.6650039278683931E-2"/>
    <n v="4.4708532058606849"/>
    <n v="329461.11375371664"/>
    <n v="334372.61389952758"/>
    <n v="4911.5001458109627"/>
    <n v="329461.11375371664"/>
    <n v="0"/>
    <x v="0"/>
  </r>
  <r>
    <x v="39"/>
    <s v="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563.363450936293"/>
    <n v="4837.9324606189484"/>
    <n v="0"/>
    <n v="0"/>
    <n v="0"/>
    <n v="0"/>
    <n v="0"/>
    <n v="0"/>
    <n v="13725.43099031734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  <n v="0"/>
    <x v="0"/>
  </r>
  <r>
    <x v="42"/>
    <s v="Husdyrgødning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n v="0"/>
    <x v="1"/>
  </r>
  <r>
    <x v="43"/>
    <s v="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95218.43002819875"/>
    <n v="0"/>
    <n v="0"/>
    <n v="0"/>
    <n v="0"/>
    <n v="0"/>
    <n v="595218.43002819875"/>
    <n v="0"/>
    <n v="0"/>
    <n v="0"/>
    <n v="595218.43002819875"/>
    <n v="0"/>
    <n v="8.6268393266250119"/>
    <n v="0"/>
    <n v="8.6268393266250119"/>
    <n v="0"/>
    <n v="294385.11518477998"/>
    <n v="0"/>
    <n v="294385.11518477998"/>
    <n v="0"/>
    <x v="1"/>
  </r>
  <r>
    <x v="47"/>
    <s v=""/>
    <n v="0"/>
    <x v="2"/>
    <s v="Østdanmark"/>
    <n v="165048.26189374441"/>
    <n v="0"/>
    <n v="0"/>
    <n v="0"/>
    <n v="0"/>
    <n v="0"/>
    <n v="0"/>
    <n v="165048.2618937444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x v="0"/>
  </r>
  <r>
    <x v="1"/>
    <s v=""/>
    <n v="0"/>
    <x v="1"/>
    <s v="Vestdanmark"/>
    <n v="251942.51103552672"/>
    <n v="64498.47547519199"/>
    <n v="0"/>
    <n v="0"/>
    <n v="0"/>
    <n v="0"/>
    <n v="0"/>
    <n v="0"/>
    <n v="187444.0355603347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  <x v="1"/>
  </r>
  <r>
    <x v="3"/>
    <s v=""/>
    <n v="1"/>
    <x v="1"/>
    <s v="Vestdanmark"/>
    <n v="352343383.55163503"/>
    <n v="0"/>
    <n v="0"/>
    <n v="0"/>
    <n v="0"/>
    <n v="0"/>
    <n v="352343383.55163503"/>
    <n v="0"/>
    <n v="0"/>
    <n v="0"/>
    <n v="352343383.55163503"/>
    <n v="0"/>
    <n v="0"/>
    <n v="0"/>
    <n v="0"/>
    <n v="0"/>
    <n v="0"/>
    <n v="0"/>
    <n v="0"/>
    <x v="0"/>
  </r>
  <r>
    <x v="4"/>
    <s v=""/>
    <n v="0"/>
    <x v="1"/>
    <s v="Vestdanmark"/>
    <n v="9617432.0173852239"/>
    <n v="0"/>
    <n v="0"/>
    <n v="0"/>
    <n v="0"/>
    <n v="6960723.7107095271"/>
    <n v="0"/>
    <n v="0"/>
    <n v="2656708.3066756967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x v="0"/>
  </r>
  <r>
    <x v="9"/>
    <s v="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  <x v="0"/>
  </r>
  <r>
    <x v="10"/>
    <s v=""/>
    <n v="0"/>
    <x v="1"/>
    <s v="Vestdanmark"/>
    <n v="816683.24927192752"/>
    <n v="0"/>
    <n v="0"/>
    <n v="0"/>
    <n v="0"/>
    <n v="0"/>
    <n v="0"/>
    <n v="0"/>
    <n v="816683.24927192752"/>
    <n v="0"/>
    <n v="0"/>
    <n v="0"/>
    <n v="0"/>
    <n v="0"/>
    <n v="0"/>
    <n v="0"/>
    <n v="0"/>
    <n v="0"/>
    <n v="0"/>
    <x v="0"/>
  </r>
  <r>
    <x v="11"/>
    <s v=""/>
    <n v="0"/>
    <x v="1"/>
    <s v="Vestdanmark"/>
    <n v="25103.663143485108"/>
    <n v="0"/>
    <n v="0"/>
    <n v="257923.29437791562"/>
    <n v="0"/>
    <n v="0"/>
    <n v="0"/>
    <n v="0"/>
    <n v="-232819.6312344305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475308.007050257"/>
    <n v="12237689.9092583"/>
    <n v="0"/>
    <n v="0"/>
    <n v="75018.541590975714"/>
    <n v="0"/>
    <n v="0"/>
    <n v="0"/>
    <n v="1162599.5562009811"/>
    <n v="1162599.5562009811"/>
    <n v="75018.541590975714"/>
    <n v="2.1390378584652803"/>
    <n v="2.2770625976749765"/>
    <n v="0.13802473920969646"/>
    <n v="2.1390378584652803"/>
    <n v="325527.87573627476"/>
    <n v="346533.06738174794"/>
    <n v="21005.191645473202"/>
    <n v="325527.87573627476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83141.32099151294"/>
    <n v="0"/>
    <n v="0"/>
    <n v="270140.71358529059"/>
    <n v="0"/>
    <n v="0"/>
    <n v="0"/>
    <n v="0"/>
    <n v="-86999.392593777651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8910.761883507"/>
    <n v="773085.89354292618"/>
    <n v="728576.62938789232"/>
    <n v="0"/>
    <n v="52759.391018010894"/>
    <n v="0"/>
    <n v="1084488.8479346768"/>
    <n v="0"/>
    <n v="0"/>
    <n v="0"/>
    <n v="1137248.2389526877"/>
    <n v="0"/>
    <n v="11.513253088493739"/>
    <n v="0.30418637928998254"/>
    <n v="11.209066709203757"/>
    <n v="0"/>
    <n v="966661.00310978456"/>
    <n v="44845.482365309261"/>
    <n v="921815.520744475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  <x v="1"/>
  </r>
  <r>
    <x v="20"/>
    <s v=""/>
    <n v="0"/>
    <x v="1"/>
    <s v="Vestdanmark"/>
    <n v="741510.76618312241"/>
    <n v="0"/>
    <n v="0"/>
    <n v="0"/>
    <n v="0"/>
    <n v="0"/>
    <n v="0"/>
    <n v="0"/>
    <n v="741510.76618312241"/>
    <n v="0"/>
    <n v="0"/>
    <n v="0"/>
    <n v="0"/>
    <n v="0"/>
    <n v="0"/>
    <n v="0"/>
    <n v="0"/>
    <n v="0"/>
    <n v="0"/>
    <x v="0"/>
  </r>
  <r>
    <x v="21"/>
    <s v=""/>
    <n v="0"/>
    <x v="1"/>
    <s v="Vestdanmark"/>
    <n v="2048170.9409103482"/>
    <n v="0"/>
    <n v="0"/>
    <n v="123531.68309679118"/>
    <n v="0"/>
    <n v="0"/>
    <n v="0"/>
    <n v="0"/>
    <n v="1924639.2578135571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660662.8299724497"/>
    <n v="5879215.2019956242"/>
    <n v="0"/>
    <n v="295933.04302308214"/>
    <n v="2829.8956304621011"/>
    <n v="0"/>
    <n v="0"/>
    <n v="0"/>
    <n v="482684.68932328094"/>
    <n v="482684.68932328094"/>
    <n v="2829.8956304621011"/>
    <n v="1.6531274850757323"/>
    <n v="1.6628194814246766"/>
    <n v="9.6919963489444337E-3"/>
    <n v="1.6531274850757323"/>
    <n v="149632.2536902171"/>
    <n v="150509.52133566033"/>
    <n v="877.26764544325135"/>
    <n v="149632.25369021707"/>
    <x v="0"/>
  </r>
  <r>
    <x v="23"/>
    <s v=""/>
    <n v="0"/>
    <x v="1"/>
    <s v="Vestdanmark"/>
    <n v="0"/>
    <n v="0"/>
    <n v="0"/>
    <n v="0"/>
    <n v="0"/>
    <n v="518382.89357522689"/>
    <n v="0"/>
    <n v="0"/>
    <n v="-518382.893575226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x v="0"/>
  </r>
  <r>
    <x v="25"/>
    <s v=""/>
    <n v="0"/>
    <x v="1"/>
    <s v="Vestdanmark"/>
    <n v="1637278.8284784025"/>
    <n v="1515714.1736670118"/>
    <n v="0"/>
    <n v="0"/>
    <n v="0"/>
    <n v="0"/>
    <n v="0"/>
    <n v="0"/>
    <n v="121564.65481139068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401057.8539744057"/>
    <n v="5657053.7864699634"/>
    <n v="0"/>
    <n v="0"/>
    <n v="314623.32990126638"/>
    <n v="0"/>
    <n v="0"/>
    <n v="0"/>
    <n v="1429380.7376031764"/>
    <n v="1081950.2974583334"/>
    <n v="314623.32990126638"/>
    <n v="3.8842015678754174"/>
    <n v="5.0136993222209636"/>
    <n v="1.1294977543455464"/>
    <n v="3.8842015678754169"/>
    <n v="324585.08923750004"/>
    <n v="418972.08820787992"/>
    <n v="94386.998970379907"/>
    <n v="324585.08923749998"/>
    <x v="0"/>
  </r>
  <r>
    <x v="27"/>
    <s v="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  <x v="0"/>
  </r>
  <r>
    <x v="30"/>
    <s v=""/>
    <n v="0"/>
    <x v="1"/>
    <s v="Vestdanmark"/>
    <n v="1558166.0944741257"/>
    <n v="0"/>
    <n v="0"/>
    <n v="0"/>
    <n v="0"/>
    <n v="0"/>
    <n v="0"/>
    <n v="0"/>
    <n v="1558166.094474125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6406.17107700335"/>
    <n v="0"/>
    <n v="0"/>
    <n v="0"/>
    <n v="0"/>
    <n v="0"/>
    <n v="146406.17107700335"/>
    <n v="0"/>
    <n v="0"/>
    <n v="0"/>
    <n v="146406.17107700335"/>
    <n v="0"/>
    <n v="2.6938735478168612"/>
    <n v="0"/>
    <n v="2.6938735478168612"/>
    <n v="0"/>
    <n v="60758.560996956396"/>
    <n v="0"/>
    <n v="60758.560996956396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x v="0"/>
  </r>
  <r>
    <x v="35"/>
    <s v=""/>
    <n v="0"/>
    <x v="1"/>
    <s v="Vestdanmark"/>
    <n v="476340.01515460305"/>
    <n v="0"/>
    <n v="0"/>
    <n v="0"/>
    <n v="0"/>
    <n v="0"/>
    <n v="0"/>
    <n v="476340.01515460305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38170.00757730153"/>
    <n v="214099.10609126228"/>
    <n v="0"/>
    <n v="0"/>
    <n v="0"/>
    <n v="0"/>
    <n v="0"/>
    <n v="0"/>
    <n v="24070.90148603924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2428.80484947297"/>
    <n v="0"/>
    <n v="0"/>
    <n v="0"/>
    <n v="0"/>
    <n v="0"/>
    <n v="152428.80484947297"/>
    <n v="0"/>
    <n v="0"/>
    <n v="0"/>
    <n v="152428.80484947297"/>
    <n v="0"/>
    <n v="5.3350081697315535"/>
    <n v="0"/>
    <n v="5.3350081697315535"/>
    <n v="0"/>
    <n v="0"/>
    <n v="0"/>
    <n v="0"/>
    <x v="0"/>
  </r>
  <r>
    <x v="38"/>
    <s v="Græs og urter"/>
    <n v="1"/>
    <x v="1"/>
    <s v="Vestdanmark"/>
    <n v="373912.94111232943"/>
    <n v="841167.61765562883"/>
    <n v="0"/>
    <n v="0"/>
    <n v="4087.4992709451894"/>
    <n v="0"/>
    <n v="0"/>
    <n v="0"/>
    <n v="-471342.17581424461"/>
    <n v="0"/>
    <n v="4087.4992709451894"/>
    <n v="0"/>
    <n v="1.1093636521316083E-2"/>
    <n v="1.1093636521316083E-2"/>
    <n v="0"/>
    <n v="0"/>
    <n v="817.49985418903793"/>
    <n v="817.49985418903793"/>
    <n v="0"/>
    <x v="0"/>
  </r>
  <r>
    <x v="39"/>
    <s v="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x v="0"/>
  </r>
  <r>
    <x v="40"/>
    <s v=""/>
    <n v="0"/>
    <x v="1"/>
    <s v="Vestdanmark"/>
    <n v="131636.61559425521"/>
    <n v="39415.735012617326"/>
    <n v="0"/>
    <n v="0"/>
    <n v="0"/>
    <n v="0"/>
    <n v="0"/>
    <n v="0"/>
    <n v="92220.880581637888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  <x v="0"/>
  </r>
  <r>
    <x v="42"/>
    <s v="Husdyrgødning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x v="0"/>
  </r>
  <r>
    <x v="43"/>
    <s v="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5884.0906945551"/>
    <n v="0"/>
    <n v="0"/>
    <n v="0"/>
    <n v="0"/>
    <n v="0"/>
    <n v="2205884.0906945551"/>
    <n v="0"/>
    <n v="0"/>
    <n v="0"/>
    <n v="2205884.0906945551"/>
    <n v="0"/>
    <n v="31.971133055605648"/>
    <n v="0"/>
    <n v="31.971133055605648"/>
    <n v="0"/>
    <n v="1090993.506522682"/>
    <n v="0"/>
    <n v="1090993.506522682"/>
    <x v="0"/>
  </r>
  <r>
    <x v="47"/>
    <s v=""/>
    <n v="0"/>
    <x v="1"/>
    <s v="Vestdanmark"/>
    <n v="606661.04726979067"/>
    <n v="0"/>
    <n v="0"/>
    <n v="0"/>
    <n v="0"/>
    <n v="0"/>
    <n v="0"/>
    <n v="606661.0472697906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x v="0"/>
  </r>
  <r>
    <x v="1"/>
    <s v=""/>
    <n v="0"/>
    <x v="2"/>
    <s v="Vestdanmark"/>
    <n v="251942.51103552672"/>
    <n v="64498.47547519199"/>
    <n v="0"/>
    <n v="0"/>
    <n v="0"/>
    <n v="0"/>
    <n v="0"/>
    <n v="0"/>
    <n v="187444.0355603347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  <x v="1"/>
  </r>
  <r>
    <x v="3"/>
    <s v=""/>
    <n v="1"/>
    <x v="2"/>
    <s v="Vestdanmark"/>
    <n v="352910743.33126384"/>
    <n v="0"/>
    <n v="0"/>
    <n v="0"/>
    <n v="0"/>
    <n v="0"/>
    <n v="352910743.33126384"/>
    <n v="0"/>
    <n v="0"/>
    <n v="0"/>
    <n v="352910743.33126384"/>
    <n v="0"/>
    <n v="0"/>
    <n v="0"/>
    <n v="0"/>
    <n v="0"/>
    <n v="0"/>
    <n v="0"/>
    <n v="0"/>
    <x v="0"/>
  </r>
  <r>
    <x v="4"/>
    <s v=""/>
    <n v="0"/>
    <x v="2"/>
    <s v="Vestdanmark"/>
    <n v="9667687.4423104227"/>
    <n v="0"/>
    <n v="0"/>
    <n v="0"/>
    <n v="0"/>
    <n v="6917063.4331097705"/>
    <n v="0"/>
    <n v="0"/>
    <n v="2750624.0092006521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x v="0"/>
  </r>
  <r>
    <x v="9"/>
    <s v="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  <x v="0"/>
  </r>
  <r>
    <x v="10"/>
    <s v=""/>
    <n v="0"/>
    <x v="2"/>
    <s v="Vestdanmark"/>
    <n v="816683.24927192752"/>
    <n v="0"/>
    <n v="0"/>
    <n v="0"/>
    <n v="0"/>
    <n v="0"/>
    <n v="0"/>
    <n v="0"/>
    <n v="816683.24927192752"/>
    <n v="0"/>
    <n v="0"/>
    <n v="0"/>
    <n v="0"/>
    <n v="0"/>
    <n v="0"/>
    <n v="0"/>
    <n v="0"/>
    <n v="0"/>
    <n v="0"/>
    <x v="0"/>
  </r>
  <r>
    <x v="11"/>
    <s v=""/>
    <n v="0"/>
    <x v="2"/>
    <s v="Vestdanmark"/>
    <n v="25103.663143485108"/>
    <n v="0"/>
    <n v="0"/>
    <n v="267978.92035102146"/>
    <n v="0"/>
    <n v="0"/>
    <n v="0"/>
    <n v="0"/>
    <n v="-242875.25720753634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3475308.007050257"/>
    <n v="12237689.9092583"/>
    <n v="0"/>
    <n v="0"/>
    <n v="75018.541590975714"/>
    <n v="0"/>
    <n v="0"/>
    <n v="0"/>
    <n v="1162599.5562009811"/>
    <n v="1162599.5562009811"/>
    <n v="75018.541590975714"/>
    <n v="2.1390378584652803"/>
    <n v="2.2770625976749765"/>
    <n v="0.13802473920969646"/>
    <n v="2.1390378584652803"/>
    <n v="325527.87573627476"/>
    <n v="346533.06738174794"/>
    <n v="21005.191645473202"/>
    <n v="325527.875736274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3141.32099151294"/>
    <n v="0"/>
    <n v="0"/>
    <n v="280672.65868343826"/>
    <n v="0"/>
    <n v="0"/>
    <n v="0"/>
    <n v="0"/>
    <n v="-97531.337691925321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638910.761883507"/>
    <n v="773085.89354292618"/>
    <n v="728576.62938789232"/>
    <n v="0"/>
    <n v="52759.391018010894"/>
    <n v="0"/>
    <n v="1084488.8479346768"/>
    <n v="0"/>
    <n v="0"/>
    <n v="0"/>
    <n v="1137248.2389526877"/>
    <n v="0"/>
    <n v="11.513253088493739"/>
    <n v="0.30418637928998254"/>
    <n v="11.209066709203757"/>
    <n v="0"/>
    <n v="966661.00310978456"/>
    <n v="44845.482365309261"/>
    <n v="921815.520744475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  <x v="1"/>
  </r>
  <r>
    <x v="20"/>
    <s v=""/>
    <n v="0"/>
    <x v="2"/>
    <s v="Vestdanmark"/>
    <n v="741510.76618312241"/>
    <n v="0"/>
    <n v="0"/>
    <n v="0"/>
    <n v="0"/>
    <n v="0"/>
    <n v="0"/>
    <n v="0"/>
    <n v="741510.76618312241"/>
    <n v="0"/>
    <n v="0"/>
    <n v="0"/>
    <n v="0"/>
    <n v="0"/>
    <n v="0"/>
    <n v="0"/>
    <n v="0"/>
    <n v="0"/>
    <n v="0"/>
    <x v="0"/>
  </r>
  <r>
    <x v="21"/>
    <s v=""/>
    <n v="0"/>
    <x v="2"/>
    <s v="Vestdanmark"/>
    <n v="2048170.9409103482"/>
    <n v="0"/>
    <n v="0"/>
    <n v="128347.79869443661"/>
    <n v="0"/>
    <n v="0"/>
    <n v="0"/>
    <n v="0"/>
    <n v="1919823.142215911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660662.8299724497"/>
    <n v="5879215.2019956242"/>
    <n v="0"/>
    <n v="307470.55071854044"/>
    <n v="2829.8956304621011"/>
    <n v="0"/>
    <n v="0"/>
    <n v="0"/>
    <n v="471147.18162782304"/>
    <n v="471147.18162782304"/>
    <n v="2829.8956304621011"/>
    <n v="1.6136131364698663"/>
    <n v="1.6233051328188106"/>
    <n v="9.6919963489444337E-3"/>
    <n v="1.6136131364698663"/>
    <n v="146055.62630462516"/>
    <n v="146932.89395006839"/>
    <n v="877.26764544325135"/>
    <n v="146055.62630462513"/>
    <x v="0"/>
  </r>
  <r>
    <x v="23"/>
    <s v=""/>
    <n v="0"/>
    <x v="2"/>
    <s v="Vestdanmark"/>
    <n v="0"/>
    <n v="0"/>
    <n v="0"/>
    <n v="0"/>
    <n v="0"/>
    <n v="520293.03072021605"/>
    <n v="0"/>
    <n v="0"/>
    <n v="-520293.0307202160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x v="0"/>
  </r>
  <r>
    <x v="25"/>
    <s v=""/>
    <n v="0"/>
    <x v="2"/>
    <s v="Vestdanmark"/>
    <n v="1637278.8284784025"/>
    <n v="1515714.1736670118"/>
    <n v="0"/>
    <n v="0"/>
    <n v="0"/>
    <n v="0"/>
    <n v="0"/>
    <n v="0"/>
    <n v="121564.65481139068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401057.8539744057"/>
    <n v="5657053.7864699634"/>
    <n v="0"/>
    <n v="0"/>
    <n v="314623.32990126638"/>
    <n v="0"/>
    <n v="0"/>
    <n v="0"/>
    <n v="1429380.7376031764"/>
    <n v="1081950.2974583334"/>
    <n v="314623.32990126638"/>
    <n v="3.8842015678754174"/>
    <n v="5.0136993222209636"/>
    <n v="1.1294977543455464"/>
    <n v="3.8842015678754169"/>
    <n v="324585.08923750004"/>
    <n v="418972.08820787992"/>
    <n v="94386.998970379907"/>
    <n v="324585.08923749998"/>
    <x v="0"/>
  </r>
  <r>
    <x v="27"/>
    <s v="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  <x v="1"/>
  </r>
  <r>
    <x v="30"/>
    <s v=""/>
    <n v="0"/>
    <x v="2"/>
    <s v="Vestdanmark"/>
    <n v="1558166.0944741257"/>
    <n v="0"/>
    <n v="0"/>
    <n v="0"/>
    <n v="0"/>
    <n v="0"/>
    <n v="0"/>
    <n v="0"/>
    <n v="1558166.0944741257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46406.17107700335"/>
    <n v="0"/>
    <n v="0"/>
    <n v="0"/>
    <n v="0"/>
    <n v="0"/>
    <n v="146406.17107700335"/>
    <n v="0"/>
    <n v="0"/>
    <n v="0"/>
    <n v="146406.17107700335"/>
    <n v="0"/>
    <n v="2.6938735478168612"/>
    <n v="0"/>
    <n v="2.6938735478168612"/>
    <n v="0"/>
    <n v="60758.560996956396"/>
    <n v="0"/>
    <n v="60758.56099695639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x v="0"/>
  </r>
  <r>
    <x v="35"/>
    <s v=""/>
    <n v="0"/>
    <x v="2"/>
    <s v="Vestdanmark"/>
    <n v="476340.01515460305"/>
    <n v="0"/>
    <n v="0"/>
    <n v="0"/>
    <n v="0"/>
    <n v="0"/>
    <n v="0"/>
    <n v="476340.01515460305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38170.00757730153"/>
    <n v="214099.10609126228"/>
    <n v="0"/>
    <n v="0"/>
    <n v="0"/>
    <n v="0"/>
    <n v="0"/>
    <n v="0"/>
    <n v="24070.90148603924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2428.80484947297"/>
    <n v="0"/>
    <n v="0"/>
    <n v="0"/>
    <n v="0"/>
    <n v="0"/>
    <n v="152428.80484947297"/>
    <n v="0"/>
    <n v="0"/>
    <n v="0"/>
    <n v="152428.80484947297"/>
    <n v="0"/>
    <n v="5.3350081697315535"/>
    <n v="0"/>
    <n v="5.3350081697315535"/>
    <n v="0"/>
    <n v="0"/>
    <n v="0"/>
    <n v="0"/>
    <x v="0"/>
  </r>
  <r>
    <x v="38"/>
    <s v="Græs og urter"/>
    <n v="1"/>
    <x v="2"/>
    <s v="Vestdanmark"/>
    <n v="373912.94111232943"/>
    <n v="841167.61765562883"/>
    <n v="0"/>
    <n v="0"/>
    <n v="4087.4992709451894"/>
    <n v="0"/>
    <n v="0"/>
    <n v="0"/>
    <n v="-471342.17581424461"/>
    <n v="0"/>
    <n v="4087.4992709451894"/>
    <n v="0"/>
    <n v="1.1093636521316083E-2"/>
    <n v="1.1093636521316083E-2"/>
    <n v="0"/>
    <n v="0"/>
    <n v="817.49985418903793"/>
    <n v="817.49985418903793"/>
    <n v="0"/>
    <x v="0"/>
  </r>
  <r>
    <x v="39"/>
    <s v="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x v="0"/>
  </r>
  <r>
    <x v="40"/>
    <s v=""/>
    <n v="0"/>
    <x v="2"/>
    <s v="Vestdanmark"/>
    <n v="131636.61559425521"/>
    <n v="39415.735012617326"/>
    <n v="0"/>
    <n v="0"/>
    <n v="0"/>
    <n v="0"/>
    <n v="0"/>
    <n v="0"/>
    <n v="92220.88058163788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  <x v="0"/>
  </r>
  <r>
    <x v="42"/>
    <s v="Husdyrgødning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x v="0"/>
  </r>
  <r>
    <x v="43"/>
    <s v="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33510.9249418937"/>
    <n v="0"/>
    <n v="0"/>
    <n v="0"/>
    <n v="0"/>
    <n v="0"/>
    <n v="2033510.9249418937"/>
    <n v="0"/>
    <n v="0"/>
    <n v="0"/>
    <n v="2033510.9249418937"/>
    <n v="0"/>
    <n v="29.472830701124686"/>
    <n v="0"/>
    <n v="29.472830701124686"/>
    <n v="0"/>
    <n v="1005740.6116275116"/>
    <n v="0"/>
    <n v="1005740.6116275116"/>
    <x v="0"/>
  </r>
  <r>
    <x v="47"/>
    <s v=""/>
    <n v="0"/>
    <x v="2"/>
    <s v="Vestdanmark"/>
    <n v="563872.73439718515"/>
    <n v="0"/>
    <n v="0"/>
    <n v="0"/>
    <n v="0"/>
    <n v="0"/>
    <n v="0"/>
    <n v="563872.73439718515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x v="0"/>
  </r>
  <r>
    <x v="1"/>
    <s v=""/>
    <n v="0"/>
    <x v="1"/>
    <s v="Østdanmark"/>
    <n v="26756.842840483081"/>
    <n v="7916.616753740097"/>
    <n v="0"/>
    <n v="0"/>
    <n v="0"/>
    <n v="0"/>
    <n v="0"/>
    <n v="0"/>
    <n v="18840.22608674298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  <x v="1"/>
  </r>
  <r>
    <x v="3"/>
    <s v=""/>
    <n v="1"/>
    <x v="1"/>
    <s v="Østdanmark"/>
    <n v="111981103.64425051"/>
    <n v="0"/>
    <n v="0"/>
    <n v="0"/>
    <n v="0"/>
    <n v="0"/>
    <n v="111981103.64425051"/>
    <n v="0"/>
    <n v="0"/>
    <n v="0"/>
    <n v="111981103.64425051"/>
    <n v="0"/>
    <n v="0"/>
    <n v="0"/>
    <n v="0"/>
    <n v="0"/>
    <n v="0"/>
    <n v="0"/>
    <n v="0"/>
    <x v="0"/>
  </r>
  <r>
    <x v="4"/>
    <s v=""/>
    <n v="0"/>
    <x v="1"/>
    <s v="Østdanmark"/>
    <n v="2514947.1672980539"/>
    <n v="0"/>
    <n v="0"/>
    <n v="0"/>
    <n v="0"/>
    <n v="1820221.068051053"/>
    <n v="0"/>
    <n v="0"/>
    <n v="694726.09924700088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x v="0"/>
  </r>
  <r>
    <x v="9"/>
    <s v="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  <x v="0"/>
  </r>
  <r>
    <x v="10"/>
    <s v=""/>
    <n v="0"/>
    <x v="1"/>
    <s v="Østdanmark"/>
    <n v="588878.01955714053"/>
    <n v="0"/>
    <n v="0"/>
    <n v="0"/>
    <n v="0"/>
    <n v="0"/>
    <n v="0"/>
    <n v="0"/>
    <n v="588878.01955714053"/>
    <n v="0"/>
    <n v="0"/>
    <n v="0"/>
    <n v="0"/>
    <n v="0"/>
    <n v="0"/>
    <n v="0"/>
    <n v="0"/>
    <n v="0"/>
    <n v="0"/>
    <x v="0"/>
  </r>
  <r>
    <x v="11"/>
    <s v=""/>
    <n v="0"/>
    <x v="1"/>
    <s v="Østdanmark"/>
    <n v="15582.71091846241"/>
    <n v="0"/>
    <n v="0"/>
    <n v="223323.94265330929"/>
    <n v="0"/>
    <n v="0"/>
    <n v="0"/>
    <n v="0"/>
    <n v="-207741.2317348468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1914540.1509540223"/>
    <n v="1502068.0760117145"/>
    <n v="0"/>
    <n v="0"/>
    <n v="10658.458409024295"/>
    <n v="0"/>
    <n v="0"/>
    <n v="0"/>
    <n v="401813.61653328338"/>
    <n v="401813.61653328338"/>
    <n v="10658.458409024295"/>
    <n v="0.73928682771917476"/>
    <n v="0.75889705888447834"/>
    <n v="1.9610231165303575E-2"/>
    <n v="0.73928682771917476"/>
    <n v="112507.81262931935"/>
    <n v="115492.18098384616"/>
    <n v="2984.3683545268032"/>
    <n v="112507.8126293193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5770.008322211143"/>
    <n v="0"/>
    <n v="0"/>
    <n v="233902.44520004498"/>
    <n v="0"/>
    <n v="0"/>
    <n v="0"/>
    <n v="0"/>
    <n v="-138132.4368778338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42884.75112836226"/>
    <n v="94889.448034412562"/>
    <n v="103768.80055910767"/>
    <n v="0"/>
    <n v="23174.608981989095"/>
    <n v="0"/>
    <n v="721051.89355285291"/>
    <n v="0"/>
    <n v="0"/>
    <n v="0"/>
    <n v="744226.502534842"/>
    <n v="0"/>
    <n v="7.5862668672984315"/>
    <n v="0.1336141350700174"/>
    <n v="7.4526527322284144"/>
    <n v="0"/>
    <n v="632592.52715461573"/>
    <n v="19698.41763469073"/>
    <n v="612894.10951992497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  <x v="1"/>
  </r>
  <r>
    <x v="20"/>
    <s v=""/>
    <n v="0"/>
    <x v="1"/>
    <s v="Østdanmark"/>
    <n v="143804.58971548834"/>
    <n v="0"/>
    <n v="0"/>
    <n v="0"/>
    <n v="0"/>
    <n v="0"/>
    <n v="0"/>
    <n v="0"/>
    <n v="143804.58971548834"/>
    <n v="0"/>
    <n v="0"/>
    <n v="0"/>
    <n v="0"/>
    <n v="0"/>
    <n v="0"/>
    <n v="0"/>
    <n v="0"/>
    <n v="0"/>
    <n v="0"/>
    <x v="0"/>
  </r>
  <r>
    <x v="21"/>
    <s v=""/>
    <n v="0"/>
    <x v="1"/>
    <s v="Østdanmark"/>
    <n v="114030.37702859532"/>
    <n v="0"/>
    <n v="0"/>
    <n v="106960.41463921656"/>
    <n v="0"/>
    <n v="0"/>
    <n v="0"/>
    <n v="0"/>
    <n v="7069.962389378764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250361.7332047778"/>
    <n v="721621.60770550347"/>
    <n v="0"/>
    <n v="256234.83946537593"/>
    <n v="956.10436953789804"/>
    <n v="0"/>
    <n v="0"/>
    <n v="0"/>
    <n v="1271549.1816643605"/>
    <n v="1271549.1816643605"/>
    <n v="956.10436953789804"/>
    <n v="4.354877930315002"/>
    <n v="4.3581524539260572"/>
    <n v="3.2745236110555661E-3"/>
    <n v="4.354877930315002"/>
    <n v="394180.24631595175"/>
    <n v="394476.63867050852"/>
    <n v="296.39235455674839"/>
    <n v="394180.24631595175"/>
    <x v="0"/>
  </r>
  <r>
    <x v="23"/>
    <s v=""/>
    <n v="0"/>
    <x v="1"/>
    <s v="Østdanmark"/>
    <n v="0"/>
    <n v="0"/>
    <n v="0"/>
    <n v="0"/>
    <n v="0"/>
    <n v="372087.80038220529"/>
    <n v="0"/>
    <n v="0"/>
    <n v="-372087.80038220529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x v="0"/>
  </r>
  <r>
    <x v="25"/>
    <s v=""/>
    <n v="0"/>
    <x v="1"/>
    <s v="Østdanmark"/>
    <n v="116367.97152159807"/>
    <n v="186040.49371289229"/>
    <n v="0"/>
    <n v="0"/>
    <n v="0"/>
    <n v="0"/>
    <n v="0"/>
    <n v="0"/>
    <n v="-69672.522191294222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62325.49106317805"/>
    <n v="694353.26110928762"/>
    <n v="0"/>
    <n v="0"/>
    <n v="15402.670098733543"/>
    <n v="0"/>
    <n v="0"/>
    <n v="0"/>
    <n v="-347430.44014484307"/>
    <n v="0"/>
    <n v="15402.670098733543"/>
    <n v="0"/>
    <n v="5.5295585654453423E-2"/>
    <n v="5.5295585654453423E-2"/>
    <n v="0"/>
    <n v="0"/>
    <n v="4620.8010296200628"/>
    <n v="4620.8010296200628"/>
    <n v="0"/>
    <x v="0"/>
  </r>
  <r>
    <x v="27"/>
    <s v="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  <x v="0"/>
  </r>
  <r>
    <x v="30"/>
    <s v=""/>
    <n v="0"/>
    <x v="1"/>
    <s v="Østdanmark"/>
    <n v="390499.22634916333"/>
    <n v="0"/>
    <n v="0"/>
    <n v="0"/>
    <n v="0"/>
    <n v="0"/>
    <n v="0"/>
    <n v="0"/>
    <n v="390499.226349163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4748.143170077739"/>
    <n v="0"/>
    <n v="0"/>
    <n v="0"/>
    <n v="0"/>
    <n v="0"/>
    <n v="34748.143170077739"/>
    <n v="0"/>
    <n v="0"/>
    <n v="0"/>
    <n v="34748.143170077739"/>
    <n v="0"/>
    <n v="0.63936583432943028"/>
    <n v="0"/>
    <n v="0.63936583432943028"/>
    <n v="0"/>
    <n v="14420.479415582264"/>
    <n v="0"/>
    <n v="14420.47941558226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x v="0"/>
  </r>
  <r>
    <x v="35"/>
    <s v=""/>
    <n v="0"/>
    <x v="1"/>
    <s v="Østdanmark"/>
    <n v="192094.83489491633"/>
    <n v="0"/>
    <n v="0"/>
    <n v="0"/>
    <n v="0"/>
    <n v="0"/>
    <n v="0"/>
    <n v="192094.83489491633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96047.417447458167"/>
    <n v="26278.769501998377"/>
    <n v="0"/>
    <n v="0"/>
    <n v="0"/>
    <n v="0"/>
    <n v="0"/>
    <n v="0"/>
    <n v="69768.64794545978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1470.347166373227"/>
    <n v="0"/>
    <n v="0"/>
    <n v="0"/>
    <n v="0"/>
    <n v="0"/>
    <n v="61470.347166373227"/>
    <n v="0"/>
    <n v="0"/>
    <n v="0"/>
    <n v="61470.347166373227"/>
    <n v="0"/>
    <n v="2.1514621508230629"/>
    <n v="0"/>
    <n v="2.1514621508230629"/>
    <n v="0"/>
    <n v="0"/>
    <n v="0"/>
    <n v="0"/>
    <x v="0"/>
  </r>
  <r>
    <x v="38"/>
    <s v="Græs og urter"/>
    <n v="1"/>
    <x v="1"/>
    <s v="Østdanmark"/>
    <n v="2246451.1221419098"/>
    <n v="103245.8768300271"/>
    <n v="0"/>
    <n v="0"/>
    <n v="24557.500729054813"/>
    <n v="0"/>
    <n v="0"/>
    <n v="0"/>
    <n v="2118647.7445828277"/>
    <n v="1647305.568768583"/>
    <n v="24557.500729054813"/>
    <n v="4.4708532058606849"/>
    <n v="4.5375032451393684"/>
    <n v="6.6650039278683931E-2"/>
    <n v="4.4708532058606849"/>
    <n v="329461.11375371664"/>
    <n v="334372.61389952758"/>
    <n v="4911.5001458109627"/>
    <n v="329461.11375371664"/>
    <x v="0"/>
  </r>
  <r>
    <x v="39"/>
    <s v="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x v="0"/>
  </r>
  <r>
    <x v="40"/>
    <s v=""/>
    <n v="0"/>
    <x v="1"/>
    <s v="Østdanmark"/>
    <n v="18563.363450936293"/>
    <n v="4837.9324606189484"/>
    <n v="0"/>
    <n v="0"/>
    <n v="0"/>
    <n v="0"/>
    <n v="0"/>
    <n v="0"/>
    <n v="13725.43099031734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  <x v="0"/>
  </r>
  <r>
    <x v="42"/>
    <s v="Husdyrgødning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x v="0"/>
  </r>
  <r>
    <x v="43"/>
    <s v="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672.88485303381"/>
    <n v="0"/>
    <n v="0"/>
    <n v="0"/>
    <n v="0"/>
    <n v="0"/>
    <n v="645672.88485303381"/>
    <n v="0"/>
    <n v="0"/>
    <n v="0"/>
    <n v="645672.88485303381"/>
    <n v="0"/>
    <n v="9.3581044439798156"/>
    <n v="0"/>
    <n v="9.3581044439798156"/>
    <n v="0"/>
    <n v="319339.04763356299"/>
    <n v="0"/>
    <n v="319339.04763356299"/>
    <x v="0"/>
  </r>
  <r>
    <x v="47"/>
    <s v=""/>
    <n v="0"/>
    <x v="1"/>
    <s v="Østdanmark"/>
    <n v="177572.60690670041"/>
    <n v="0"/>
    <n v="0"/>
    <n v="0"/>
    <n v="0"/>
    <n v="0"/>
    <n v="0"/>
    <n v="177572.6069067004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x v="0"/>
  </r>
  <r>
    <x v="1"/>
    <s v=""/>
    <n v="0"/>
    <x v="2"/>
    <s v="Østdanmark"/>
    <n v="26756.842840483081"/>
    <n v="7916.616753740097"/>
    <n v="0"/>
    <n v="0"/>
    <n v="0"/>
    <n v="0"/>
    <n v="0"/>
    <n v="0"/>
    <n v="18840.22608674298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  <x v="1"/>
  </r>
  <r>
    <x v="3"/>
    <s v=""/>
    <n v="1"/>
    <x v="2"/>
    <s v="Østdanmark"/>
    <n v="113029853.54922721"/>
    <n v="0"/>
    <n v="0"/>
    <n v="0"/>
    <n v="0"/>
    <n v="0"/>
    <n v="113029853.54922721"/>
    <n v="0"/>
    <n v="0"/>
    <n v="0"/>
    <n v="113029853.54922721"/>
    <n v="0"/>
    <n v="0"/>
    <n v="0"/>
    <n v="0"/>
    <n v="0"/>
    <n v="0"/>
    <n v="0"/>
    <n v="0"/>
    <x v="0"/>
  </r>
  <r>
    <x v="4"/>
    <s v=""/>
    <n v="0"/>
    <x v="2"/>
    <s v="Østdanmark"/>
    <n v="2571575.8886360126"/>
    <n v="0"/>
    <n v="0"/>
    <n v="0"/>
    <n v="0"/>
    <n v="1839918.144943662"/>
    <n v="0"/>
    <n v="0"/>
    <n v="731657.7436923505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x v="0"/>
  </r>
  <r>
    <x v="9"/>
    <s v="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  <x v="0"/>
  </r>
  <r>
    <x v="10"/>
    <s v=""/>
    <n v="0"/>
    <x v="2"/>
    <s v="Østdanmark"/>
    <n v="588878.01955714053"/>
    <n v="0"/>
    <n v="0"/>
    <n v="0"/>
    <n v="0"/>
    <n v="0"/>
    <n v="0"/>
    <n v="0"/>
    <n v="588878.01955714053"/>
    <n v="0"/>
    <n v="0"/>
    <n v="0"/>
    <n v="0"/>
    <n v="0"/>
    <n v="0"/>
    <n v="0"/>
    <n v="0"/>
    <n v="0"/>
    <n v="0"/>
    <x v="0"/>
  </r>
  <r>
    <x v="11"/>
    <s v=""/>
    <n v="0"/>
    <x v="2"/>
    <s v="Østdanmark"/>
    <n v="15582.71091846241"/>
    <n v="0"/>
    <n v="0"/>
    <n v="233795.01599247381"/>
    <n v="0"/>
    <n v="0"/>
    <n v="0"/>
    <n v="0"/>
    <n v="-218212.30507401141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1914540.1509540223"/>
    <n v="1502068.0760117145"/>
    <n v="0"/>
    <n v="0"/>
    <n v="10658.458409024295"/>
    <n v="0"/>
    <n v="0"/>
    <n v="0"/>
    <n v="401813.61653328338"/>
    <n v="401813.61653328338"/>
    <n v="10658.458409024295"/>
    <n v="0.73928682771917476"/>
    <n v="0.75889705888447834"/>
    <n v="1.9610231165303575E-2"/>
    <n v="0.73928682771917476"/>
    <n v="112507.81262931935"/>
    <n v="115492.18098384616"/>
    <n v="2984.3683545268032"/>
    <n v="112507.8126293193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5770.008322211143"/>
    <n v="0"/>
    <n v="0"/>
    <n v="244869.51675001203"/>
    <n v="0"/>
    <n v="0"/>
    <n v="0"/>
    <n v="0"/>
    <n v="-149099.508427800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42884.75112836226"/>
    <n v="94889.448034412562"/>
    <n v="103768.80055910767"/>
    <n v="0"/>
    <n v="23174.608981989095"/>
    <n v="0"/>
    <n v="721051.89355285291"/>
    <n v="0"/>
    <n v="0"/>
    <n v="0"/>
    <n v="744226.502534842"/>
    <n v="0"/>
    <n v="7.5862668672984315"/>
    <n v="0.1336141350700174"/>
    <n v="7.4526527322284144"/>
    <n v="0"/>
    <n v="632592.52715461573"/>
    <n v="19698.41763469073"/>
    <n v="612894.10951992497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  <x v="1"/>
  </r>
  <r>
    <x v="20"/>
    <s v=""/>
    <n v="0"/>
    <x v="2"/>
    <s v="Østdanmark"/>
    <n v="143804.58971548834"/>
    <n v="0"/>
    <n v="0"/>
    <n v="0"/>
    <n v="0"/>
    <n v="0"/>
    <n v="0"/>
    <n v="0"/>
    <n v="143804.58971548834"/>
    <n v="0"/>
    <n v="0"/>
    <n v="0"/>
    <n v="0"/>
    <n v="0"/>
    <n v="0"/>
    <n v="0"/>
    <n v="0"/>
    <n v="0"/>
    <n v="0"/>
    <x v="0"/>
  </r>
  <r>
    <x v="21"/>
    <s v=""/>
    <n v="0"/>
    <x v="2"/>
    <s v="Østdanmark"/>
    <n v="114030.37702859532"/>
    <n v="0"/>
    <n v="0"/>
    <n v="111975.50765955324"/>
    <n v="0"/>
    <n v="0"/>
    <n v="0"/>
    <n v="0"/>
    <n v="2054.86936904207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50361.7332047778"/>
    <n v="721621.60770550347"/>
    <n v="0"/>
    <n v="268249.01834925939"/>
    <n v="956.10436953789804"/>
    <n v="0"/>
    <n v="0"/>
    <n v="0"/>
    <n v="1259535.0027804771"/>
    <n v="1259535.0027804771"/>
    <n v="956.10436953789804"/>
    <n v="4.3137310496227457"/>
    <n v="4.3170055732338009"/>
    <n v="3.2745236110555661E-3"/>
    <n v="4.3137310496227457"/>
    <n v="390455.85086194787"/>
    <n v="390752.24321650463"/>
    <n v="296.39235455674839"/>
    <n v="390455.85086194787"/>
    <x v="0"/>
  </r>
  <r>
    <x v="23"/>
    <s v=""/>
    <n v="0"/>
    <x v="2"/>
    <s v="Østdanmark"/>
    <n v="0"/>
    <n v="0"/>
    <n v="0"/>
    <n v="0"/>
    <n v="0"/>
    <n v="371226.05326815369"/>
    <n v="0"/>
    <n v="0"/>
    <n v="-371226.0532681536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x v="0"/>
  </r>
  <r>
    <x v="25"/>
    <s v=""/>
    <n v="0"/>
    <x v="2"/>
    <s v="Østdanmark"/>
    <n v="116367.97152159807"/>
    <n v="186040.49371289229"/>
    <n v="0"/>
    <n v="0"/>
    <n v="0"/>
    <n v="0"/>
    <n v="0"/>
    <n v="0"/>
    <n v="-69672.522191294222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2325.49106317805"/>
    <n v="694353.26110928762"/>
    <n v="0"/>
    <n v="0"/>
    <n v="15402.670098733543"/>
    <n v="0"/>
    <n v="0"/>
    <n v="0"/>
    <n v="-347430.44014484307"/>
    <n v="0"/>
    <n v="15402.670098733543"/>
    <n v="0"/>
    <n v="5.5295585654453423E-2"/>
    <n v="5.5295585654453423E-2"/>
    <n v="0"/>
    <n v="0"/>
    <n v="4620.8010296200628"/>
    <n v="4620.8010296200628"/>
    <n v="0"/>
    <x v="0"/>
  </r>
  <r>
    <x v="27"/>
    <s v="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  <x v="1"/>
  </r>
  <r>
    <x v="30"/>
    <s v=""/>
    <n v="0"/>
    <x v="2"/>
    <s v="Østdanmark"/>
    <n v="390499.22634916333"/>
    <n v="0"/>
    <n v="0"/>
    <n v="0"/>
    <n v="0"/>
    <n v="0"/>
    <n v="0"/>
    <n v="0"/>
    <n v="390499.22634916333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4748.143170077739"/>
    <n v="0"/>
    <n v="0"/>
    <n v="0"/>
    <n v="0"/>
    <n v="0"/>
    <n v="34748.143170077739"/>
    <n v="0"/>
    <n v="0"/>
    <n v="0"/>
    <n v="34748.143170077739"/>
    <n v="0"/>
    <n v="0.63936583432943028"/>
    <n v="0"/>
    <n v="0.63936583432943028"/>
    <n v="0"/>
    <n v="14420.479415582264"/>
    <n v="0"/>
    <n v="14420.47941558226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x v="0"/>
  </r>
  <r>
    <x v="35"/>
    <s v=""/>
    <n v="0"/>
    <x v="2"/>
    <s v="Østdanmark"/>
    <n v="192094.83489491633"/>
    <n v="0"/>
    <n v="0"/>
    <n v="0"/>
    <n v="0"/>
    <n v="0"/>
    <n v="0"/>
    <n v="192094.8348949163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6047.417447458167"/>
    <n v="26278.769501998377"/>
    <n v="0"/>
    <n v="0"/>
    <n v="0"/>
    <n v="0"/>
    <n v="0"/>
    <n v="0"/>
    <n v="69768.64794545978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470.347166373227"/>
    <n v="0"/>
    <n v="0"/>
    <n v="0"/>
    <n v="0"/>
    <n v="0"/>
    <n v="61470.347166373227"/>
    <n v="0"/>
    <n v="0"/>
    <n v="0"/>
    <n v="61470.347166373227"/>
    <n v="0"/>
    <n v="2.1514621508230629"/>
    <n v="0"/>
    <n v="2.1514621508230629"/>
    <n v="0"/>
    <n v="0"/>
    <n v="0"/>
    <n v="0"/>
    <x v="0"/>
  </r>
  <r>
    <x v="38"/>
    <s v="Græs og urter"/>
    <n v="1"/>
    <x v="2"/>
    <s v="Østdanmark"/>
    <n v="2246451.1221419098"/>
    <n v="103245.8768300271"/>
    <n v="0"/>
    <n v="0"/>
    <n v="24557.500729054813"/>
    <n v="0"/>
    <n v="0"/>
    <n v="0"/>
    <n v="2118647.7445828277"/>
    <n v="1647305.568768583"/>
    <n v="24557.500729054813"/>
    <n v="4.4708532058606849"/>
    <n v="4.5375032451393684"/>
    <n v="6.6650039278683931E-2"/>
    <n v="4.4708532058606849"/>
    <n v="329461.11375371664"/>
    <n v="334372.61389952758"/>
    <n v="4911.5001458109627"/>
    <n v="329461.11375371664"/>
    <x v="0"/>
  </r>
  <r>
    <x v="39"/>
    <s v="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x v="0"/>
  </r>
  <r>
    <x v="40"/>
    <s v=""/>
    <n v="0"/>
    <x v="2"/>
    <s v="Østdanmark"/>
    <n v="18563.363450936293"/>
    <n v="4837.9324606189484"/>
    <n v="0"/>
    <n v="0"/>
    <n v="0"/>
    <n v="0"/>
    <n v="0"/>
    <n v="0"/>
    <n v="13725.430990317345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  <x v="0"/>
  </r>
  <r>
    <x v="42"/>
    <s v="Husdyrgødning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x v="0"/>
  </r>
  <r>
    <x v="43"/>
    <s v="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95218.43002819875"/>
    <n v="0"/>
    <n v="0"/>
    <n v="0"/>
    <n v="0"/>
    <n v="0"/>
    <n v="595218.43002819875"/>
    <n v="0"/>
    <n v="0"/>
    <n v="0"/>
    <n v="595218.43002819875"/>
    <n v="0"/>
    <n v="8.6268393266250119"/>
    <n v="0"/>
    <n v="8.6268393266250119"/>
    <n v="0"/>
    <n v="294385.11518477998"/>
    <n v="0"/>
    <n v="294385.11518477998"/>
    <x v="0"/>
  </r>
  <r>
    <x v="47"/>
    <s v=""/>
    <n v="0"/>
    <x v="2"/>
    <s v="Østdanmark"/>
    <n v="165048.26189374441"/>
    <n v="0"/>
    <n v="0"/>
    <n v="0"/>
    <n v="0"/>
    <n v="0"/>
    <n v="0"/>
    <n v="165048.2618937444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53064.00210361299"/>
    <n v="5979978.6547463275"/>
    <n v="1951850.0829625644"/>
    <n v="1951850.0829625644"/>
  </r>
  <r>
    <x v="0"/>
    <x v="1"/>
    <x v="1"/>
    <s v="Konventionel"/>
    <x v="0"/>
    <s v="Halm"/>
    <n v="58939.484550716581"/>
    <n v="227506.41036576603"/>
    <n v="67541.817252888548"/>
    <n v="67541.817252888548"/>
  </r>
  <r>
    <x v="0"/>
    <x v="2"/>
    <x v="1"/>
    <s v="Konventionel"/>
    <x v="0"/>
    <s v="Halm"/>
    <n v="99115.06241944003"/>
    <n v="436106.27464553615"/>
    <n v="232926.54181955411"/>
    <n v="232926.54181955411"/>
  </r>
  <r>
    <x v="0"/>
    <x v="3"/>
    <x v="1"/>
    <s v="Konventionel"/>
    <x v="0"/>
    <s v="Græs"/>
    <n v="188981.25083524975"/>
    <n v="9377249.6664450932"/>
    <n v="0"/>
    <n v="9377249.6664450932"/>
  </r>
  <r>
    <x v="0"/>
    <x v="4"/>
    <x v="1"/>
    <s v="Konventionel"/>
    <x v="0"/>
    <s v="Grøntsager"/>
    <n v="7313.1446192208541"/>
    <n v="151747.75084883274"/>
    <n v="0"/>
    <n v="151747.75084883274"/>
  </r>
  <r>
    <x v="0"/>
    <x v="5"/>
    <x v="1"/>
    <s v="Konventionel"/>
    <x v="0"/>
    <s v="Kartofler"/>
    <n v="43565.33101601588"/>
    <n v="1850258.7939976689"/>
    <n v="0"/>
    <n v="1850258.7939976689"/>
  </r>
  <r>
    <x v="0"/>
    <x v="6"/>
    <x v="1"/>
    <s v="Konventionel"/>
    <x v="0"/>
    <s v="Roer"/>
    <n v="4252.8843446697592"/>
    <n v="345562.72197585326"/>
    <n v="0"/>
    <n v="345562.72197585326"/>
  </r>
  <r>
    <x v="0"/>
    <x v="7"/>
    <x v="1"/>
    <s v="Konventionel"/>
    <x v="0"/>
    <s v="Majs"/>
    <n v="145638.34626271055"/>
    <n v="6482362.7921532467"/>
    <n v="0"/>
    <n v="6482362.7921532467"/>
  </r>
  <r>
    <x v="0"/>
    <x v="8"/>
    <x v="1"/>
    <s v="Konventionel"/>
    <x v="0"/>
    <s v="Frugt"/>
    <n v="2676.1448409922077"/>
    <n v="22720.469700023848"/>
    <n v="0"/>
    <n v="22720.469700023848"/>
  </r>
  <r>
    <x v="0"/>
    <x v="9"/>
    <x v="1"/>
    <s v="Konventionel"/>
    <x v="0"/>
    <s v="Øvrige"/>
    <n v="47330.033772765404"/>
    <n v="1410243.012533868"/>
    <n v="0"/>
    <n v="1410243.012533868"/>
  </r>
  <r>
    <x v="0"/>
    <x v="10"/>
    <x v="1"/>
    <s v="Konventionel"/>
    <x v="0"/>
    <s v="Halm"/>
    <n v="49787.032963432102"/>
    <n v="711399.98164280283"/>
    <n v="118184.45884859514"/>
    <n v="118184.45884859514"/>
  </r>
  <r>
    <x v="0"/>
    <x v="11"/>
    <x v="1"/>
    <s v="Konventionel"/>
    <x v="0"/>
    <s v="Juletræer"/>
    <n v="13422.322311297707"/>
    <n v="671116.11556488543"/>
    <n v="0"/>
    <n v="671116.11556488543"/>
  </r>
  <r>
    <x v="0"/>
    <x v="12"/>
    <x v="1"/>
    <s v="Konventionel"/>
    <x v="0"/>
    <s v="Pil &amp; poppel"/>
    <n v="4937.1607996010098"/>
    <n v="120418.55608782951"/>
    <n v="0"/>
    <n v="120418.55608782951"/>
  </r>
  <r>
    <x v="0"/>
    <x v="13"/>
    <x v="1"/>
    <s v="Konventionel"/>
    <x v="0"/>
    <s v="Græs"/>
    <n v="119003.01274629038"/>
    <n v="1641051.5457713446"/>
    <n v="0"/>
    <n v="1641051.5457713446"/>
  </r>
  <r>
    <x v="0"/>
    <x v="0"/>
    <x v="2"/>
    <s v="Konventionel"/>
    <x v="0"/>
    <s v="Halm"/>
    <n v="853064.00210361299"/>
    <n v="5979978.6547463275"/>
    <n v="1951850.0829625644"/>
    <n v="1951850.0829625644"/>
  </r>
  <r>
    <x v="0"/>
    <x v="1"/>
    <x v="2"/>
    <s v="Konventionel"/>
    <x v="0"/>
    <s v="Halm"/>
    <n v="58939.484550716581"/>
    <n v="227506.41036576603"/>
    <n v="67541.817252888548"/>
    <n v="67541.817252888548"/>
  </r>
  <r>
    <x v="0"/>
    <x v="2"/>
    <x v="2"/>
    <s v="Konventionel"/>
    <x v="0"/>
    <s v="Halm"/>
    <n v="99115.06241944003"/>
    <n v="436106.27464553615"/>
    <n v="232926.54181955411"/>
    <n v="232926.54181955411"/>
  </r>
  <r>
    <x v="0"/>
    <x v="3"/>
    <x v="2"/>
    <s v="Konventionel"/>
    <x v="0"/>
    <s v="Græs"/>
    <n v="188981.25083524975"/>
    <n v="9377249.6664450932"/>
    <n v="0"/>
    <n v="9377249.6664450932"/>
  </r>
  <r>
    <x v="0"/>
    <x v="4"/>
    <x v="2"/>
    <s v="Konventionel"/>
    <x v="0"/>
    <s v="Grøntsager"/>
    <n v="7313.1446192208541"/>
    <n v="151747.75084883274"/>
    <n v="0"/>
    <n v="151747.75084883274"/>
  </r>
  <r>
    <x v="0"/>
    <x v="5"/>
    <x v="2"/>
    <s v="Konventionel"/>
    <x v="0"/>
    <s v="Kartofler"/>
    <n v="43565.33101601588"/>
    <n v="1850258.7939976689"/>
    <n v="0"/>
    <n v="1850258.7939976689"/>
  </r>
  <r>
    <x v="0"/>
    <x v="6"/>
    <x v="2"/>
    <s v="Konventionel"/>
    <x v="0"/>
    <s v="Roer"/>
    <n v="4252.8843446697592"/>
    <n v="345562.72197585326"/>
    <n v="0"/>
    <n v="345562.72197585326"/>
  </r>
  <r>
    <x v="0"/>
    <x v="7"/>
    <x v="2"/>
    <s v="Konventionel"/>
    <x v="0"/>
    <s v="Majs"/>
    <n v="145638.34626271055"/>
    <n v="6482362.7921532467"/>
    <n v="0"/>
    <n v="6482362.7921532467"/>
  </r>
  <r>
    <x v="0"/>
    <x v="8"/>
    <x v="2"/>
    <s v="Konventionel"/>
    <x v="0"/>
    <s v="Frugt"/>
    <n v="2676.1448409922077"/>
    <n v="22720.469700023848"/>
    <n v="0"/>
    <n v="22720.469700023848"/>
  </r>
  <r>
    <x v="0"/>
    <x v="9"/>
    <x v="2"/>
    <s v="Konventionel"/>
    <x v="0"/>
    <s v="Øvrige"/>
    <n v="47330.033772765404"/>
    <n v="1410243.012533868"/>
    <n v="0"/>
    <n v="1410243.012533868"/>
  </r>
  <r>
    <x v="0"/>
    <x v="10"/>
    <x v="2"/>
    <s v="Konventionel"/>
    <x v="0"/>
    <s v="Halm"/>
    <n v="49787.032963432102"/>
    <n v="711399.98164280283"/>
    <n v="118184.45884859514"/>
    <n v="118184.45884859514"/>
  </r>
  <r>
    <x v="0"/>
    <x v="11"/>
    <x v="2"/>
    <s v="Konventionel"/>
    <x v="0"/>
    <s v="Juletræer"/>
    <n v="13422.322311297707"/>
    <n v="671116.11556488543"/>
    <n v="0"/>
    <n v="671116.11556488543"/>
  </r>
  <r>
    <x v="0"/>
    <x v="12"/>
    <x v="2"/>
    <s v="Konventionel"/>
    <x v="0"/>
    <s v="Pil &amp; poppel"/>
    <n v="4937.1607996010098"/>
    <n v="120418.55608782951"/>
    <n v="0"/>
    <n v="120418.55608782951"/>
  </r>
  <r>
    <x v="0"/>
    <x v="13"/>
    <x v="2"/>
    <s v="Konventionel"/>
    <x v="0"/>
    <s v="Græs"/>
    <n v="119003.01274629038"/>
    <n v="1641051.5457713446"/>
    <n v="0"/>
    <n v="1641051.545771344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9074.05508995618"/>
    <n v="512288.11454099719"/>
    <n v="167209.55986589516"/>
    <n v="167209.55986589516"/>
  </r>
  <r>
    <x v="0"/>
    <x v="1"/>
    <x v="1"/>
    <s v="Økologisk"/>
    <x v="0"/>
    <s v="Halm"/>
    <n v="7536.0917457605292"/>
    <n v="16580.909059022317"/>
    <n v="4922.5194479169131"/>
    <n v="4922.5194479169131"/>
  </r>
  <r>
    <x v="0"/>
    <x v="2"/>
    <x v="1"/>
    <s v="Økologisk"/>
    <x v="0"/>
    <s v="Halm"/>
    <n v="12673.001969281737"/>
    <n v="30668.664765661812"/>
    <n v="16380.287194663799"/>
    <n v="16380.287194663799"/>
  </r>
  <r>
    <x v="0"/>
    <x v="3"/>
    <x v="1"/>
    <s v="Økologisk"/>
    <x v="0"/>
    <s v="Græs"/>
    <n v="24163.428903039348"/>
    <n v="935211.68689167371"/>
    <n v="0"/>
    <n v="935211.68689167371"/>
  </r>
  <r>
    <x v="0"/>
    <x v="4"/>
    <x v="1"/>
    <s v="Økologisk"/>
    <x v="0"/>
    <s v="Grøntsager"/>
    <n v="935.06974518991217"/>
    <n v="11059.537411233687"/>
    <n v="0"/>
    <n v="11059.537411233687"/>
  </r>
  <r>
    <x v="0"/>
    <x v="5"/>
    <x v="1"/>
    <s v="Økologisk"/>
    <x v="0"/>
    <s v="Kartofler"/>
    <n v="5570.3291939822529"/>
    <n v="134848.82799393893"/>
    <n v="0"/>
    <n v="134848.82799393893"/>
  </r>
  <r>
    <x v="0"/>
    <x v="6"/>
    <x v="1"/>
    <s v="Økologisk"/>
    <x v="0"/>
    <s v="Roer"/>
    <n v="543.78023238328944"/>
    <n v="25184.978559760264"/>
    <n v="0"/>
    <n v="25184.978559760264"/>
  </r>
  <r>
    <x v="0"/>
    <x v="7"/>
    <x v="1"/>
    <s v="Økologisk"/>
    <x v="0"/>
    <s v="Majs"/>
    <n v="18621.539490936779"/>
    <n v="687941.11987552466"/>
    <n v="0"/>
    <n v="687941.11987552466"/>
  </r>
  <r>
    <x v="0"/>
    <x v="8"/>
    <x v="1"/>
    <s v="Økologisk"/>
    <x v="0"/>
    <s v="Frugt"/>
    <n v="342.17593181200988"/>
    <n v="1655.8919868178593"/>
    <n v="0"/>
    <n v="1655.8919868178593"/>
  </r>
  <r>
    <x v="0"/>
    <x v="9"/>
    <x v="1"/>
    <s v="Økologisk"/>
    <x v="0"/>
    <s v="Øvrige"/>
    <n v="6051.6897892885954"/>
    <n v="102780.0100417052"/>
    <n v="0"/>
    <n v="102780.0100417052"/>
  </r>
  <r>
    <x v="0"/>
    <x v="10"/>
    <x v="1"/>
    <s v="Økologisk"/>
    <x v="0"/>
    <s v="Halm"/>
    <n v="6365.8454264012817"/>
    <n v="51847.586981155291"/>
    <n v="8613.4090077190758"/>
    <n v="8613.4090077190758"/>
  </r>
  <r>
    <x v="0"/>
    <x v="11"/>
    <x v="1"/>
    <s v="Økologisk"/>
    <x v="0"/>
    <s v="Juletræer"/>
    <n v="1716.1984559275936"/>
    <n v="48911.655993936416"/>
    <n v="0"/>
    <n v="48911.655993936416"/>
  </r>
  <r>
    <x v="0"/>
    <x v="12"/>
    <x v="1"/>
    <s v="Økologisk"/>
    <x v="0"/>
    <s v="Pil &amp; poppel"/>
    <n v="631.27285609954106"/>
    <n v="8776.2323896765465"/>
    <n v="0"/>
    <n v="8776.2323896765465"/>
  </r>
  <r>
    <x v="0"/>
    <x v="13"/>
    <x v="1"/>
    <s v="Økologisk"/>
    <x v="0"/>
    <s v="Græs"/>
    <n v="15215.905414073572"/>
    <n v="209827.33566007458"/>
    <n v="0"/>
    <n v="209827.33566007458"/>
  </r>
  <r>
    <x v="0"/>
    <x v="0"/>
    <x v="2"/>
    <s v="Økologisk"/>
    <x v="0"/>
    <s v="Halm"/>
    <n v="109074.05508995618"/>
    <n v="512288.11454099719"/>
    <n v="167209.55986589516"/>
    <n v="167209.55986589516"/>
  </r>
  <r>
    <x v="0"/>
    <x v="1"/>
    <x v="2"/>
    <s v="Økologisk"/>
    <x v="0"/>
    <s v="Halm"/>
    <n v="7536.0917457605292"/>
    <n v="16580.909059022317"/>
    <n v="4922.5194479169131"/>
    <n v="4922.5194479169131"/>
  </r>
  <r>
    <x v="0"/>
    <x v="2"/>
    <x v="2"/>
    <s v="Økologisk"/>
    <x v="0"/>
    <s v="Halm"/>
    <n v="12673.001969281737"/>
    <n v="30668.664765661812"/>
    <n v="16380.287194663799"/>
    <n v="16380.287194663799"/>
  </r>
  <r>
    <x v="0"/>
    <x v="3"/>
    <x v="2"/>
    <s v="Økologisk"/>
    <x v="0"/>
    <s v="Græs"/>
    <n v="24163.428903039348"/>
    <n v="935211.68689167371"/>
    <n v="0"/>
    <n v="935211.68689167371"/>
  </r>
  <r>
    <x v="0"/>
    <x v="4"/>
    <x v="2"/>
    <s v="Økologisk"/>
    <x v="0"/>
    <s v="Grøntsager"/>
    <n v="935.06974518991217"/>
    <n v="11059.537411233687"/>
    <n v="0"/>
    <n v="11059.537411233687"/>
  </r>
  <r>
    <x v="0"/>
    <x v="5"/>
    <x v="2"/>
    <s v="Økologisk"/>
    <x v="0"/>
    <s v="Kartofler"/>
    <n v="5570.3291939822529"/>
    <n v="134848.82799393893"/>
    <n v="0"/>
    <n v="134848.82799393893"/>
  </r>
  <r>
    <x v="0"/>
    <x v="6"/>
    <x v="2"/>
    <s v="Økologisk"/>
    <x v="0"/>
    <s v="Roer"/>
    <n v="543.78023238328944"/>
    <n v="25184.978559760264"/>
    <n v="0"/>
    <n v="25184.978559760264"/>
  </r>
  <r>
    <x v="0"/>
    <x v="7"/>
    <x v="2"/>
    <s v="Økologisk"/>
    <x v="0"/>
    <s v="Majs"/>
    <n v="18621.539490936779"/>
    <n v="687941.11987552466"/>
    <n v="0"/>
    <n v="687941.11987552466"/>
  </r>
  <r>
    <x v="0"/>
    <x v="8"/>
    <x v="2"/>
    <s v="Økologisk"/>
    <x v="0"/>
    <s v="Frugt"/>
    <n v="342.17593181200988"/>
    <n v="1655.8919868178593"/>
    <n v="0"/>
    <n v="1655.8919868178593"/>
  </r>
  <r>
    <x v="0"/>
    <x v="9"/>
    <x v="2"/>
    <s v="Økologisk"/>
    <x v="0"/>
    <s v="Øvrige"/>
    <n v="6051.6897892885954"/>
    <n v="102780.0100417052"/>
    <n v="0"/>
    <n v="102780.0100417052"/>
  </r>
  <r>
    <x v="0"/>
    <x v="10"/>
    <x v="2"/>
    <s v="Økologisk"/>
    <x v="0"/>
    <s v="Halm"/>
    <n v="6365.8454264012817"/>
    <n v="51847.586981155291"/>
    <n v="8613.4090077190758"/>
    <n v="8613.4090077190758"/>
  </r>
  <r>
    <x v="0"/>
    <x v="11"/>
    <x v="2"/>
    <s v="Økologisk"/>
    <x v="0"/>
    <s v="Juletræer"/>
    <n v="1716.1984559275936"/>
    <n v="48911.655993936416"/>
    <n v="0"/>
    <n v="48911.655993936416"/>
  </r>
  <r>
    <x v="0"/>
    <x v="12"/>
    <x v="2"/>
    <s v="Økologisk"/>
    <x v="0"/>
    <s v="Pil &amp; poppel"/>
    <n v="631.27285609954106"/>
    <n v="8776.2323896765465"/>
    <n v="0"/>
    <n v="8776.2323896765465"/>
  </r>
  <r>
    <x v="0"/>
    <x v="13"/>
    <x v="2"/>
    <s v="Økologisk"/>
    <x v="0"/>
    <s v="Græs"/>
    <n v="15215.905414073572"/>
    <n v="209827.33566007458"/>
    <n v="0"/>
    <n v="209827.3356600745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8438.584695135654"/>
    <n v="155105.37445548113"/>
    <n v="50626.006458832911"/>
    <n v="50626.006458832911"/>
  </r>
  <r>
    <x v="0"/>
    <x v="1"/>
    <x v="1"/>
    <s v="Konventionel"/>
    <x v="1"/>
    <s v="Halm"/>
    <n v="1580.6329773903628"/>
    <n v="7321.4919512721608"/>
    <n v="2173.5953312097508"/>
    <n v="2173.5953312097508"/>
  </r>
  <r>
    <x v="0"/>
    <x v="2"/>
    <x v="1"/>
    <s v="Konventionel"/>
    <x v="1"/>
    <s v="Halm"/>
    <n v="1692.5149191501318"/>
    <n v="8936.4787731126962"/>
    <n v="4773.0179951133568"/>
    <n v="4773.0179951133568"/>
  </r>
  <r>
    <x v="0"/>
    <x v="3"/>
    <x v="1"/>
    <s v="Konventionel"/>
    <x v="1"/>
    <s v="Græs"/>
    <n v="15619.125095440719"/>
    <n v="930025.18468292209"/>
    <n v="0"/>
    <n v="930025.18468292209"/>
  </r>
  <r>
    <x v="0"/>
    <x v="4"/>
    <x v="1"/>
    <s v="Konventionel"/>
    <x v="1"/>
    <s v="Grøntsager"/>
    <n v="73.051235569092569"/>
    <n v="1818.9757656704051"/>
    <n v="0"/>
    <n v="1818.9757656704051"/>
  </r>
  <r>
    <x v="0"/>
    <x v="5"/>
    <x v="1"/>
    <s v="Konventionel"/>
    <x v="1"/>
    <s v="Kartofler"/>
    <n v="1153.2896677317658"/>
    <n v="58777.499446875452"/>
    <n v="0"/>
    <n v="58777.499446875452"/>
  </r>
  <r>
    <x v="0"/>
    <x v="6"/>
    <x v="1"/>
    <s v="Konventionel"/>
    <x v="1"/>
    <s v="Roer"/>
    <n v="30.25692281705253"/>
    <n v="2950.1854534215036"/>
    <n v="0"/>
    <n v="2950.1854534215036"/>
  </r>
  <r>
    <x v="0"/>
    <x v="7"/>
    <x v="1"/>
    <s v="Konventionel"/>
    <x v="1"/>
    <s v="Majs"/>
    <n v="3905.7140494222053"/>
    <n v="208611.99880773883"/>
    <n v="0"/>
    <n v="208611.99880773883"/>
  </r>
  <r>
    <x v="0"/>
    <x v="8"/>
    <x v="1"/>
    <s v="Konventionel"/>
    <x v="1"/>
    <s v="Frugt"/>
    <n v="66.537196398441907"/>
    <n v="677.88095690732621"/>
    <n v="0"/>
    <n v="677.88095690732621"/>
  </r>
  <r>
    <x v="0"/>
    <x v="9"/>
    <x v="1"/>
    <s v="Konventionel"/>
    <x v="1"/>
    <s v="Øvrige"/>
    <n v="1176.7702945090889"/>
    <n v="42075.577460765489"/>
    <n v="0"/>
    <n v="42075.577460765489"/>
  </r>
  <r>
    <x v="0"/>
    <x v="10"/>
    <x v="1"/>
    <s v="Konventionel"/>
    <x v="1"/>
    <s v="Halm"/>
    <n v="2904.6161154278734"/>
    <n v="49804.386279756334"/>
    <n v="8273.9732817632248"/>
    <n v="8273.9732817632248"/>
  </r>
  <r>
    <x v="0"/>
    <x v="11"/>
    <x v="1"/>
    <s v="Konventionel"/>
    <x v="1"/>
    <s v="Juletræer"/>
    <n v="333.7202389310454"/>
    <n v="20023.214335862725"/>
    <n v="0"/>
    <n v="20023.214335862725"/>
  </r>
  <r>
    <x v="0"/>
    <x v="12"/>
    <x v="1"/>
    <s v="Konventionel"/>
    <x v="1"/>
    <s v="Pil &amp; poppel"/>
    <n v="548.09168890611136"/>
    <n v="16041.707967983748"/>
    <n v="0"/>
    <n v="16041.707967983748"/>
  </r>
  <r>
    <x v="0"/>
    <x v="13"/>
    <x v="1"/>
    <s v="Konventionel"/>
    <x v="1"/>
    <s v="Græs"/>
    <n v="15491.84722036339"/>
    <n v="256359.0878025734"/>
    <n v="0"/>
    <n v="256359.0878025734"/>
  </r>
  <r>
    <x v="0"/>
    <x v="0"/>
    <x v="2"/>
    <s v="Konventionel"/>
    <x v="1"/>
    <s v="Halm"/>
    <n v="18438.584695135654"/>
    <n v="155105.37445548113"/>
    <n v="50626.006458832911"/>
    <n v="50626.006458832911"/>
  </r>
  <r>
    <x v="0"/>
    <x v="1"/>
    <x v="2"/>
    <s v="Konventionel"/>
    <x v="1"/>
    <s v="Halm"/>
    <n v="1580.6329773903628"/>
    <n v="7321.4919512721608"/>
    <n v="2173.5953312097508"/>
    <n v="2173.5953312097508"/>
  </r>
  <r>
    <x v="0"/>
    <x v="2"/>
    <x v="2"/>
    <s v="Konventionel"/>
    <x v="1"/>
    <s v="Halm"/>
    <n v="1692.5149191501318"/>
    <n v="8936.4787731126962"/>
    <n v="4773.0179951133568"/>
    <n v="4773.0179951133568"/>
  </r>
  <r>
    <x v="0"/>
    <x v="3"/>
    <x v="2"/>
    <s v="Konventionel"/>
    <x v="1"/>
    <s v="Græs"/>
    <n v="15619.125095440719"/>
    <n v="930025.18468292209"/>
    <n v="0"/>
    <n v="930025.18468292209"/>
  </r>
  <r>
    <x v="0"/>
    <x v="4"/>
    <x v="2"/>
    <s v="Konventionel"/>
    <x v="1"/>
    <s v="Grøntsager"/>
    <n v="73.051235569092569"/>
    <n v="1818.9757656704051"/>
    <n v="0"/>
    <n v="1818.9757656704051"/>
  </r>
  <r>
    <x v="0"/>
    <x v="5"/>
    <x v="2"/>
    <s v="Konventionel"/>
    <x v="1"/>
    <s v="Kartofler"/>
    <n v="1153.2896677317658"/>
    <n v="58777.499446875452"/>
    <n v="0"/>
    <n v="58777.499446875452"/>
  </r>
  <r>
    <x v="0"/>
    <x v="6"/>
    <x v="2"/>
    <s v="Konventionel"/>
    <x v="1"/>
    <s v="Roer"/>
    <n v="30.25692281705253"/>
    <n v="2950.1854534215036"/>
    <n v="0"/>
    <n v="2950.1854534215036"/>
  </r>
  <r>
    <x v="0"/>
    <x v="7"/>
    <x v="2"/>
    <s v="Konventionel"/>
    <x v="1"/>
    <s v="Majs"/>
    <n v="3905.7140494222053"/>
    <n v="208611.99880773883"/>
    <n v="0"/>
    <n v="208611.99880773883"/>
  </r>
  <r>
    <x v="0"/>
    <x v="8"/>
    <x v="2"/>
    <s v="Konventionel"/>
    <x v="1"/>
    <s v="Frugt"/>
    <n v="66.537196398441907"/>
    <n v="677.88095690732621"/>
    <n v="0"/>
    <n v="677.88095690732621"/>
  </r>
  <r>
    <x v="0"/>
    <x v="9"/>
    <x v="2"/>
    <s v="Konventionel"/>
    <x v="1"/>
    <s v="Øvrige"/>
    <n v="1176.7702945090889"/>
    <n v="42075.577460765489"/>
    <n v="0"/>
    <n v="42075.577460765489"/>
  </r>
  <r>
    <x v="0"/>
    <x v="10"/>
    <x v="2"/>
    <s v="Konventionel"/>
    <x v="1"/>
    <s v="Halm"/>
    <n v="2904.6161154278734"/>
    <n v="49804.386279756334"/>
    <n v="8273.9732817632248"/>
    <n v="8273.9732817632248"/>
  </r>
  <r>
    <x v="0"/>
    <x v="11"/>
    <x v="2"/>
    <s v="Konventionel"/>
    <x v="1"/>
    <s v="Juletræer"/>
    <n v="333.7202389310454"/>
    <n v="20023.214335862725"/>
    <n v="0"/>
    <n v="20023.214335862725"/>
  </r>
  <r>
    <x v="0"/>
    <x v="12"/>
    <x v="2"/>
    <s v="Konventionel"/>
    <x v="1"/>
    <s v="Pil &amp; poppel"/>
    <n v="548.09168890611136"/>
    <n v="16041.707967983748"/>
    <n v="0"/>
    <n v="16041.707967983748"/>
  </r>
  <r>
    <x v="0"/>
    <x v="13"/>
    <x v="2"/>
    <s v="Konventionel"/>
    <x v="1"/>
    <s v="Græs"/>
    <n v="15491.84722036339"/>
    <n v="256359.0878025734"/>
    <n v="0"/>
    <n v="256359.087802573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357.5853603699165"/>
    <n v="13287.445394459262"/>
    <n v="4336.9889581380185"/>
    <n v="4336.9889581380185"/>
  </r>
  <r>
    <x v="0"/>
    <x v="1"/>
    <x v="1"/>
    <s v="Økologisk"/>
    <x v="1"/>
    <s v="Halm"/>
    <n v="202.10212601602367"/>
    <n v="533.59811719254628"/>
    <n v="158.41393857853032"/>
    <n v="158.41393857853032"/>
  </r>
  <r>
    <x v="0"/>
    <x v="2"/>
    <x v="1"/>
    <s v="Økologisk"/>
    <x v="1"/>
    <s v="Halm"/>
    <n v="216.4075205104383"/>
    <n v="628.44743956231298"/>
    <n v="335.65691970742921"/>
    <n v="335.65691970742921"/>
  </r>
  <r>
    <x v="0"/>
    <x v="3"/>
    <x v="1"/>
    <s v="Økologisk"/>
    <x v="1"/>
    <s v="Græs"/>
    <n v="1997.0849864909596"/>
    <n v="92753.254179781812"/>
    <n v="0"/>
    <n v="92753.254179781812"/>
  </r>
  <r>
    <x v="0"/>
    <x v="4"/>
    <x v="1"/>
    <s v="Økologisk"/>
    <x v="1"/>
    <s v="Grøntsager"/>
    <n v="9.3404416001658657"/>
    <n v="132.56888763115413"/>
    <n v="0"/>
    <n v="132.56888763115413"/>
  </r>
  <r>
    <x v="0"/>
    <x v="5"/>
    <x v="1"/>
    <s v="Økologisk"/>
    <x v="1"/>
    <s v="Kartofler"/>
    <n v="147.46136332402992"/>
    <n v="4283.7666485024329"/>
    <n v="0"/>
    <n v="4283.7666485024329"/>
  </r>
  <r>
    <x v="0"/>
    <x v="6"/>
    <x v="1"/>
    <s v="Økologisk"/>
    <x v="1"/>
    <s v="Roer"/>
    <n v="3.8686959689560227"/>
    <n v="215.01265231071139"/>
    <n v="0"/>
    <n v="215.01265231071139"/>
  </r>
  <r>
    <x v="0"/>
    <x v="7"/>
    <x v="1"/>
    <s v="Økologisk"/>
    <x v="1"/>
    <s v="Majs"/>
    <n v="499.39051271858744"/>
    <n v="22138.96023421991"/>
    <n v="0"/>
    <n v="22138.96023421991"/>
  </r>
  <r>
    <x v="0"/>
    <x v="8"/>
    <x v="1"/>
    <s v="Økologisk"/>
    <x v="1"/>
    <s v="Frugt"/>
    <n v="8.5075466877025647"/>
    <n v="49.404684822958828"/>
    <n v="0"/>
    <n v="49.404684822958828"/>
  </r>
  <r>
    <x v="0"/>
    <x v="9"/>
    <x v="1"/>
    <s v="Økologisk"/>
    <x v="1"/>
    <s v="Øvrige"/>
    <n v="150.46363182011089"/>
    <n v="3066.5128176440194"/>
    <n v="0"/>
    <n v="3066.5128176440194"/>
  </r>
  <r>
    <x v="0"/>
    <x v="10"/>
    <x v="1"/>
    <s v="Økologisk"/>
    <x v="1"/>
    <s v="Halm"/>
    <n v="371.38861493170089"/>
    <n v="3629.796621191475"/>
    <n v="603.01596918141229"/>
    <n v="603.01596918141229"/>
  </r>
  <r>
    <x v="0"/>
    <x v="11"/>
    <x v="1"/>
    <s v="Økologisk"/>
    <x v="1"/>
    <s v="Juletræer"/>
    <n v="42.6699750968709"/>
    <n v="1459.3131483129846"/>
    <n v="0"/>
    <n v="1459.3131483129846"/>
  </r>
  <r>
    <x v="0"/>
    <x v="12"/>
    <x v="1"/>
    <s v="Økologisk"/>
    <x v="1"/>
    <s v="Pil &amp; poppel"/>
    <n v="70.07983330989407"/>
    <n v="1169.1367313162814"/>
    <n v="0"/>
    <n v="1169.1367313162814"/>
  </r>
  <r>
    <x v="0"/>
    <x v="13"/>
    <x v="1"/>
    <s v="Økologisk"/>
    <x v="1"/>
    <s v="Græs"/>
    <n v="1980.8110446487499"/>
    <n v="32778.461166847512"/>
    <n v="0"/>
    <n v="32778.461166847512"/>
  </r>
  <r>
    <x v="0"/>
    <x v="0"/>
    <x v="2"/>
    <s v="Økologisk"/>
    <x v="1"/>
    <s v="Halm"/>
    <n v="2357.5853603699165"/>
    <n v="13287.445394459262"/>
    <n v="4336.9889581380185"/>
    <n v="4336.9889581380185"/>
  </r>
  <r>
    <x v="0"/>
    <x v="1"/>
    <x v="2"/>
    <s v="Økologisk"/>
    <x v="1"/>
    <s v="Halm"/>
    <n v="202.10212601602367"/>
    <n v="533.59811719254628"/>
    <n v="158.41393857853032"/>
    <n v="158.41393857853032"/>
  </r>
  <r>
    <x v="0"/>
    <x v="2"/>
    <x v="2"/>
    <s v="Økologisk"/>
    <x v="1"/>
    <s v="Halm"/>
    <n v="216.4075205104383"/>
    <n v="628.44743956231298"/>
    <n v="335.65691970742921"/>
    <n v="335.65691970742921"/>
  </r>
  <r>
    <x v="0"/>
    <x v="3"/>
    <x v="2"/>
    <s v="Økologisk"/>
    <x v="1"/>
    <s v="Græs"/>
    <n v="1997.0849864909596"/>
    <n v="92753.254179781812"/>
    <n v="0"/>
    <n v="92753.254179781812"/>
  </r>
  <r>
    <x v="0"/>
    <x v="4"/>
    <x v="2"/>
    <s v="Økologisk"/>
    <x v="1"/>
    <s v="Grøntsager"/>
    <n v="9.3404416001658657"/>
    <n v="132.56888763115413"/>
    <n v="0"/>
    <n v="132.56888763115413"/>
  </r>
  <r>
    <x v="0"/>
    <x v="5"/>
    <x v="2"/>
    <s v="Økologisk"/>
    <x v="1"/>
    <s v="Kartofler"/>
    <n v="147.46136332402992"/>
    <n v="4283.7666485024329"/>
    <n v="0"/>
    <n v="4283.7666485024329"/>
  </r>
  <r>
    <x v="0"/>
    <x v="6"/>
    <x v="2"/>
    <s v="Økologisk"/>
    <x v="1"/>
    <s v="Roer"/>
    <n v="3.8686959689560227"/>
    <n v="215.01265231071139"/>
    <n v="0"/>
    <n v="215.01265231071139"/>
  </r>
  <r>
    <x v="0"/>
    <x v="7"/>
    <x v="2"/>
    <s v="Økologisk"/>
    <x v="1"/>
    <s v="Majs"/>
    <n v="499.39051271858744"/>
    <n v="22138.96023421991"/>
    <n v="0"/>
    <n v="22138.96023421991"/>
  </r>
  <r>
    <x v="0"/>
    <x v="8"/>
    <x v="2"/>
    <s v="Økologisk"/>
    <x v="1"/>
    <s v="Frugt"/>
    <n v="8.5075466877025647"/>
    <n v="49.404684822958828"/>
    <n v="0"/>
    <n v="49.404684822958828"/>
  </r>
  <r>
    <x v="0"/>
    <x v="9"/>
    <x v="2"/>
    <s v="Økologisk"/>
    <x v="1"/>
    <s v="Øvrige"/>
    <n v="150.46363182011089"/>
    <n v="3066.5128176440194"/>
    <n v="0"/>
    <n v="3066.5128176440194"/>
  </r>
  <r>
    <x v="0"/>
    <x v="10"/>
    <x v="2"/>
    <s v="Økologisk"/>
    <x v="1"/>
    <s v="Halm"/>
    <n v="371.38861493170089"/>
    <n v="3629.796621191475"/>
    <n v="603.01596918141229"/>
    <n v="603.01596918141229"/>
  </r>
  <r>
    <x v="0"/>
    <x v="11"/>
    <x v="2"/>
    <s v="Økologisk"/>
    <x v="1"/>
    <s v="Juletræer"/>
    <n v="42.6699750968709"/>
    <n v="1459.3131483129846"/>
    <n v="0"/>
    <n v="1459.3131483129846"/>
  </r>
  <r>
    <x v="0"/>
    <x v="12"/>
    <x v="2"/>
    <s v="Økologisk"/>
    <x v="1"/>
    <s v="Pil &amp; poppel"/>
    <n v="70.07983330989407"/>
    <n v="1169.1367313162814"/>
    <n v="0"/>
    <n v="1169.1367313162814"/>
  </r>
  <r>
    <x v="0"/>
    <x v="13"/>
    <x v="2"/>
    <s v="Økologisk"/>
    <x v="1"/>
    <s v="Græs"/>
    <n v="1980.8110446487499"/>
    <n v="32778.461166847512"/>
    <n v="0"/>
    <n v="32778.461166847512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30416845283755972"/>
    <n v="2.9851091961478109"/>
    <n v="0.97433217884965517"/>
    <n v="0.97433217884965517"/>
  </r>
  <r>
    <x v="0"/>
    <x v="1"/>
    <x v="1"/>
    <s v="Konventionel"/>
    <x v="2"/>
    <s v="Halm"/>
    <n v="1.7513782962418761E-2"/>
    <n v="9.4644483128910994E-2"/>
    <n v="2.8097935232724774E-2"/>
    <n v="2.8097935232724774E-2"/>
  </r>
  <r>
    <x v="0"/>
    <x v="2"/>
    <x v="1"/>
    <s v="Konventionel"/>
    <x v="2"/>
    <s v="Halm"/>
    <n v="2.2679555872219294E-2"/>
    <n v="0.13970606417287085"/>
    <n v="7.4617707405051192E-2"/>
    <n v="7.4617707405051192E-2"/>
  </r>
  <r>
    <x v="0"/>
    <x v="3"/>
    <x v="1"/>
    <s v="Konventionel"/>
    <x v="2"/>
    <s v="Græs"/>
    <n v="0.52306215159126412"/>
    <n v="36.33608154674193"/>
    <n v="0"/>
    <n v="36.33608154674193"/>
  </r>
  <r>
    <x v="0"/>
    <x v="4"/>
    <x v="1"/>
    <s v="Konventionel"/>
    <x v="2"/>
    <s v="Grøntsager"/>
    <n v="6.0796168101649132E-4"/>
    <n v="1.7661286833529074E-2"/>
    <n v="0"/>
    <n v="1.7661286833529074E-2"/>
  </r>
  <r>
    <x v="0"/>
    <x v="5"/>
    <x v="1"/>
    <s v="Konventionel"/>
    <x v="2"/>
    <s v="Kartofler"/>
    <n v="3.2179590057482679E-2"/>
    <n v="1.9133745880845439"/>
    <n v="0"/>
    <n v="1.9133745880845439"/>
  </r>
  <r>
    <x v="0"/>
    <x v="6"/>
    <x v="1"/>
    <s v="Konventionel"/>
    <x v="2"/>
    <s v="Roer"/>
    <n v="3.4799210435467126E-4"/>
    <n v="3.9585919739545707E-2"/>
    <n v="0"/>
    <n v="3.9585919739545707E-2"/>
  </r>
  <r>
    <x v="0"/>
    <x v="7"/>
    <x v="1"/>
    <s v="Konventionel"/>
    <x v="2"/>
    <s v="Majs"/>
    <n v="4.3276224875293617E-2"/>
    <n v="2.6967146768790466"/>
    <n v="0"/>
    <n v="2.6967146768790466"/>
  </r>
  <r>
    <x v="0"/>
    <x v="8"/>
    <x v="1"/>
    <s v="Konventionel"/>
    <x v="2"/>
    <s v="Frugt"/>
    <n v="1.2401650971412253E-3"/>
    <n v="1.4740602344620605E-2"/>
    <n v="0"/>
    <n v="1.4740602344620605E-2"/>
  </r>
  <r>
    <x v="0"/>
    <x v="9"/>
    <x v="1"/>
    <s v="Konventionel"/>
    <x v="2"/>
    <s v="Øvrige"/>
    <n v="2.1933437619817524E-2"/>
    <n v="0.91493845556457565"/>
    <n v="0"/>
    <n v="0.91493845556457565"/>
  </r>
  <r>
    <x v="0"/>
    <x v="10"/>
    <x v="1"/>
    <s v="Konventionel"/>
    <x v="2"/>
    <s v="Halm"/>
    <n v="6.9784865361652376E-2"/>
    <n v="1.3960047139817293"/>
    <n v="0.23191743875368662"/>
    <n v="0.23191743875368662"/>
  </r>
  <r>
    <x v="0"/>
    <x v="11"/>
    <x v="1"/>
    <s v="Konventionel"/>
    <x v="2"/>
    <s v="Juletræer"/>
    <n v="6.2201026633818953E-3"/>
    <n v="0.43540718643673265"/>
    <n v="0"/>
    <n v="0.43540718643673265"/>
  </r>
  <r>
    <x v="0"/>
    <x v="12"/>
    <x v="1"/>
    <s v="Konventionel"/>
    <x v="2"/>
    <s v="Pil &amp; poppel"/>
    <n v="1.4682700657681706E-2"/>
    <n v="0.50136051026230211"/>
    <n v="0"/>
    <n v="0.50136051026230211"/>
  </r>
  <r>
    <x v="0"/>
    <x v="13"/>
    <x v="1"/>
    <s v="Konventionel"/>
    <x v="2"/>
    <s v="Græs"/>
    <n v="0.54304356219035677"/>
    <n v="10.483999011647029"/>
    <n v="0"/>
    <n v="10.483999011647029"/>
  </r>
  <r>
    <x v="0"/>
    <x v="0"/>
    <x v="2"/>
    <s v="Konventionel"/>
    <x v="2"/>
    <s v="Halm"/>
    <n v="0.30416845283755972"/>
    <n v="2.9851091961478109"/>
    <n v="0.97433217884965517"/>
    <n v="0.97433217884965517"/>
  </r>
  <r>
    <x v="0"/>
    <x v="1"/>
    <x v="2"/>
    <s v="Konventionel"/>
    <x v="2"/>
    <s v="Halm"/>
    <n v="1.7513782962418761E-2"/>
    <n v="9.4644483128910994E-2"/>
    <n v="2.8097935232724774E-2"/>
    <n v="2.8097935232724774E-2"/>
  </r>
  <r>
    <x v="0"/>
    <x v="2"/>
    <x v="2"/>
    <s v="Konventionel"/>
    <x v="2"/>
    <s v="Halm"/>
    <n v="2.2679555872219294E-2"/>
    <n v="0.13970606417287085"/>
    <n v="7.4617707405051192E-2"/>
    <n v="7.4617707405051192E-2"/>
  </r>
  <r>
    <x v="0"/>
    <x v="3"/>
    <x v="2"/>
    <s v="Konventionel"/>
    <x v="2"/>
    <s v="Græs"/>
    <n v="0.52306215159126412"/>
    <n v="36.33608154674193"/>
    <n v="0"/>
    <n v="36.33608154674193"/>
  </r>
  <r>
    <x v="0"/>
    <x v="4"/>
    <x v="2"/>
    <s v="Konventionel"/>
    <x v="2"/>
    <s v="Grøntsager"/>
    <n v="6.0796168101649132E-4"/>
    <n v="1.7661286833529074E-2"/>
    <n v="0"/>
    <n v="1.7661286833529074E-2"/>
  </r>
  <r>
    <x v="0"/>
    <x v="5"/>
    <x v="2"/>
    <s v="Konventionel"/>
    <x v="2"/>
    <s v="Kartofler"/>
    <n v="3.2179590057482679E-2"/>
    <n v="1.9133745880845439"/>
    <n v="0"/>
    <n v="1.9133745880845439"/>
  </r>
  <r>
    <x v="0"/>
    <x v="6"/>
    <x v="2"/>
    <s v="Konventionel"/>
    <x v="2"/>
    <s v="Roer"/>
    <n v="3.4799210435467126E-4"/>
    <n v="3.9585919739545707E-2"/>
    <n v="0"/>
    <n v="3.9585919739545707E-2"/>
  </r>
  <r>
    <x v="0"/>
    <x v="7"/>
    <x v="2"/>
    <s v="Konventionel"/>
    <x v="2"/>
    <s v="Majs"/>
    <n v="4.3276224875293617E-2"/>
    <n v="2.6967146768790466"/>
    <n v="0"/>
    <n v="2.6967146768790466"/>
  </r>
  <r>
    <x v="0"/>
    <x v="8"/>
    <x v="2"/>
    <s v="Konventionel"/>
    <x v="2"/>
    <s v="Frugt"/>
    <n v="1.2401650971412253E-3"/>
    <n v="1.4740602344620605E-2"/>
    <n v="0"/>
    <n v="1.4740602344620605E-2"/>
  </r>
  <r>
    <x v="0"/>
    <x v="9"/>
    <x v="2"/>
    <s v="Konventionel"/>
    <x v="2"/>
    <s v="Øvrige"/>
    <n v="2.1933437619817524E-2"/>
    <n v="0.91493845556457565"/>
    <n v="0"/>
    <n v="0.91493845556457565"/>
  </r>
  <r>
    <x v="0"/>
    <x v="10"/>
    <x v="2"/>
    <s v="Konventionel"/>
    <x v="2"/>
    <s v="Halm"/>
    <n v="6.9784865361652376E-2"/>
    <n v="1.3960047139817293"/>
    <n v="0.23191743875368662"/>
    <n v="0.23191743875368662"/>
  </r>
  <r>
    <x v="0"/>
    <x v="11"/>
    <x v="2"/>
    <s v="Konventionel"/>
    <x v="2"/>
    <s v="Juletræer"/>
    <n v="6.2201026633818953E-3"/>
    <n v="0.43540718643673265"/>
    <n v="0"/>
    <n v="0.43540718643673265"/>
  </r>
  <r>
    <x v="0"/>
    <x v="12"/>
    <x v="2"/>
    <s v="Konventionel"/>
    <x v="2"/>
    <s v="Pil &amp; poppel"/>
    <n v="1.4682700657681706E-2"/>
    <n v="0.50136051026230211"/>
    <n v="0"/>
    <n v="0.50136051026230211"/>
  </r>
  <r>
    <x v="0"/>
    <x v="13"/>
    <x v="2"/>
    <s v="Konventionel"/>
    <x v="2"/>
    <s v="Græs"/>
    <n v="0.54304356219035677"/>
    <n v="10.483999011647029"/>
    <n v="0"/>
    <n v="10.483999011647029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3.8891438977167236E-2"/>
    <n v="0.25572599002168589"/>
    <n v="8.346832382810325E-2"/>
    <n v="8.346832382810325E-2"/>
  </r>
  <r>
    <x v="0"/>
    <x v="1"/>
    <x v="1"/>
    <s v="Økologisk"/>
    <x v="2"/>
    <s v="Halm"/>
    <n v="2.2393388104124633E-3"/>
    <n v="6.8977905509373027E-3"/>
    <n v="2.0478073918492683E-3"/>
    <n v="2.0478073918492683E-3"/>
  </r>
  <r>
    <x v="0"/>
    <x v="2"/>
    <x v="1"/>
    <s v="Økologisk"/>
    <x v="2"/>
    <s v="Halm"/>
    <n v="2.8998423571057279E-3"/>
    <n v="9.824665905874207E-3"/>
    <n v="5.2474031836569441E-3"/>
    <n v="5.2474031836569441E-3"/>
  </r>
  <r>
    <x v="0"/>
    <x v="3"/>
    <x v="1"/>
    <s v="Økologisk"/>
    <x v="2"/>
    <s v="Græs"/>
    <n v="6.6879518766995133E-2"/>
    <n v="3.6238693995703812"/>
    <n v="0"/>
    <n v="3.6238693995703812"/>
  </r>
  <r>
    <x v="0"/>
    <x v="4"/>
    <x v="1"/>
    <s v="Økologisk"/>
    <x v="2"/>
    <s v="Grøntsager"/>
    <n v="7.7734901161285674E-5"/>
    <n v="1.2871733608791488E-3"/>
    <n v="0"/>
    <n v="1.2871733608791488E-3"/>
  </r>
  <r>
    <x v="0"/>
    <x v="5"/>
    <x v="1"/>
    <s v="Økologisk"/>
    <x v="2"/>
    <s v="Kartofler"/>
    <n v="4.1145311137812529E-3"/>
    <n v="0.1394487741680267"/>
    <n v="0"/>
    <n v="0.1394487741680267"/>
  </r>
  <r>
    <x v="0"/>
    <x v="6"/>
    <x v="1"/>
    <s v="Økologisk"/>
    <x v="2"/>
    <s v="Roer"/>
    <n v="4.4494797421590129E-5"/>
    <n v="2.8850639160624332E-3"/>
    <n v="0"/>
    <n v="2.8850639160624332E-3"/>
  </r>
  <r>
    <x v="0"/>
    <x v="7"/>
    <x v="1"/>
    <s v="Økologisk"/>
    <x v="2"/>
    <s v="Majs"/>
    <n v="5.5333636450407616E-3"/>
    <n v="0.28618899840696815"/>
    <n v="0"/>
    <n v="0.28618899840696815"/>
  </r>
  <r>
    <x v="0"/>
    <x v="8"/>
    <x v="1"/>
    <s v="Økologisk"/>
    <x v="2"/>
    <s v="Frugt"/>
    <n v="1.5856938728237767E-4"/>
    <n v="1.0743107702258544E-3"/>
    <n v="0"/>
    <n v="1.0743107702258544E-3"/>
  </r>
  <r>
    <x v="0"/>
    <x v="9"/>
    <x v="1"/>
    <s v="Økologisk"/>
    <x v="2"/>
    <s v="Øvrige"/>
    <n v="2.8044425475188643E-3"/>
    <n v="6.6681687350825275E-2"/>
    <n v="0"/>
    <n v="6.6681687350825275E-2"/>
  </r>
  <r>
    <x v="0"/>
    <x v="10"/>
    <x v="1"/>
    <s v="Økologisk"/>
    <x v="2"/>
    <s v="Halm"/>
    <n v="8.9227985592311137E-3"/>
    <n v="0.10174230770589557"/>
    <n v="1.6902389497482448E-2"/>
    <n v="1.6902389497482448E-2"/>
  </r>
  <r>
    <x v="0"/>
    <x v="11"/>
    <x v="1"/>
    <s v="Økologisk"/>
    <x v="2"/>
    <s v="Juletræer"/>
    <n v="7.9531174554062993E-4"/>
    <n v="3.1732938647071128E-2"/>
    <n v="0"/>
    <n v="3.1732938647071128E-2"/>
  </r>
  <r>
    <x v="0"/>
    <x v="12"/>
    <x v="1"/>
    <s v="Økologisk"/>
    <x v="2"/>
    <s v="Pil &amp; poppel"/>
    <n v="1.8773523398667479E-3"/>
    <n v="3.6539687005211333E-2"/>
    <n v="0"/>
    <n v="3.6539687005211333E-2"/>
  </r>
  <r>
    <x v="0"/>
    <x v="13"/>
    <x v="1"/>
    <s v="Økologisk"/>
    <x v="2"/>
    <s v="Græs"/>
    <n v="6.9434372183721241E-2"/>
    <n v="1.3404999893789222"/>
    <n v="0"/>
    <n v="1.3404999893789222"/>
  </r>
  <r>
    <x v="0"/>
    <x v="0"/>
    <x v="2"/>
    <s v="Økologisk"/>
    <x v="2"/>
    <s v="Halm"/>
    <n v="3.8891438977167236E-2"/>
    <n v="0.25572599002168589"/>
    <n v="8.346832382810325E-2"/>
    <n v="8.346832382810325E-2"/>
  </r>
  <r>
    <x v="0"/>
    <x v="1"/>
    <x v="2"/>
    <s v="Økologisk"/>
    <x v="2"/>
    <s v="Halm"/>
    <n v="2.2393388104124633E-3"/>
    <n v="6.8977905509373027E-3"/>
    <n v="2.0478073918492683E-3"/>
    <n v="2.0478073918492683E-3"/>
  </r>
  <r>
    <x v="0"/>
    <x v="2"/>
    <x v="2"/>
    <s v="Økologisk"/>
    <x v="2"/>
    <s v="Halm"/>
    <n v="2.8998423571057279E-3"/>
    <n v="9.824665905874207E-3"/>
    <n v="5.2474031836569441E-3"/>
    <n v="5.2474031836569441E-3"/>
  </r>
  <r>
    <x v="0"/>
    <x v="3"/>
    <x v="2"/>
    <s v="Økologisk"/>
    <x v="2"/>
    <s v="Græs"/>
    <n v="6.6879518766995133E-2"/>
    <n v="3.6238693995703812"/>
    <n v="0"/>
    <n v="3.6238693995703812"/>
  </r>
  <r>
    <x v="0"/>
    <x v="4"/>
    <x v="2"/>
    <s v="Økologisk"/>
    <x v="2"/>
    <s v="Grøntsager"/>
    <n v="7.7734901161285674E-5"/>
    <n v="1.2871733608791488E-3"/>
    <n v="0"/>
    <n v="1.2871733608791488E-3"/>
  </r>
  <r>
    <x v="0"/>
    <x v="5"/>
    <x v="2"/>
    <s v="Økologisk"/>
    <x v="2"/>
    <s v="Kartofler"/>
    <n v="4.1145311137812529E-3"/>
    <n v="0.1394487741680267"/>
    <n v="0"/>
    <n v="0.1394487741680267"/>
  </r>
  <r>
    <x v="0"/>
    <x v="6"/>
    <x v="2"/>
    <s v="Økologisk"/>
    <x v="2"/>
    <s v="Roer"/>
    <n v="4.4494797421590129E-5"/>
    <n v="2.8850639160624332E-3"/>
    <n v="0"/>
    <n v="2.8850639160624332E-3"/>
  </r>
  <r>
    <x v="0"/>
    <x v="7"/>
    <x v="2"/>
    <s v="Økologisk"/>
    <x v="2"/>
    <s v="Majs"/>
    <n v="5.5333636450407616E-3"/>
    <n v="0.28618899840696815"/>
    <n v="0"/>
    <n v="0.28618899840696815"/>
  </r>
  <r>
    <x v="0"/>
    <x v="8"/>
    <x v="2"/>
    <s v="Økologisk"/>
    <x v="2"/>
    <s v="Frugt"/>
    <n v="1.5856938728237767E-4"/>
    <n v="1.0743107702258544E-3"/>
    <n v="0"/>
    <n v="1.0743107702258544E-3"/>
  </r>
  <r>
    <x v="0"/>
    <x v="9"/>
    <x v="2"/>
    <s v="Økologisk"/>
    <x v="2"/>
    <s v="Øvrige"/>
    <n v="2.8044425475188643E-3"/>
    <n v="6.6681687350825275E-2"/>
    <n v="0"/>
    <n v="6.6681687350825275E-2"/>
  </r>
  <r>
    <x v="0"/>
    <x v="10"/>
    <x v="2"/>
    <s v="Økologisk"/>
    <x v="2"/>
    <s v="Halm"/>
    <n v="8.9227985592311137E-3"/>
    <n v="0.10174230770589557"/>
    <n v="1.6902389497482448E-2"/>
    <n v="1.6902389497482448E-2"/>
  </r>
  <r>
    <x v="0"/>
    <x v="11"/>
    <x v="2"/>
    <s v="Økologisk"/>
    <x v="2"/>
    <s v="Juletræer"/>
    <n v="7.9531174554062993E-4"/>
    <n v="3.1732938647071128E-2"/>
    <n v="0"/>
    <n v="3.1732938647071128E-2"/>
  </r>
  <r>
    <x v="0"/>
    <x v="12"/>
    <x v="2"/>
    <s v="Økologisk"/>
    <x v="2"/>
    <s v="Pil &amp; poppel"/>
    <n v="1.8773523398667479E-3"/>
    <n v="3.6539687005211333E-2"/>
    <n v="0"/>
    <n v="3.6539687005211333E-2"/>
  </r>
  <r>
    <x v="0"/>
    <x v="13"/>
    <x v="2"/>
    <s v="Økologisk"/>
    <x v="2"/>
    <s v="Græs"/>
    <n v="6.9434372183721241E-2"/>
    <n v="1.3404999893789222"/>
    <n v="0"/>
    <n v="1.340499989378922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92562.01681062597"/>
    <n v="2050859.7378424881"/>
    <n v="669395.49128244352"/>
    <n v="669395.49128244352"/>
  </r>
  <r>
    <x v="1"/>
    <x v="1"/>
    <x v="1"/>
    <s v="Konventionel"/>
    <x v="0"/>
    <s v="Halm"/>
    <n v="6376.3414137528825"/>
    <n v="24612.677857086128"/>
    <n v="7306.9808769558722"/>
    <n v="7306.9808769558722"/>
  </r>
  <r>
    <x v="1"/>
    <x v="2"/>
    <x v="1"/>
    <s v="Konventionel"/>
    <x v="0"/>
    <s v="Halm"/>
    <n v="40447.722327584328"/>
    <n v="177969.97824137105"/>
    <n v="95054.655228607488"/>
    <n v="95054.655228607488"/>
  </r>
  <r>
    <x v="1"/>
    <x v="3"/>
    <x v="1"/>
    <s v="Konventionel"/>
    <x v="0"/>
    <s v="Græs"/>
    <n v="24572.998517620537"/>
    <n v="1219312.186444331"/>
    <n v="0"/>
    <n v="1219312.186444331"/>
  </r>
  <r>
    <x v="1"/>
    <x v="4"/>
    <x v="1"/>
    <s v="Konventionel"/>
    <x v="0"/>
    <s v="Grøntsager"/>
    <n v="3850.5952952805674"/>
    <n v="79899.852377071773"/>
    <n v="0"/>
    <n v="79899.852377071773"/>
  </r>
  <r>
    <x v="1"/>
    <x v="5"/>
    <x v="1"/>
    <s v="Konventionel"/>
    <x v="0"/>
    <s v="Kartofler"/>
    <n v="2470.1663355738019"/>
    <n v="104910.18611455506"/>
    <n v="0"/>
    <n v="104910.18611455506"/>
  </r>
  <r>
    <x v="1"/>
    <x v="6"/>
    <x v="1"/>
    <s v="Konventionel"/>
    <x v="0"/>
    <s v="Roer"/>
    <n v="25678.880997566026"/>
    <n v="2086504.8977723797"/>
    <n v="0"/>
    <n v="2086504.8977723797"/>
  </r>
  <r>
    <x v="1"/>
    <x v="7"/>
    <x v="1"/>
    <s v="Konventionel"/>
    <x v="0"/>
    <s v="Majs"/>
    <n v="7262.9431424427694"/>
    <n v="323273.59927012771"/>
    <n v="0"/>
    <n v="323273.59927012771"/>
  </r>
  <r>
    <x v="1"/>
    <x v="8"/>
    <x v="1"/>
    <s v="Konventionel"/>
    <x v="0"/>
    <s v="Frugt"/>
    <n v="1689.9505584470551"/>
    <n v="14347.680241215501"/>
    <n v="0"/>
    <n v="14347.680241215501"/>
  </r>
  <r>
    <x v="1"/>
    <x v="9"/>
    <x v="1"/>
    <s v="Konventionel"/>
    <x v="0"/>
    <s v="Øvrige"/>
    <n v="12067.066633104925"/>
    <n v="359549.63570951426"/>
    <n v="0"/>
    <n v="359549.63570951426"/>
  </r>
  <r>
    <x v="1"/>
    <x v="10"/>
    <x v="1"/>
    <s v="Konventionel"/>
    <x v="0"/>
    <s v="Halm"/>
    <n v="37335.148248827281"/>
    <n v="533476.73476254696"/>
    <n v="88626.174913066206"/>
    <n v="88626.174913066206"/>
  </r>
  <r>
    <x v="1"/>
    <x v="11"/>
    <x v="1"/>
    <s v="Konventionel"/>
    <x v="0"/>
    <s v="Juletræer"/>
    <n v="2648.1429081925139"/>
    <n v="132407.14540962569"/>
    <n v="0"/>
    <n v="132407.14540962569"/>
  </r>
  <r>
    <x v="1"/>
    <x v="12"/>
    <x v="1"/>
    <s v="Konventionel"/>
    <x v="0"/>
    <s v="Pil &amp; poppel"/>
    <n v="1258.7577822820135"/>
    <n v="30701.40932395155"/>
    <n v="0"/>
    <n v="30701.40932395155"/>
  </r>
  <r>
    <x v="1"/>
    <x v="13"/>
    <x v="1"/>
    <s v="Konventionel"/>
    <x v="0"/>
    <s v="Græs"/>
    <n v="31352.142273239417"/>
    <n v="432346.04194797156"/>
    <n v="0"/>
    <n v="432346.04194797156"/>
  </r>
  <r>
    <x v="1"/>
    <x v="0"/>
    <x v="2"/>
    <s v="Konventionel"/>
    <x v="0"/>
    <s v="Halm"/>
    <n v="292562.01681062597"/>
    <n v="2050859.7378424881"/>
    <n v="669395.49128244352"/>
    <n v="669395.49128244352"/>
  </r>
  <r>
    <x v="1"/>
    <x v="1"/>
    <x v="2"/>
    <s v="Konventionel"/>
    <x v="0"/>
    <s v="Halm"/>
    <n v="6376.3414137528825"/>
    <n v="24612.677857086128"/>
    <n v="7306.9808769558722"/>
    <n v="7306.9808769558722"/>
  </r>
  <r>
    <x v="1"/>
    <x v="2"/>
    <x v="2"/>
    <s v="Konventionel"/>
    <x v="0"/>
    <s v="Halm"/>
    <n v="40447.722327584328"/>
    <n v="177969.97824137105"/>
    <n v="95054.655228607488"/>
    <n v="95054.655228607488"/>
  </r>
  <r>
    <x v="1"/>
    <x v="3"/>
    <x v="2"/>
    <s v="Konventionel"/>
    <x v="0"/>
    <s v="Græs"/>
    <n v="24572.998517620537"/>
    <n v="1219312.186444331"/>
    <n v="0"/>
    <n v="1219312.186444331"/>
  </r>
  <r>
    <x v="1"/>
    <x v="4"/>
    <x v="2"/>
    <s v="Konventionel"/>
    <x v="0"/>
    <s v="Grøntsager"/>
    <n v="3850.5952952805674"/>
    <n v="79899.852377071773"/>
    <n v="0"/>
    <n v="79899.852377071773"/>
  </r>
  <r>
    <x v="1"/>
    <x v="5"/>
    <x v="2"/>
    <s v="Konventionel"/>
    <x v="0"/>
    <s v="Kartofler"/>
    <n v="2470.1663355738019"/>
    <n v="104910.18611455506"/>
    <n v="0"/>
    <n v="104910.18611455506"/>
  </r>
  <r>
    <x v="1"/>
    <x v="6"/>
    <x v="2"/>
    <s v="Konventionel"/>
    <x v="0"/>
    <s v="Roer"/>
    <n v="25678.880997566026"/>
    <n v="2086504.8977723797"/>
    <n v="0"/>
    <n v="2086504.8977723797"/>
  </r>
  <r>
    <x v="1"/>
    <x v="7"/>
    <x v="2"/>
    <s v="Konventionel"/>
    <x v="0"/>
    <s v="Majs"/>
    <n v="7262.9431424427694"/>
    <n v="323273.59927012771"/>
    <n v="0"/>
    <n v="323273.59927012771"/>
  </r>
  <r>
    <x v="1"/>
    <x v="8"/>
    <x v="2"/>
    <s v="Konventionel"/>
    <x v="0"/>
    <s v="Frugt"/>
    <n v="1689.9505584470551"/>
    <n v="14347.680241215501"/>
    <n v="0"/>
    <n v="14347.680241215501"/>
  </r>
  <r>
    <x v="1"/>
    <x v="9"/>
    <x v="2"/>
    <s v="Konventionel"/>
    <x v="0"/>
    <s v="Øvrige"/>
    <n v="12067.066633104925"/>
    <n v="359549.63570951426"/>
    <n v="0"/>
    <n v="359549.63570951426"/>
  </r>
  <r>
    <x v="1"/>
    <x v="10"/>
    <x v="2"/>
    <s v="Konventionel"/>
    <x v="0"/>
    <s v="Halm"/>
    <n v="37335.148248827281"/>
    <n v="533476.73476254696"/>
    <n v="88626.174913066206"/>
    <n v="88626.174913066206"/>
  </r>
  <r>
    <x v="1"/>
    <x v="11"/>
    <x v="2"/>
    <s v="Konventionel"/>
    <x v="0"/>
    <s v="Juletræer"/>
    <n v="2648.1429081925139"/>
    <n v="132407.14540962569"/>
    <n v="0"/>
    <n v="132407.14540962569"/>
  </r>
  <r>
    <x v="1"/>
    <x v="12"/>
    <x v="2"/>
    <s v="Konventionel"/>
    <x v="0"/>
    <s v="Pil &amp; poppel"/>
    <n v="1258.7577822820135"/>
    <n v="30701.40932395155"/>
    <n v="0"/>
    <n v="30701.40932395155"/>
  </r>
  <r>
    <x v="1"/>
    <x v="13"/>
    <x v="2"/>
    <s v="Konventionel"/>
    <x v="0"/>
    <s v="Græs"/>
    <n v="31352.142273239417"/>
    <n v="432346.04194797156"/>
    <n v="0"/>
    <n v="432346.0419479715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7407.422491325582"/>
    <n v="175691.44121500885"/>
    <n v="57345.247183975873"/>
    <n v="57345.247183975873"/>
  </r>
  <r>
    <x v="1"/>
    <x v="1"/>
    <x v="1"/>
    <s v="Økologisk"/>
    <x v="0"/>
    <s v="Halm"/>
    <n v="815.28866875287099"/>
    <n v="1793.798128990067"/>
    <n v="532.54053466904622"/>
    <n v="532.54053466904622"/>
  </r>
  <r>
    <x v="1"/>
    <x v="2"/>
    <x v="1"/>
    <s v="Økologisk"/>
    <x v="0"/>
    <s v="Halm"/>
    <n v="5171.7070261351"/>
    <n v="12515.531003246942"/>
    <n v="6684.6076864892093"/>
    <n v="6684.6076864892093"/>
  </r>
  <r>
    <x v="1"/>
    <x v="3"/>
    <x v="1"/>
    <s v="Økologisk"/>
    <x v="0"/>
    <s v="Græs"/>
    <n v="3141.9408009562312"/>
    <n v="121604.41998388959"/>
    <n v="0"/>
    <n v="121604.41998388959"/>
  </r>
  <r>
    <x v="1"/>
    <x v="4"/>
    <x v="1"/>
    <s v="Økologisk"/>
    <x v="0"/>
    <s v="Grøntsager"/>
    <n v="492.34294534860186"/>
    <n v="5823.1861861105881"/>
    <n v="0"/>
    <n v="5823.1861861105881"/>
  </r>
  <r>
    <x v="1"/>
    <x v="5"/>
    <x v="1"/>
    <s v="Økologisk"/>
    <x v="0"/>
    <s v="Kartofler"/>
    <n v="315.83920819930114"/>
    <n v="7645.9658984285725"/>
    <n v="0"/>
    <n v="7645.9658984285725"/>
  </r>
  <r>
    <x v="1"/>
    <x v="6"/>
    <x v="1"/>
    <s v="Økologisk"/>
    <x v="0"/>
    <s v="Roer"/>
    <n v="3283.3406094619722"/>
    <n v="152066.69520013814"/>
    <n v="0"/>
    <n v="152066.69520013814"/>
  </r>
  <r>
    <x v="1"/>
    <x v="7"/>
    <x v="1"/>
    <s v="Økologisk"/>
    <x v="0"/>
    <s v="Majs"/>
    <n v="928.65090834978378"/>
    <n v="34307.429102438567"/>
    <n v="0"/>
    <n v="34307.429102438567"/>
  </r>
  <r>
    <x v="1"/>
    <x v="8"/>
    <x v="1"/>
    <s v="Økologisk"/>
    <x v="0"/>
    <s v="Frugt"/>
    <n v="216.07963746777307"/>
    <n v="1045.6741895977943"/>
    <n v="0"/>
    <n v="1045.6741895977943"/>
  </r>
  <r>
    <x v="1"/>
    <x v="9"/>
    <x v="1"/>
    <s v="Økologisk"/>
    <x v="0"/>
    <s v="Øvrige"/>
    <n v="1542.9134126721628"/>
    <n v="26204.359702741538"/>
    <n v="0"/>
    <n v="26204.359702741538"/>
  </r>
  <r>
    <x v="1"/>
    <x v="10"/>
    <x v="1"/>
    <s v="Økologisk"/>
    <x v="0"/>
    <s v="Halm"/>
    <n v="4773.7285911047593"/>
    <n v="38880.351590888582"/>
    <n v="6459.1698498517526"/>
    <n v="6459.1698498517526"/>
  </r>
  <r>
    <x v="1"/>
    <x v="11"/>
    <x v="1"/>
    <s v="Økologisk"/>
    <x v="0"/>
    <s v="Juletræer"/>
    <n v="338.59556228136813"/>
    <n v="9649.9735250189897"/>
    <n v="0"/>
    <n v="9649.9735250189897"/>
  </r>
  <r>
    <x v="1"/>
    <x v="12"/>
    <x v="1"/>
    <s v="Økologisk"/>
    <x v="0"/>
    <s v="Pil &amp; poppel"/>
    <n v="160.94667615908057"/>
    <n v="2237.5513514799004"/>
    <n v="0"/>
    <n v="2237.5513514799004"/>
  </r>
  <r>
    <x v="1"/>
    <x v="13"/>
    <x v="1"/>
    <s v="Økologisk"/>
    <x v="0"/>
    <s v="Græs"/>
    <n v="4008.7323870971445"/>
    <n v="55280.419618069631"/>
    <n v="0"/>
    <n v="55280.419618069631"/>
  </r>
  <r>
    <x v="1"/>
    <x v="0"/>
    <x v="2"/>
    <s v="Økologisk"/>
    <x v="0"/>
    <s v="Halm"/>
    <n v="37407.422491325582"/>
    <n v="175691.44121500885"/>
    <n v="57345.247183975873"/>
    <n v="57345.247183975873"/>
  </r>
  <r>
    <x v="1"/>
    <x v="1"/>
    <x v="2"/>
    <s v="Økologisk"/>
    <x v="0"/>
    <s v="Halm"/>
    <n v="815.28866875287099"/>
    <n v="1793.798128990067"/>
    <n v="532.54053466904622"/>
    <n v="532.54053466904622"/>
  </r>
  <r>
    <x v="1"/>
    <x v="2"/>
    <x v="2"/>
    <s v="Økologisk"/>
    <x v="0"/>
    <s v="Halm"/>
    <n v="5171.7070261351"/>
    <n v="12515.531003246942"/>
    <n v="6684.6076864892093"/>
    <n v="6684.6076864892093"/>
  </r>
  <r>
    <x v="1"/>
    <x v="3"/>
    <x v="2"/>
    <s v="Økologisk"/>
    <x v="0"/>
    <s v="Græs"/>
    <n v="3141.9408009562312"/>
    <n v="121604.41998388959"/>
    <n v="0"/>
    <n v="121604.41998388959"/>
  </r>
  <r>
    <x v="1"/>
    <x v="4"/>
    <x v="2"/>
    <s v="Økologisk"/>
    <x v="0"/>
    <s v="Grøntsager"/>
    <n v="492.34294534860186"/>
    <n v="5823.1861861105881"/>
    <n v="0"/>
    <n v="5823.1861861105881"/>
  </r>
  <r>
    <x v="1"/>
    <x v="5"/>
    <x v="2"/>
    <s v="Økologisk"/>
    <x v="0"/>
    <s v="Kartofler"/>
    <n v="315.83920819930114"/>
    <n v="7645.9658984285725"/>
    <n v="0"/>
    <n v="7645.9658984285725"/>
  </r>
  <r>
    <x v="1"/>
    <x v="6"/>
    <x v="2"/>
    <s v="Økologisk"/>
    <x v="0"/>
    <s v="Roer"/>
    <n v="3283.3406094619722"/>
    <n v="152066.69520013814"/>
    <n v="0"/>
    <n v="152066.69520013814"/>
  </r>
  <r>
    <x v="1"/>
    <x v="7"/>
    <x v="2"/>
    <s v="Økologisk"/>
    <x v="0"/>
    <s v="Majs"/>
    <n v="928.65090834978378"/>
    <n v="34307.429102438567"/>
    <n v="0"/>
    <n v="34307.429102438567"/>
  </r>
  <r>
    <x v="1"/>
    <x v="8"/>
    <x v="2"/>
    <s v="Økologisk"/>
    <x v="0"/>
    <s v="Frugt"/>
    <n v="216.07963746777307"/>
    <n v="1045.6741895977943"/>
    <n v="0"/>
    <n v="1045.6741895977943"/>
  </r>
  <r>
    <x v="1"/>
    <x v="9"/>
    <x v="2"/>
    <s v="Økologisk"/>
    <x v="0"/>
    <s v="Øvrige"/>
    <n v="1542.9134126721628"/>
    <n v="26204.359702741538"/>
    <n v="0"/>
    <n v="26204.359702741538"/>
  </r>
  <r>
    <x v="1"/>
    <x v="10"/>
    <x v="2"/>
    <s v="Økologisk"/>
    <x v="0"/>
    <s v="Halm"/>
    <n v="4773.7285911047593"/>
    <n v="38880.351590888582"/>
    <n v="6459.1698498517526"/>
    <n v="6459.1698498517526"/>
  </r>
  <r>
    <x v="1"/>
    <x v="11"/>
    <x v="2"/>
    <s v="Økologisk"/>
    <x v="0"/>
    <s v="Juletræer"/>
    <n v="338.59556228136813"/>
    <n v="9649.9735250189897"/>
    <n v="0"/>
    <n v="9649.9735250189897"/>
  </r>
  <r>
    <x v="1"/>
    <x v="12"/>
    <x v="2"/>
    <s v="Økologisk"/>
    <x v="0"/>
    <s v="Pil &amp; poppel"/>
    <n v="160.94667615908057"/>
    <n v="2237.5513514799004"/>
    <n v="0"/>
    <n v="2237.5513514799004"/>
  </r>
  <r>
    <x v="1"/>
    <x v="13"/>
    <x v="2"/>
    <s v="Økologisk"/>
    <x v="0"/>
    <s v="Græs"/>
    <n v="4008.7323870971445"/>
    <n v="55280.419618069631"/>
    <n v="0"/>
    <n v="55280.419618069631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607.1402921123236"/>
    <n v="21931.264137248865"/>
    <n v="7158.3097862376862"/>
    <n v="7158.3097862376862"/>
  </r>
  <r>
    <x v="1"/>
    <x v="1"/>
    <x v="1"/>
    <s v="Konventionel"/>
    <x v="1"/>
    <s v="Halm"/>
    <n v="70.501240964925429"/>
    <n v="326.56174814953465"/>
    <n v="96.949241473411405"/>
    <n v="96.949241473411405"/>
  </r>
  <r>
    <x v="1"/>
    <x v="2"/>
    <x v="1"/>
    <s v="Konventionel"/>
    <x v="1"/>
    <s v="Halm"/>
    <n v="284.76552549155969"/>
    <n v="1503.5619745954352"/>
    <n v="803.05996844129504"/>
    <n v="803.05996844129504"/>
  </r>
  <r>
    <x v="1"/>
    <x v="3"/>
    <x v="1"/>
    <s v="Konventionel"/>
    <x v="1"/>
    <s v="Græs"/>
    <n v="837.32996270399724"/>
    <n v="49857.975299246813"/>
    <n v="0"/>
    <n v="49857.975299246813"/>
  </r>
  <r>
    <x v="1"/>
    <x v="4"/>
    <x v="1"/>
    <s v="Konventionel"/>
    <x v="1"/>
    <s v="Grøntsager"/>
    <n v="15.858122690552644"/>
    <n v="394.8672549947608"/>
    <n v="0"/>
    <n v="394.8672549947608"/>
  </r>
  <r>
    <x v="1"/>
    <x v="5"/>
    <x v="1"/>
    <s v="Konventionel"/>
    <x v="1"/>
    <s v="Kartofler"/>
    <n v="26.960259947487696"/>
    <n v="1374.0317879268807"/>
    <n v="0"/>
    <n v="1374.0317879268807"/>
  </r>
  <r>
    <x v="1"/>
    <x v="6"/>
    <x v="1"/>
    <s v="Konventionel"/>
    <x v="1"/>
    <s v="Roer"/>
    <n v="75.321294136474407"/>
    <n v="7344.1634378322387"/>
    <n v="0"/>
    <n v="7344.1634378322387"/>
  </r>
  <r>
    <x v="1"/>
    <x v="7"/>
    <x v="1"/>
    <s v="Konventionel"/>
    <x v="1"/>
    <s v="Majs"/>
    <n v="80.304122909023874"/>
    <n v="4289.2038128167833"/>
    <n v="0"/>
    <n v="4289.2038128167833"/>
  </r>
  <r>
    <x v="1"/>
    <x v="8"/>
    <x v="1"/>
    <s v="Konventionel"/>
    <x v="1"/>
    <s v="Frugt"/>
    <n v="17.323250086121135"/>
    <n v="176.48927187740213"/>
    <n v="0"/>
    <n v="176.48927187740213"/>
  </r>
  <r>
    <x v="1"/>
    <x v="9"/>
    <x v="1"/>
    <s v="Konventionel"/>
    <x v="1"/>
    <s v="Øvrige"/>
    <n v="123.69640759387546"/>
    <n v="4422.7814073992404"/>
    <n v="0"/>
    <n v="4422.7814073992404"/>
  </r>
  <r>
    <x v="1"/>
    <x v="10"/>
    <x v="1"/>
    <s v="Konventionel"/>
    <x v="1"/>
    <s v="Halm"/>
    <n v="898.0300532314609"/>
    <n v="15398.191666158042"/>
    <n v="2558.0924884330107"/>
    <n v="2558.0924884330107"/>
  </r>
  <r>
    <x v="1"/>
    <x v="11"/>
    <x v="1"/>
    <s v="Konventionel"/>
    <x v="1"/>
    <s v="Juletræer"/>
    <n v="27.145434304635756"/>
    <n v="1628.7260582781455"/>
    <n v="0"/>
    <n v="1628.7260582781455"/>
  </r>
  <r>
    <x v="1"/>
    <x v="12"/>
    <x v="1"/>
    <s v="Konventionel"/>
    <x v="1"/>
    <s v="Pil &amp; poppel"/>
    <n v="57.612750140016658"/>
    <n v="1686.2268333663412"/>
    <n v="0"/>
    <n v="1686.2268333663412"/>
  </r>
  <r>
    <x v="1"/>
    <x v="13"/>
    <x v="1"/>
    <s v="Konventionel"/>
    <x v="1"/>
    <s v="Græs"/>
    <n v="1669.7015154242213"/>
    <n v="27630.220677240013"/>
    <n v="0"/>
    <n v="27630.220677240013"/>
  </r>
  <r>
    <x v="1"/>
    <x v="0"/>
    <x v="2"/>
    <s v="Konventionel"/>
    <x v="1"/>
    <s v="Halm"/>
    <n v="2607.1402921123236"/>
    <n v="21931.264137248865"/>
    <n v="7158.3097862376862"/>
    <n v="7158.3097862376862"/>
  </r>
  <r>
    <x v="1"/>
    <x v="1"/>
    <x v="2"/>
    <s v="Konventionel"/>
    <x v="1"/>
    <s v="Halm"/>
    <n v="70.501240964925429"/>
    <n v="326.56174814953465"/>
    <n v="96.949241473411405"/>
    <n v="96.949241473411405"/>
  </r>
  <r>
    <x v="1"/>
    <x v="2"/>
    <x v="2"/>
    <s v="Konventionel"/>
    <x v="1"/>
    <s v="Halm"/>
    <n v="284.76552549155969"/>
    <n v="1503.5619745954352"/>
    <n v="803.05996844129504"/>
    <n v="803.05996844129504"/>
  </r>
  <r>
    <x v="1"/>
    <x v="3"/>
    <x v="2"/>
    <s v="Konventionel"/>
    <x v="1"/>
    <s v="Græs"/>
    <n v="837.32996270399724"/>
    <n v="49857.975299246813"/>
    <n v="0"/>
    <n v="49857.975299246813"/>
  </r>
  <r>
    <x v="1"/>
    <x v="4"/>
    <x v="2"/>
    <s v="Konventionel"/>
    <x v="1"/>
    <s v="Grøntsager"/>
    <n v="15.858122690552644"/>
    <n v="394.8672549947608"/>
    <n v="0"/>
    <n v="394.8672549947608"/>
  </r>
  <r>
    <x v="1"/>
    <x v="5"/>
    <x v="2"/>
    <s v="Konventionel"/>
    <x v="1"/>
    <s v="Kartofler"/>
    <n v="26.960259947487696"/>
    <n v="1374.0317879268807"/>
    <n v="0"/>
    <n v="1374.0317879268807"/>
  </r>
  <r>
    <x v="1"/>
    <x v="6"/>
    <x v="2"/>
    <s v="Konventionel"/>
    <x v="1"/>
    <s v="Roer"/>
    <n v="75.321294136474407"/>
    <n v="7344.1634378322387"/>
    <n v="0"/>
    <n v="7344.1634378322387"/>
  </r>
  <r>
    <x v="1"/>
    <x v="7"/>
    <x v="2"/>
    <s v="Konventionel"/>
    <x v="1"/>
    <s v="Majs"/>
    <n v="80.304122909023874"/>
    <n v="4289.2038128167833"/>
    <n v="0"/>
    <n v="4289.2038128167833"/>
  </r>
  <r>
    <x v="1"/>
    <x v="8"/>
    <x v="2"/>
    <s v="Konventionel"/>
    <x v="1"/>
    <s v="Frugt"/>
    <n v="17.323250086121135"/>
    <n v="176.48927187740213"/>
    <n v="0"/>
    <n v="176.48927187740213"/>
  </r>
  <r>
    <x v="1"/>
    <x v="9"/>
    <x v="2"/>
    <s v="Konventionel"/>
    <x v="1"/>
    <s v="Øvrige"/>
    <n v="123.69640759387546"/>
    <n v="4422.7814073992404"/>
    <n v="0"/>
    <n v="4422.7814073992404"/>
  </r>
  <r>
    <x v="1"/>
    <x v="10"/>
    <x v="2"/>
    <s v="Konventionel"/>
    <x v="1"/>
    <s v="Halm"/>
    <n v="898.0300532314609"/>
    <n v="15398.191666158042"/>
    <n v="2558.0924884330107"/>
    <n v="2558.0924884330107"/>
  </r>
  <r>
    <x v="1"/>
    <x v="11"/>
    <x v="2"/>
    <s v="Konventionel"/>
    <x v="1"/>
    <s v="Juletræer"/>
    <n v="27.145434304635756"/>
    <n v="1628.7260582781455"/>
    <n v="0"/>
    <n v="1628.7260582781455"/>
  </r>
  <r>
    <x v="1"/>
    <x v="12"/>
    <x v="2"/>
    <s v="Konventionel"/>
    <x v="1"/>
    <s v="Pil &amp; poppel"/>
    <n v="57.612750140016658"/>
    <n v="1686.2268333663412"/>
    <n v="0"/>
    <n v="1686.2268333663412"/>
  </r>
  <r>
    <x v="1"/>
    <x v="13"/>
    <x v="2"/>
    <s v="Konventionel"/>
    <x v="1"/>
    <s v="Græs"/>
    <n v="1669.7015154242213"/>
    <n v="27630.220677240013"/>
    <n v="0"/>
    <n v="27630.220677240013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33.3529056997582"/>
    <n v="1878.7903106400649"/>
    <n v="613.23246041714071"/>
    <n v="613.23246041714071"/>
  </r>
  <r>
    <x v="1"/>
    <x v="1"/>
    <x v="1"/>
    <s v="Økologisk"/>
    <x v="1"/>
    <s v="Halm"/>
    <n v="9.0143954286615706"/>
    <n v="23.800167386569427"/>
    <n v="7.0657637893693348"/>
    <n v="7.0657637893693348"/>
  </r>
  <r>
    <x v="1"/>
    <x v="2"/>
    <x v="1"/>
    <s v="Økologisk"/>
    <x v="1"/>
    <s v="Halm"/>
    <n v="36.410551305169356"/>
    <n v="105.73624099021181"/>
    <n v="56.474254994077086"/>
    <n v="56.474254994077086"/>
  </r>
  <r>
    <x v="1"/>
    <x v="3"/>
    <x v="1"/>
    <s v="Økologisk"/>
    <x v="1"/>
    <s v="Græs"/>
    <n v="107.06227698652053"/>
    <n v="4972.4346522905962"/>
    <n v="0"/>
    <n v="4972.4346522905962"/>
  </r>
  <r>
    <x v="1"/>
    <x v="4"/>
    <x v="1"/>
    <s v="Økologisk"/>
    <x v="1"/>
    <s v="Grøntsager"/>
    <n v="2.0276435809121542"/>
    <n v="28.778345343886201"/>
    <n v="0"/>
    <n v="28.778345343886201"/>
  </r>
  <r>
    <x v="1"/>
    <x v="5"/>
    <x v="1"/>
    <s v="Økologisk"/>
    <x v="1"/>
    <s v="Kartofler"/>
    <n v="3.4471796623703264"/>
    <n v="100.14089749468296"/>
    <n v="0"/>
    <n v="100.14089749468296"/>
  </r>
  <r>
    <x v="1"/>
    <x v="6"/>
    <x v="1"/>
    <s v="Økologisk"/>
    <x v="1"/>
    <s v="Roer"/>
    <n v="9.6306947261041955"/>
    <n v="535.25043923604903"/>
    <n v="0"/>
    <n v="535.25043923604903"/>
  </r>
  <r>
    <x v="1"/>
    <x v="7"/>
    <x v="1"/>
    <s v="Økologisk"/>
    <x v="1"/>
    <s v="Majs"/>
    <n v="10.267806758379196"/>
    <n v="455.19199850019618"/>
    <n v="0"/>
    <n v="455.19199850019618"/>
  </r>
  <r>
    <x v="1"/>
    <x v="8"/>
    <x v="1"/>
    <s v="Økologisk"/>
    <x v="1"/>
    <s v="Frugt"/>
    <n v="2.2149769883282029"/>
    <n v="12.862725767540008"/>
    <n v="0"/>
    <n v="12.862725767540008"/>
  </r>
  <r>
    <x v="1"/>
    <x v="9"/>
    <x v="1"/>
    <s v="Økologisk"/>
    <x v="1"/>
    <s v="Øvrige"/>
    <n v="15.816009986417528"/>
    <n v="322.33701101486167"/>
    <n v="0"/>
    <n v="322.33701101486167"/>
  </r>
  <r>
    <x v="1"/>
    <x v="10"/>
    <x v="1"/>
    <s v="Økologisk"/>
    <x v="1"/>
    <s v="Halm"/>
    <n v="114.82348247852502"/>
    <n v="1122.2365790901708"/>
    <n v="186.43650017194551"/>
    <n v="186.43650017194551"/>
  </r>
  <r>
    <x v="1"/>
    <x v="11"/>
    <x v="1"/>
    <s v="Økologisk"/>
    <x v="1"/>
    <s v="Juletræer"/>
    <n v="3.4708563360818045"/>
    <n v="118.7032866939977"/>
    <n v="0"/>
    <n v="118.7032866939977"/>
  </r>
  <r>
    <x v="1"/>
    <x v="12"/>
    <x v="1"/>
    <s v="Økologisk"/>
    <x v="1"/>
    <s v="Pil &amp; poppel"/>
    <n v="7.36645347495603"/>
    <n v="122.8940043139006"/>
    <n v="0"/>
    <n v="122.8940043139006"/>
  </r>
  <r>
    <x v="1"/>
    <x v="13"/>
    <x v="1"/>
    <s v="Økologisk"/>
    <x v="1"/>
    <s v="Græs"/>
    <n v="213.49056416407598"/>
    <n v="3532.8418557871296"/>
    <n v="0"/>
    <n v="3532.8418557871296"/>
  </r>
  <r>
    <x v="1"/>
    <x v="0"/>
    <x v="2"/>
    <s v="Økologisk"/>
    <x v="1"/>
    <s v="Halm"/>
    <n v="333.3529056997582"/>
    <n v="1878.7903106400649"/>
    <n v="613.23246041714071"/>
    <n v="613.23246041714071"/>
  </r>
  <r>
    <x v="1"/>
    <x v="1"/>
    <x v="2"/>
    <s v="Økologisk"/>
    <x v="1"/>
    <s v="Halm"/>
    <n v="9.0143954286615706"/>
    <n v="23.800167386569427"/>
    <n v="7.0657637893693348"/>
    <n v="7.0657637893693348"/>
  </r>
  <r>
    <x v="1"/>
    <x v="2"/>
    <x v="2"/>
    <s v="Økologisk"/>
    <x v="1"/>
    <s v="Halm"/>
    <n v="36.410551305169356"/>
    <n v="105.73624099021181"/>
    <n v="56.474254994077086"/>
    <n v="56.474254994077086"/>
  </r>
  <r>
    <x v="1"/>
    <x v="3"/>
    <x v="2"/>
    <s v="Økologisk"/>
    <x v="1"/>
    <s v="Græs"/>
    <n v="107.06227698652053"/>
    <n v="4972.4346522905962"/>
    <n v="0"/>
    <n v="4972.4346522905962"/>
  </r>
  <r>
    <x v="1"/>
    <x v="4"/>
    <x v="2"/>
    <s v="Økologisk"/>
    <x v="1"/>
    <s v="Grøntsager"/>
    <n v="2.0276435809121542"/>
    <n v="28.778345343886201"/>
    <n v="0"/>
    <n v="28.778345343886201"/>
  </r>
  <r>
    <x v="1"/>
    <x v="5"/>
    <x v="2"/>
    <s v="Økologisk"/>
    <x v="1"/>
    <s v="Kartofler"/>
    <n v="3.4471796623703264"/>
    <n v="100.14089749468296"/>
    <n v="0"/>
    <n v="100.14089749468296"/>
  </r>
  <r>
    <x v="1"/>
    <x v="6"/>
    <x v="2"/>
    <s v="Økologisk"/>
    <x v="1"/>
    <s v="Roer"/>
    <n v="9.6306947261041955"/>
    <n v="535.25043923604903"/>
    <n v="0"/>
    <n v="535.25043923604903"/>
  </r>
  <r>
    <x v="1"/>
    <x v="7"/>
    <x v="2"/>
    <s v="Økologisk"/>
    <x v="1"/>
    <s v="Majs"/>
    <n v="10.267806758379196"/>
    <n v="455.19199850019618"/>
    <n v="0"/>
    <n v="455.19199850019618"/>
  </r>
  <r>
    <x v="1"/>
    <x v="8"/>
    <x v="2"/>
    <s v="Økologisk"/>
    <x v="1"/>
    <s v="Frugt"/>
    <n v="2.2149769883282029"/>
    <n v="12.862725767540008"/>
    <n v="0"/>
    <n v="12.862725767540008"/>
  </r>
  <r>
    <x v="1"/>
    <x v="9"/>
    <x v="2"/>
    <s v="Økologisk"/>
    <x v="1"/>
    <s v="Øvrige"/>
    <n v="15.816009986417528"/>
    <n v="322.33701101486167"/>
    <n v="0"/>
    <n v="322.33701101486167"/>
  </r>
  <r>
    <x v="1"/>
    <x v="10"/>
    <x v="2"/>
    <s v="Økologisk"/>
    <x v="1"/>
    <s v="Halm"/>
    <n v="114.82348247852502"/>
    <n v="1122.2365790901708"/>
    <n v="186.43650017194551"/>
    <n v="186.43650017194551"/>
  </r>
  <r>
    <x v="1"/>
    <x v="11"/>
    <x v="2"/>
    <s v="Økologisk"/>
    <x v="1"/>
    <s v="Juletræer"/>
    <n v="3.4708563360818045"/>
    <n v="118.7032866939977"/>
    <n v="0"/>
    <n v="118.7032866939977"/>
  </r>
  <r>
    <x v="1"/>
    <x v="12"/>
    <x v="2"/>
    <s v="Økologisk"/>
    <x v="1"/>
    <s v="Pil &amp; poppel"/>
    <n v="7.36645347495603"/>
    <n v="122.8940043139006"/>
    <n v="0"/>
    <n v="122.8940043139006"/>
  </r>
  <r>
    <x v="1"/>
    <x v="13"/>
    <x v="2"/>
    <s v="Økologisk"/>
    <x v="1"/>
    <s v="Græs"/>
    <n v="213.49056416407598"/>
    <n v="3532.8418557871296"/>
    <n v="0"/>
    <n v="3532.8418557871296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.6899265874179821E-2"/>
    <n v="0.46026939528920074"/>
    <n v="0.15023077994890691"/>
    <n v="0.15023077994890691"/>
  </r>
  <r>
    <x v="1"/>
    <x v="1"/>
    <x v="1"/>
    <s v="Konventionel"/>
    <x v="2"/>
    <s v="Halm"/>
    <n v="8.5184532315743273E-4"/>
    <n v="4.6033721263427667E-3"/>
    <n v="1.3666433328388961E-3"/>
    <n v="1.3666433328388961E-3"/>
  </r>
  <r>
    <x v="1"/>
    <x v="2"/>
    <x v="1"/>
    <s v="Konventionel"/>
    <x v="2"/>
    <s v="Halm"/>
    <n v="4.1610650792287332E-3"/>
    <n v="2.5632160888048997E-2"/>
    <n v="1.3690265291111413E-2"/>
    <n v="1.3690265291111413E-2"/>
  </r>
  <r>
    <x v="1"/>
    <x v="3"/>
    <x v="1"/>
    <s v="Konventionel"/>
    <x v="2"/>
    <s v="Græs"/>
    <n v="3.057794405484629E-2"/>
    <n v="2.1241886176020621"/>
    <n v="0"/>
    <n v="2.1241886176020621"/>
  </r>
  <r>
    <x v="1"/>
    <x v="4"/>
    <x v="1"/>
    <s v="Konventionel"/>
    <x v="2"/>
    <s v="Grøntsager"/>
    <n v="1.4391811820724449E-4"/>
    <n v="4.1808213339204524E-3"/>
    <n v="0"/>
    <n v="4.1808213339204524E-3"/>
  </r>
  <r>
    <x v="1"/>
    <x v="5"/>
    <x v="1"/>
    <s v="Konventionel"/>
    <x v="2"/>
    <s v="Kartofler"/>
    <n v="8.2031610546729307E-4"/>
    <n v="4.8775387989525638E-2"/>
    <n v="0"/>
    <n v="4.8775387989525638E-2"/>
  </r>
  <r>
    <x v="1"/>
    <x v="6"/>
    <x v="1"/>
    <s v="Konventionel"/>
    <x v="2"/>
    <s v="Roer"/>
    <n v="9.4466421281650867E-4"/>
    <n v="0.10746048902092986"/>
    <n v="0"/>
    <n v="0.10746048902092986"/>
  </r>
  <r>
    <x v="1"/>
    <x v="7"/>
    <x v="1"/>
    <s v="Konventionel"/>
    <x v="2"/>
    <s v="Majs"/>
    <n v="9.7029060189655577E-4"/>
    <n v="6.0462688566581983E-2"/>
    <n v="0"/>
    <n v="6.0462688566581983E-2"/>
  </r>
  <r>
    <x v="1"/>
    <x v="8"/>
    <x v="1"/>
    <s v="Konventionel"/>
    <x v="2"/>
    <s v="Frugt"/>
    <n v="3.5209466045495685E-4"/>
    <n v="4.1849971341676173E-3"/>
    <n v="0"/>
    <n v="4.1849971341676173E-3"/>
  </r>
  <r>
    <x v="1"/>
    <x v="9"/>
    <x v="1"/>
    <s v="Konventionel"/>
    <x v="2"/>
    <s v="Øvrige"/>
    <n v="2.5141266456781544E-3"/>
    <n v="0.1048750857098731"/>
    <n v="0"/>
    <n v="0.1048750857098731"/>
  </r>
  <r>
    <x v="1"/>
    <x v="10"/>
    <x v="1"/>
    <s v="Konventionel"/>
    <x v="2"/>
    <s v="Halm"/>
    <n v="2.3527643458140821E-2"/>
    <n v="0.47065650992134089"/>
    <n v="7.8189888057308546E-2"/>
    <n v="7.8189888057308546E-2"/>
  </r>
  <r>
    <x v="1"/>
    <x v="11"/>
    <x v="1"/>
    <s v="Konventionel"/>
    <x v="2"/>
    <s v="Juletræer"/>
    <n v="5.517303292902556E-4"/>
    <n v="3.8621123050317889E-2"/>
    <n v="0"/>
    <n v="3.8621123050317889E-2"/>
  </r>
  <r>
    <x v="1"/>
    <x v="12"/>
    <x v="1"/>
    <s v="Konventionel"/>
    <x v="2"/>
    <s v="Pil &amp; poppel"/>
    <n v="1.6830088194036976E-3"/>
    <n v="5.7468593833296992E-2"/>
    <n v="0"/>
    <n v="5.7468593833296992E-2"/>
  </r>
  <r>
    <x v="1"/>
    <x v="13"/>
    <x v="1"/>
    <s v="Konventionel"/>
    <x v="2"/>
    <s v="Græs"/>
    <n v="5.8528892380347711E-2"/>
    <n v="1.1299587962949931"/>
    <n v="0"/>
    <n v="1.1299587962949931"/>
  </r>
  <r>
    <x v="1"/>
    <x v="0"/>
    <x v="2"/>
    <s v="Konventionel"/>
    <x v="2"/>
    <s v="Halm"/>
    <n v="4.6899265874179821E-2"/>
    <n v="0.46026939528920074"/>
    <n v="0.15023077994890691"/>
    <n v="0.15023077994890691"/>
  </r>
  <r>
    <x v="1"/>
    <x v="1"/>
    <x v="2"/>
    <s v="Konventionel"/>
    <x v="2"/>
    <s v="Halm"/>
    <n v="8.5184532315743273E-4"/>
    <n v="4.6033721263427667E-3"/>
    <n v="1.3666433328388961E-3"/>
    <n v="1.3666433328388961E-3"/>
  </r>
  <r>
    <x v="1"/>
    <x v="2"/>
    <x v="2"/>
    <s v="Konventionel"/>
    <x v="2"/>
    <s v="Halm"/>
    <n v="4.1610650792287332E-3"/>
    <n v="2.5632160888048997E-2"/>
    <n v="1.3690265291111413E-2"/>
    <n v="1.3690265291111413E-2"/>
  </r>
  <r>
    <x v="1"/>
    <x v="3"/>
    <x v="2"/>
    <s v="Konventionel"/>
    <x v="2"/>
    <s v="Græs"/>
    <n v="3.057794405484629E-2"/>
    <n v="2.1241886176020621"/>
    <n v="0"/>
    <n v="2.1241886176020621"/>
  </r>
  <r>
    <x v="1"/>
    <x v="4"/>
    <x v="2"/>
    <s v="Konventionel"/>
    <x v="2"/>
    <s v="Grøntsager"/>
    <n v="1.4391811820724449E-4"/>
    <n v="4.1808213339204524E-3"/>
    <n v="0"/>
    <n v="4.1808213339204524E-3"/>
  </r>
  <r>
    <x v="1"/>
    <x v="5"/>
    <x v="2"/>
    <s v="Konventionel"/>
    <x v="2"/>
    <s v="Kartofler"/>
    <n v="8.2031610546729307E-4"/>
    <n v="4.8775387989525638E-2"/>
    <n v="0"/>
    <n v="4.8775387989525638E-2"/>
  </r>
  <r>
    <x v="1"/>
    <x v="6"/>
    <x v="2"/>
    <s v="Konventionel"/>
    <x v="2"/>
    <s v="Roer"/>
    <n v="9.4466421281650867E-4"/>
    <n v="0.10746048902092986"/>
    <n v="0"/>
    <n v="0.10746048902092986"/>
  </r>
  <r>
    <x v="1"/>
    <x v="7"/>
    <x v="2"/>
    <s v="Konventionel"/>
    <x v="2"/>
    <s v="Majs"/>
    <n v="9.7029060189655577E-4"/>
    <n v="6.0462688566581983E-2"/>
    <n v="0"/>
    <n v="6.0462688566581983E-2"/>
  </r>
  <r>
    <x v="1"/>
    <x v="8"/>
    <x v="2"/>
    <s v="Konventionel"/>
    <x v="2"/>
    <s v="Frugt"/>
    <n v="3.5209466045495685E-4"/>
    <n v="4.1849971341676173E-3"/>
    <n v="0"/>
    <n v="4.1849971341676173E-3"/>
  </r>
  <r>
    <x v="1"/>
    <x v="9"/>
    <x v="2"/>
    <s v="Konventionel"/>
    <x v="2"/>
    <s v="Øvrige"/>
    <n v="2.5141266456781544E-3"/>
    <n v="0.1048750857098731"/>
    <n v="0"/>
    <n v="0.1048750857098731"/>
  </r>
  <r>
    <x v="1"/>
    <x v="10"/>
    <x v="2"/>
    <s v="Konventionel"/>
    <x v="2"/>
    <s v="Halm"/>
    <n v="2.3527643458140821E-2"/>
    <n v="0.47065650992134089"/>
    <n v="7.8189888057308546E-2"/>
    <n v="7.8189888057308546E-2"/>
  </r>
  <r>
    <x v="1"/>
    <x v="11"/>
    <x v="2"/>
    <s v="Konventionel"/>
    <x v="2"/>
    <s v="Juletræer"/>
    <n v="5.517303292902556E-4"/>
    <n v="3.8621123050317889E-2"/>
    <n v="0"/>
    <n v="3.8621123050317889E-2"/>
  </r>
  <r>
    <x v="1"/>
    <x v="12"/>
    <x v="2"/>
    <s v="Konventionel"/>
    <x v="2"/>
    <s v="Pil &amp; poppel"/>
    <n v="1.6830088194036976E-3"/>
    <n v="5.7468593833296992E-2"/>
    <n v="0"/>
    <n v="5.7468593833296992E-2"/>
  </r>
  <r>
    <x v="1"/>
    <x v="13"/>
    <x v="2"/>
    <s v="Konventionel"/>
    <x v="2"/>
    <s v="Græs"/>
    <n v="5.8528892380347711E-2"/>
    <n v="1.1299587962949931"/>
    <n v="0"/>
    <n v="1.1299587962949931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5.9966111534705989E-3"/>
    <n v="3.9429997046307508E-2"/>
    <n v="1.2869852460922156E-2"/>
    <n v="1.2869852460922156E-2"/>
  </r>
  <r>
    <x v="1"/>
    <x v="1"/>
    <x v="1"/>
    <s v="Økologisk"/>
    <x v="2"/>
    <s v="Halm"/>
    <n v="1.0891823295447181E-4"/>
    <n v="3.3549865460500041E-4"/>
    <n v="9.9602419032895499E-5"/>
    <n v="9.9602419032895499E-5"/>
  </r>
  <r>
    <x v="1"/>
    <x v="2"/>
    <x v="1"/>
    <s v="Økologisk"/>
    <x v="2"/>
    <s v="Halm"/>
    <n v="5.3204008206357469E-4"/>
    <n v="1.8025517980313913E-3"/>
    <n v="9.6275192808755621E-4"/>
    <n v="9.6275192808755621E-4"/>
  </r>
  <r>
    <x v="1"/>
    <x v="3"/>
    <x v="1"/>
    <s v="Økologisk"/>
    <x v="2"/>
    <s v="Græs"/>
    <n v="3.9097422305375889E-3"/>
    <n v="0.21184953915136845"/>
    <n v="0"/>
    <n v="0.21184953915136845"/>
  </r>
  <r>
    <x v="1"/>
    <x v="4"/>
    <x v="1"/>
    <s v="Økologisk"/>
    <x v="2"/>
    <s v="Grøntsager"/>
    <n v="1.8401588526851431E-5"/>
    <n v="3.0470270362186938E-4"/>
    <n v="0"/>
    <n v="3.0470270362186938E-4"/>
  </r>
  <r>
    <x v="1"/>
    <x v="5"/>
    <x v="1"/>
    <s v="Økologisk"/>
    <x v="2"/>
    <s v="Kartofler"/>
    <n v="1.0488685943642736E-4"/>
    <n v="3.5548021318284103E-3"/>
    <n v="0"/>
    <n v="3.5548021318284103E-3"/>
  </r>
  <r>
    <x v="1"/>
    <x v="6"/>
    <x v="1"/>
    <s v="Økologisk"/>
    <x v="2"/>
    <s v="Roer"/>
    <n v="1.2078619674042107E-4"/>
    <n v="7.8318346855786869E-3"/>
    <n v="0"/>
    <n v="7.8318346855786869E-3"/>
  </r>
  <r>
    <x v="1"/>
    <x v="7"/>
    <x v="1"/>
    <s v="Økologisk"/>
    <x v="2"/>
    <s v="Majs"/>
    <n v="1.2406282565382139E-4"/>
    <n v="6.4166062617675478E-3"/>
    <n v="0"/>
    <n v="6.4166062617675478E-3"/>
  </r>
  <r>
    <x v="1"/>
    <x v="8"/>
    <x v="1"/>
    <s v="Økologisk"/>
    <x v="2"/>
    <s v="Frugt"/>
    <n v="4.5019356457006833E-5"/>
    <n v="3.0500704038335041E-4"/>
    <n v="0"/>
    <n v="3.0500704038335041E-4"/>
  </r>
  <r>
    <x v="1"/>
    <x v="9"/>
    <x v="1"/>
    <s v="Økologisk"/>
    <x v="2"/>
    <s v="Øvrige"/>
    <n v="3.2146004001762851E-4"/>
    <n v="7.6434077436186437E-3"/>
    <n v="0"/>
    <n v="7.6434077436186437E-3"/>
  </r>
  <r>
    <x v="1"/>
    <x v="10"/>
    <x v="1"/>
    <s v="Økologisk"/>
    <x v="2"/>
    <s v="Halm"/>
    <n v="3.0082801200869359E-3"/>
    <n v="3.430194681765715E-2"/>
    <n v="5.6985621685517697E-3"/>
    <n v="5.6985621685517697E-3"/>
  </r>
  <r>
    <x v="1"/>
    <x v="11"/>
    <x v="1"/>
    <s v="Økologisk"/>
    <x v="2"/>
    <s v="Juletræer"/>
    <n v="7.0545075379344893E-5"/>
    <n v="2.814748507635861E-3"/>
    <n v="0"/>
    <n v="2.814748507635861E-3"/>
  </r>
  <r>
    <x v="1"/>
    <x v="12"/>
    <x v="1"/>
    <s v="Økologisk"/>
    <x v="2"/>
    <s v="Pil &amp; poppel"/>
    <n v="2.151920562019265E-4"/>
    <n v="4.1883722158326175E-3"/>
    <n v="0"/>
    <n v="4.1883722158326175E-3"/>
  </r>
  <r>
    <x v="1"/>
    <x v="13"/>
    <x v="1"/>
    <s v="Økologisk"/>
    <x v="2"/>
    <s v="Græs"/>
    <n v="7.4835928091041004E-3"/>
    <n v="0.14447824277256377"/>
    <n v="0"/>
    <n v="0.14447824277256377"/>
  </r>
  <r>
    <x v="1"/>
    <x v="0"/>
    <x v="2"/>
    <s v="Økologisk"/>
    <x v="2"/>
    <s v="Halm"/>
    <n v="5.9966111534705989E-3"/>
    <n v="3.9429997046307508E-2"/>
    <n v="1.2869852460922156E-2"/>
    <n v="1.2869852460922156E-2"/>
  </r>
  <r>
    <x v="1"/>
    <x v="1"/>
    <x v="2"/>
    <s v="Økologisk"/>
    <x v="2"/>
    <s v="Halm"/>
    <n v="1.0891823295447181E-4"/>
    <n v="3.3549865460500041E-4"/>
    <n v="9.9602419032895499E-5"/>
    <n v="9.9602419032895499E-5"/>
  </r>
  <r>
    <x v="1"/>
    <x v="2"/>
    <x v="2"/>
    <s v="Økologisk"/>
    <x v="2"/>
    <s v="Halm"/>
    <n v="5.3204008206357469E-4"/>
    <n v="1.8025517980313913E-3"/>
    <n v="9.6275192808755621E-4"/>
    <n v="9.6275192808755621E-4"/>
  </r>
  <r>
    <x v="1"/>
    <x v="3"/>
    <x v="2"/>
    <s v="Økologisk"/>
    <x v="2"/>
    <s v="Græs"/>
    <n v="3.9097422305375889E-3"/>
    <n v="0.21184953915136845"/>
    <n v="0"/>
    <n v="0.21184953915136845"/>
  </r>
  <r>
    <x v="1"/>
    <x v="4"/>
    <x v="2"/>
    <s v="Økologisk"/>
    <x v="2"/>
    <s v="Grøntsager"/>
    <n v="1.8401588526851431E-5"/>
    <n v="3.0470270362186938E-4"/>
    <n v="0"/>
    <n v="3.0470270362186938E-4"/>
  </r>
  <r>
    <x v="1"/>
    <x v="5"/>
    <x v="2"/>
    <s v="Økologisk"/>
    <x v="2"/>
    <s v="Kartofler"/>
    <n v="1.0488685943642736E-4"/>
    <n v="3.5548021318284103E-3"/>
    <n v="0"/>
    <n v="3.5548021318284103E-3"/>
  </r>
  <r>
    <x v="1"/>
    <x v="6"/>
    <x v="2"/>
    <s v="Økologisk"/>
    <x v="2"/>
    <s v="Roer"/>
    <n v="1.2078619674042107E-4"/>
    <n v="7.8318346855786869E-3"/>
    <n v="0"/>
    <n v="7.8318346855786869E-3"/>
  </r>
  <r>
    <x v="1"/>
    <x v="7"/>
    <x v="2"/>
    <s v="Økologisk"/>
    <x v="2"/>
    <s v="Majs"/>
    <n v="1.2406282565382139E-4"/>
    <n v="6.4166062617675478E-3"/>
    <n v="0"/>
    <n v="6.4166062617675478E-3"/>
  </r>
  <r>
    <x v="1"/>
    <x v="8"/>
    <x v="2"/>
    <s v="Økologisk"/>
    <x v="2"/>
    <s v="Frugt"/>
    <n v="4.5019356457006833E-5"/>
    <n v="3.0500704038335041E-4"/>
    <n v="0"/>
    <n v="3.0500704038335041E-4"/>
  </r>
  <r>
    <x v="1"/>
    <x v="9"/>
    <x v="2"/>
    <s v="Økologisk"/>
    <x v="2"/>
    <s v="Øvrige"/>
    <n v="3.2146004001762851E-4"/>
    <n v="7.6434077436186437E-3"/>
    <n v="0"/>
    <n v="7.6434077436186437E-3"/>
  </r>
  <r>
    <x v="1"/>
    <x v="10"/>
    <x v="2"/>
    <s v="Økologisk"/>
    <x v="2"/>
    <s v="Halm"/>
    <n v="3.0082801200869359E-3"/>
    <n v="3.430194681765715E-2"/>
    <n v="5.6985621685517697E-3"/>
    <n v="5.6985621685517697E-3"/>
  </r>
  <r>
    <x v="1"/>
    <x v="11"/>
    <x v="2"/>
    <s v="Økologisk"/>
    <x v="2"/>
    <s v="Juletræer"/>
    <n v="7.0545075379344893E-5"/>
    <n v="2.814748507635861E-3"/>
    <n v="0"/>
    <n v="2.814748507635861E-3"/>
  </r>
  <r>
    <x v="1"/>
    <x v="12"/>
    <x v="2"/>
    <s v="Økologisk"/>
    <x v="2"/>
    <s v="Pil &amp; poppel"/>
    <n v="2.151920562019265E-4"/>
    <n v="4.1883722158326175E-3"/>
    <n v="0"/>
    <n v="4.1883722158326175E-3"/>
  </r>
  <r>
    <x v="1"/>
    <x v="13"/>
    <x v="2"/>
    <s v="Økologisk"/>
    <x v="2"/>
    <s v="Græs"/>
    <n v="7.4835928091041004E-3"/>
    <n v="0.14447824277256377"/>
    <n v="0"/>
    <n v="0.1444782427725637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6660662.8299724497"/>
  </r>
  <r>
    <x v="1"/>
    <x v="0"/>
    <x v="1"/>
    <n v="251942.51103552672"/>
  </r>
  <r>
    <x v="2"/>
    <x v="0"/>
    <x v="1"/>
    <n v="476340.01515460305"/>
  </r>
  <r>
    <x v="3"/>
    <x v="0"/>
    <x v="1"/>
    <n v="13475308.007050257"/>
  </r>
  <r>
    <x v="4"/>
    <x v="0"/>
    <x v="1"/>
    <n v="183141.32099151294"/>
  </r>
  <r>
    <x v="5"/>
    <x v="0"/>
    <x v="1"/>
    <n v="2048170.9409103482"/>
  </r>
  <r>
    <x v="6"/>
    <x v="0"/>
    <x v="1"/>
    <n v="373912.94111232943"/>
  </r>
  <r>
    <x v="7"/>
    <x v="0"/>
    <x v="1"/>
    <n v="7401057.8539744057"/>
  </r>
  <r>
    <x v="8"/>
    <x v="0"/>
    <x v="1"/>
    <n v="25103.663143485108"/>
  </r>
  <r>
    <x v="9"/>
    <x v="0"/>
    <x v="1"/>
    <n v="1558166.0944741257"/>
  </r>
  <r>
    <x v="10"/>
    <x v="0"/>
    <x v="1"/>
    <n v="816683.24927192752"/>
  </r>
  <r>
    <x v="11"/>
    <x v="0"/>
    <x v="1"/>
    <n v="741510.76618312241"/>
  </r>
  <r>
    <x v="12"/>
    <x v="0"/>
    <x v="1"/>
    <n v="146406.17107700335"/>
  </r>
  <r>
    <x v="0"/>
    <x v="0"/>
    <x v="2"/>
    <n v="6660662.8299724497"/>
  </r>
  <r>
    <x v="1"/>
    <x v="0"/>
    <x v="2"/>
    <n v="251942.51103552672"/>
  </r>
  <r>
    <x v="2"/>
    <x v="0"/>
    <x v="2"/>
    <n v="476340.01515460305"/>
  </r>
  <r>
    <x v="3"/>
    <x v="0"/>
    <x v="2"/>
    <n v="13475308.007050257"/>
  </r>
  <r>
    <x v="4"/>
    <x v="0"/>
    <x v="2"/>
    <n v="183141.32099151294"/>
  </r>
  <r>
    <x v="5"/>
    <x v="0"/>
    <x v="2"/>
    <n v="2048170.9409103482"/>
  </r>
  <r>
    <x v="6"/>
    <x v="0"/>
    <x v="2"/>
    <n v="373912.94111232943"/>
  </r>
  <r>
    <x v="7"/>
    <x v="0"/>
    <x v="2"/>
    <n v="7401057.8539744057"/>
  </r>
  <r>
    <x v="8"/>
    <x v="0"/>
    <x v="2"/>
    <n v="25103.663143485108"/>
  </r>
  <r>
    <x v="9"/>
    <x v="0"/>
    <x v="2"/>
    <n v="1558166.0944741257"/>
  </r>
  <r>
    <x v="10"/>
    <x v="0"/>
    <x v="2"/>
    <n v="816683.24927192752"/>
  </r>
  <r>
    <x v="11"/>
    <x v="0"/>
    <x v="2"/>
    <n v="741510.76618312241"/>
  </r>
  <r>
    <x v="12"/>
    <x v="0"/>
    <x v="2"/>
    <n v="146406.17107700335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250361.7332047778"/>
  </r>
  <r>
    <x v="1"/>
    <x v="1"/>
    <x v="1"/>
    <n v="26756.842840483081"/>
  </r>
  <r>
    <x v="2"/>
    <x v="1"/>
    <x v="1"/>
    <n v="192094.83489491633"/>
  </r>
  <r>
    <x v="3"/>
    <x v="1"/>
    <x v="1"/>
    <n v="1914540.1509540223"/>
  </r>
  <r>
    <x v="4"/>
    <x v="1"/>
    <x v="1"/>
    <n v="95770.008322211143"/>
  </r>
  <r>
    <x v="5"/>
    <x v="1"/>
    <x v="1"/>
    <n v="114030.37702859532"/>
  </r>
  <r>
    <x v="6"/>
    <x v="1"/>
    <x v="1"/>
    <n v="2246451.1221419098"/>
  </r>
  <r>
    <x v="7"/>
    <x v="1"/>
    <x v="1"/>
    <n v="362325.49106317805"/>
  </r>
  <r>
    <x v="8"/>
    <x v="1"/>
    <x v="1"/>
    <n v="15582.71091846241"/>
  </r>
  <r>
    <x v="9"/>
    <x v="1"/>
    <x v="1"/>
    <n v="390499.22634916333"/>
  </r>
  <r>
    <x v="10"/>
    <x v="1"/>
    <x v="1"/>
    <n v="588878.01955714053"/>
  </r>
  <r>
    <x v="11"/>
    <x v="1"/>
    <x v="1"/>
    <n v="143804.58971548834"/>
  </r>
  <r>
    <x v="12"/>
    <x v="1"/>
    <x v="1"/>
    <n v="34748.143170077739"/>
  </r>
  <r>
    <x v="0"/>
    <x v="1"/>
    <x v="2"/>
    <n v="2250361.7332047778"/>
  </r>
  <r>
    <x v="1"/>
    <x v="1"/>
    <x v="2"/>
    <n v="26756.842840483081"/>
  </r>
  <r>
    <x v="2"/>
    <x v="1"/>
    <x v="2"/>
    <n v="192094.83489491633"/>
  </r>
  <r>
    <x v="3"/>
    <x v="1"/>
    <x v="2"/>
    <n v="1914540.1509540223"/>
  </r>
  <r>
    <x v="4"/>
    <x v="1"/>
    <x v="2"/>
    <n v="95770.008322211143"/>
  </r>
  <r>
    <x v="5"/>
    <x v="1"/>
    <x v="2"/>
    <n v="114030.37702859532"/>
  </r>
  <r>
    <x v="6"/>
    <x v="1"/>
    <x v="2"/>
    <n v="2246451.1221419098"/>
  </r>
  <r>
    <x v="7"/>
    <x v="1"/>
    <x v="2"/>
    <n v="362325.49106317805"/>
  </r>
  <r>
    <x v="8"/>
    <x v="1"/>
    <x v="2"/>
    <n v="15582.71091846241"/>
  </r>
  <r>
    <x v="9"/>
    <x v="1"/>
    <x v="2"/>
    <n v="390499.22634916333"/>
  </r>
  <r>
    <x v="10"/>
    <x v="1"/>
    <x v="2"/>
    <n v="588878.01955714053"/>
  </r>
  <r>
    <x v="11"/>
    <x v="1"/>
    <x v="2"/>
    <n v="143804.58971548834"/>
  </r>
  <r>
    <x v="12"/>
    <x v="1"/>
    <x v="2"/>
    <n v="34748.14317007773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47465.5978301479"/>
  </r>
  <r>
    <x v="0"/>
    <x v="2"/>
    <x v="1"/>
    <s v="JB1-10"/>
    <n v="434670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847465.5978301479"/>
  </r>
  <r>
    <x v="0"/>
    <x v="2"/>
    <x v="2"/>
    <s v="JB1-10"/>
    <n v="434670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71071.913970687048"/>
  </r>
  <r>
    <x v="0"/>
    <x v="2"/>
    <x v="2"/>
    <s v="OC6"/>
    <n v="0"/>
  </r>
  <r>
    <x v="0"/>
    <x v="3"/>
    <x v="2"/>
    <s v="OC6"/>
    <n v="75166.592141837755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2170.40216985194"/>
  </r>
  <r>
    <x v="1"/>
    <x v="2"/>
    <x v="1"/>
    <s v="JB1-10"/>
    <n v="127230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52170.40216985194"/>
  </r>
  <r>
    <x v="1"/>
    <x v="2"/>
    <x v="2"/>
    <s v="JB1-10"/>
    <n v="127230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7660.0860293129354"/>
  </r>
  <r>
    <x v="1"/>
    <x v="2"/>
    <x v="2"/>
    <s v="OC6"/>
    <n v="0"/>
  </r>
  <r>
    <x v="1"/>
    <x v="3"/>
    <x v="2"/>
    <s v="OC6"/>
    <n v="8101.4078581622398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2545966.1788365529"/>
  </r>
  <r>
    <x v="1"/>
    <s v="Vestdanmark"/>
    <x v="15"/>
    <x v="1"/>
    <n v="4064620.7701627249"/>
  </r>
  <r>
    <x v="1"/>
    <s v="Vestdanmark"/>
    <x v="16"/>
    <x v="1"/>
    <n v="4097.5907230830899"/>
  </r>
  <r>
    <x v="1"/>
    <s v="Vestdanmark"/>
    <x v="17"/>
    <x v="1"/>
    <n v="1507565.0660041883"/>
  </r>
  <r>
    <x v="1"/>
    <s v="Vestdanmark"/>
    <x v="18"/>
    <x v="1"/>
    <n v="390777.6062945897"/>
  </r>
  <r>
    <x v="1"/>
    <s v="Vestdanmark"/>
    <x v="19"/>
    <x v="1"/>
    <n v="717790.84090882004"/>
  </r>
  <r>
    <x v="1"/>
    <s v="Vestdanmark"/>
    <x v="20"/>
    <x v="1"/>
    <n v="667318.32127947919"/>
  </r>
  <r>
    <x v="1"/>
    <s v="Vestdanmark"/>
    <x v="21"/>
    <x v="1"/>
    <n v="0"/>
  </r>
  <r>
    <x v="1"/>
    <s v="Vestdanmark"/>
    <x v="22"/>
    <x v="1"/>
    <n v="52759.391018010894"/>
  </r>
  <r>
    <x v="1"/>
    <s v="Vestdanmark"/>
    <x v="0"/>
    <x v="1"/>
    <n v="2829.8956304621011"/>
  </r>
  <r>
    <x v="1"/>
    <s v="Vestdanmark"/>
    <x v="23"/>
    <x v="1"/>
    <n v="75018.541590975714"/>
  </r>
  <r>
    <x v="1"/>
    <s v="Vestdanmark"/>
    <x v="24"/>
    <x v="1"/>
    <n v="314623.32990126638"/>
  </r>
  <r>
    <x v="1"/>
    <s v="Vestdanmark"/>
    <x v="25"/>
    <x v="1"/>
    <n v="4087.499270945189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2545966.1788365529"/>
  </r>
  <r>
    <x v="1"/>
    <s v="Vestdanmark"/>
    <x v="15"/>
    <x v="2"/>
    <n v="4064620.7701627249"/>
  </r>
  <r>
    <x v="1"/>
    <s v="Vestdanmark"/>
    <x v="16"/>
    <x v="2"/>
    <n v="4097.5907230830899"/>
  </r>
  <r>
    <x v="1"/>
    <s v="Vestdanmark"/>
    <x v="17"/>
    <x v="2"/>
    <n v="1564521.9239290934"/>
  </r>
  <r>
    <x v="1"/>
    <s v="Vestdanmark"/>
    <x v="18"/>
    <x v="2"/>
    <n v="389403.53007387661"/>
  </r>
  <r>
    <x v="1"/>
    <s v="Vestdanmark"/>
    <x v="19"/>
    <x v="2"/>
    <n v="716875.2625727416"/>
  </r>
  <r>
    <x v="1"/>
    <s v="Vestdanmark"/>
    <x v="20"/>
    <x v="2"/>
    <n v="667318.32127947919"/>
  </r>
  <r>
    <x v="1"/>
    <s v="Vestdanmark"/>
    <x v="21"/>
    <x v="2"/>
    <n v="0"/>
  </r>
  <r>
    <x v="1"/>
    <s v="Vestdanmark"/>
    <x v="22"/>
    <x v="2"/>
    <n v="52759.391018010894"/>
  </r>
  <r>
    <x v="1"/>
    <s v="Vestdanmark"/>
    <x v="0"/>
    <x v="2"/>
    <n v="2829.8956304621011"/>
  </r>
  <r>
    <x v="1"/>
    <s v="Vestdanmark"/>
    <x v="23"/>
    <x v="2"/>
    <n v="75018.541590975714"/>
  </r>
  <r>
    <x v="1"/>
    <s v="Vestdanmark"/>
    <x v="24"/>
    <x v="2"/>
    <n v="314623.32990126638"/>
  </r>
  <r>
    <x v="1"/>
    <s v="Vestdanmark"/>
    <x v="25"/>
    <x v="2"/>
    <n v="4087.499270945189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368903.15449678036"/>
  </r>
  <r>
    <x v="1"/>
    <s v="Østdanmark"/>
    <x v="15"/>
    <x v="1"/>
    <n v="288888.89650394162"/>
  </r>
  <r>
    <x v="1"/>
    <s v="Østdanmark"/>
    <x v="16"/>
    <x v="1"/>
    <n v="343.90927691691036"/>
  </r>
  <r>
    <x v="1"/>
    <s v="Østdanmark"/>
    <x v="17"/>
    <x v="1"/>
    <n v="1268261.6207501648"/>
  </r>
  <r>
    <x v="1"/>
    <s v="Østdanmark"/>
    <x v="18"/>
    <x v="1"/>
    <n v="338356.39370541024"/>
  </r>
  <r>
    <x v="1"/>
    <s v="Østdanmark"/>
    <x v="19"/>
    <x v="1"/>
    <n v="277863.15909117949"/>
  </r>
  <r>
    <x v="1"/>
    <s v="Østdanmark"/>
    <x v="20"/>
    <x v="1"/>
    <n v="89768.678720521071"/>
  </r>
  <r>
    <x v="1"/>
    <s v="Østdanmark"/>
    <x v="21"/>
    <x v="1"/>
    <n v="0"/>
  </r>
  <r>
    <x v="1"/>
    <s v="Østdanmark"/>
    <x v="22"/>
    <x v="1"/>
    <n v="23174.608981989095"/>
  </r>
  <r>
    <x v="1"/>
    <s v="Østdanmark"/>
    <x v="0"/>
    <x v="1"/>
    <n v="956.10436953789804"/>
  </r>
  <r>
    <x v="1"/>
    <s v="Østdanmark"/>
    <x v="23"/>
    <x v="1"/>
    <n v="10658.458409024295"/>
  </r>
  <r>
    <x v="1"/>
    <s v="Østdanmark"/>
    <x v="24"/>
    <x v="1"/>
    <n v="15402.670098733543"/>
  </r>
  <r>
    <x v="1"/>
    <s v="Østdanmark"/>
    <x v="25"/>
    <x v="1"/>
    <n v="24557.500729054813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368903.15449678036"/>
  </r>
  <r>
    <x v="1"/>
    <s v="Østdanmark"/>
    <x v="15"/>
    <x v="2"/>
    <n v="288888.89650394162"/>
  </r>
  <r>
    <x v="1"/>
    <s v="Østdanmark"/>
    <x v="16"/>
    <x v="2"/>
    <n v="343.90927691691036"/>
  </r>
  <r>
    <x v="1"/>
    <s v="Østdanmark"/>
    <x v="17"/>
    <x v="2"/>
    <n v="1327571.6466098325"/>
  </r>
  <r>
    <x v="1"/>
    <s v="Østdanmark"/>
    <x v="18"/>
    <x v="2"/>
    <n v="339730.46992612345"/>
  </r>
  <r>
    <x v="1"/>
    <s v="Østdanmark"/>
    <x v="19"/>
    <x v="2"/>
    <n v="278778.73742725787"/>
  </r>
  <r>
    <x v="1"/>
    <s v="Østdanmark"/>
    <x v="20"/>
    <x v="2"/>
    <n v="89768.678720521071"/>
  </r>
  <r>
    <x v="1"/>
    <s v="Østdanmark"/>
    <x v="21"/>
    <x v="2"/>
    <n v="0"/>
  </r>
  <r>
    <x v="1"/>
    <s v="Østdanmark"/>
    <x v="22"/>
    <x v="2"/>
    <n v="23174.608981989095"/>
  </r>
  <r>
    <x v="1"/>
    <s v="Østdanmark"/>
    <x v="0"/>
    <x v="2"/>
    <n v="956.10436953789804"/>
  </r>
  <r>
    <x v="1"/>
    <s v="Østdanmark"/>
    <x v="23"/>
    <x v="2"/>
    <n v="10658.458409024295"/>
  </r>
  <r>
    <x v="1"/>
    <s v="Østdanmark"/>
    <x v="24"/>
    <x v="2"/>
    <n v="15402.670098733543"/>
  </r>
  <r>
    <x v="1"/>
    <s v="Østdanmark"/>
    <x v="25"/>
    <x v="2"/>
    <n v="24557.50072905481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42"/>
  </r>
  <r>
    <x v="2"/>
    <s v="Vestdanmark"/>
    <x v="22"/>
    <x v="1"/>
    <n v="773085.89354292618"/>
  </r>
  <r>
    <x v="2"/>
    <s v="Vestdanmark"/>
    <x v="2"/>
    <x v="1"/>
    <n v="0"/>
  </r>
  <r>
    <x v="2"/>
    <s v="Vestdanmark"/>
    <x v="5"/>
    <x v="1"/>
    <n v="64498.47547519199"/>
  </r>
  <r>
    <x v="2"/>
    <s v="Vestdanmark"/>
    <x v="25"/>
    <x v="1"/>
    <n v="841167.61765562883"/>
  </r>
  <r>
    <x v="2"/>
    <s v="Vestdanmark"/>
    <x v="24"/>
    <x v="1"/>
    <n v="5657053.7864699634"/>
  </r>
  <r>
    <x v="2"/>
    <s v="Vestdanmark"/>
    <x v="28"/>
    <x v="1"/>
    <n v="214099.1060912622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3"/>
  </r>
  <r>
    <x v="2"/>
    <s v="Vestdanmark"/>
    <x v="29"/>
    <x v="1"/>
    <n v="1515714.1736670118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35"/>
  </r>
  <r>
    <x v="2"/>
    <s v="Vestdanmark"/>
    <x v="0"/>
    <x v="2"/>
    <n v="5879215.2019956242"/>
  </r>
  <r>
    <x v="2"/>
    <s v="Vestdanmark"/>
    <x v="22"/>
    <x v="2"/>
    <n v="773085.89354292618"/>
  </r>
  <r>
    <x v="2"/>
    <s v="Vestdanmark"/>
    <x v="2"/>
    <x v="2"/>
    <n v="0"/>
  </r>
  <r>
    <x v="2"/>
    <s v="Vestdanmark"/>
    <x v="5"/>
    <x v="2"/>
    <n v="64498.47547519199"/>
  </r>
  <r>
    <x v="2"/>
    <s v="Vestdanmark"/>
    <x v="25"/>
    <x v="2"/>
    <n v="841167.61765562883"/>
  </r>
  <r>
    <x v="2"/>
    <s v="Vestdanmark"/>
    <x v="24"/>
    <x v="2"/>
    <n v="5657053.7864699634"/>
  </r>
  <r>
    <x v="2"/>
    <s v="Vestdanmark"/>
    <x v="28"/>
    <x v="2"/>
    <n v="214099.1060912622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3"/>
  </r>
  <r>
    <x v="2"/>
    <s v="Vestdanmark"/>
    <x v="29"/>
    <x v="2"/>
    <n v="1515714.1736670118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3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47"/>
  </r>
  <r>
    <x v="2"/>
    <s v="Østdanmark"/>
    <x v="22"/>
    <x v="2"/>
    <n v="94889.448034412562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1"/>
  </r>
  <r>
    <x v="2"/>
    <s v="Østdanmark"/>
    <x v="24"/>
    <x v="2"/>
    <n v="694353.26110928762"/>
  </r>
  <r>
    <x v="2"/>
    <s v="Østdanmark"/>
    <x v="28"/>
    <x v="2"/>
    <n v="26278.769501998377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5"/>
  </r>
  <r>
    <x v="2"/>
    <s v="Østdanmark"/>
    <x v="29"/>
    <x v="2"/>
    <n v="186040.49371289229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84"/>
  </r>
  <r>
    <x v="2"/>
    <s v="Østdanmark"/>
    <x v="33"/>
    <x v="2"/>
    <n v="592646.72642582119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4488.8479346768"/>
  </r>
  <r>
    <x v="3"/>
    <s v="Vestdanmark"/>
    <x v="34"/>
    <x v="1"/>
    <n v="152428.80484947297"/>
  </r>
  <r>
    <x v="3"/>
    <s v="Vestdanmark"/>
    <x v="35"/>
    <x v="1"/>
    <n v="146406.17107700335"/>
  </r>
  <r>
    <x v="3"/>
    <s v="Vestdanmark"/>
    <x v="36"/>
    <x v="1"/>
    <n v="2205884.090694555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6661.0472697906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21051.89355285291"/>
  </r>
  <r>
    <x v="3"/>
    <s v="Østdanmark"/>
    <x v="34"/>
    <x v="1"/>
    <n v="61470.347166373227"/>
  </r>
  <r>
    <x v="3"/>
    <s v="Østdanmark"/>
    <x v="35"/>
    <x v="1"/>
    <n v="34748.143170077739"/>
  </r>
  <r>
    <x v="3"/>
    <s v="Østdanmark"/>
    <x v="36"/>
    <x v="1"/>
    <n v="645672.88485303381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572.60690670041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84488.8479346768"/>
  </r>
  <r>
    <x v="3"/>
    <s v="Vestdanmark"/>
    <x v="34"/>
    <x v="2"/>
    <n v="152428.80484947297"/>
  </r>
  <r>
    <x v="3"/>
    <s v="Vestdanmark"/>
    <x v="35"/>
    <x v="2"/>
    <n v="146406.17107700335"/>
  </r>
  <r>
    <x v="3"/>
    <s v="Vestdanmark"/>
    <x v="36"/>
    <x v="2"/>
    <n v="2033510.9249418937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63872.73439718515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21051.89355285291"/>
  </r>
  <r>
    <x v="3"/>
    <s v="Østdanmark"/>
    <x v="34"/>
    <x v="2"/>
    <n v="61470.347166373227"/>
  </r>
  <r>
    <x v="3"/>
    <s v="Østdanmark"/>
    <x v="35"/>
    <x v="2"/>
    <n v="34748.143170077739"/>
  </r>
  <r>
    <x v="3"/>
    <s v="Østdanmark"/>
    <x v="36"/>
    <x v="2"/>
    <n v="595218.430028198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5048.2618937444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2876380.307038061"/>
  </r>
  <r>
    <x v="5"/>
    <s v="Vestdanmark"/>
    <x v="15"/>
    <x v="1"/>
    <n v="9053053.5187086407"/>
  </r>
  <r>
    <x v="5"/>
    <s v="Vestdanmark"/>
    <x v="16"/>
    <x v="1"/>
    <n v="4097.5907230830899"/>
  </r>
  <r>
    <x v="5"/>
    <s v="Vestdanmark"/>
    <x v="20"/>
    <x v="1"/>
    <n v="726090.22762539925"/>
  </r>
  <r>
    <x v="5"/>
    <s v="Vestdanmark"/>
    <x v="38"/>
    <x v="1"/>
    <n v="6960723.7107095271"/>
  </r>
  <r>
    <x v="5"/>
    <s v="Vestdanmark"/>
    <x v="39"/>
    <x v="1"/>
    <n v="518382.89357522689"/>
  </r>
  <r>
    <x v="5"/>
    <s v="Vestdanmark"/>
    <x v="14"/>
    <x v="2"/>
    <n v="12876380.307038061"/>
  </r>
  <r>
    <x v="5"/>
    <s v="Vestdanmark"/>
    <x v="15"/>
    <x v="2"/>
    <n v="9053053.5187086407"/>
  </r>
  <r>
    <x v="5"/>
    <s v="Vestdanmark"/>
    <x v="16"/>
    <x v="2"/>
    <n v="4097.5907230830899"/>
  </r>
  <r>
    <x v="5"/>
    <s v="Vestdanmark"/>
    <x v="20"/>
    <x v="2"/>
    <n v="726090.22762539925"/>
  </r>
  <r>
    <x v="5"/>
    <s v="Vestdanmark"/>
    <x v="38"/>
    <x v="2"/>
    <n v="6917063.4331097705"/>
  </r>
  <r>
    <x v="5"/>
    <s v="Vestdanmark"/>
    <x v="39"/>
    <x v="2"/>
    <n v="520293.0307202160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865750.3596286045"/>
  </r>
  <r>
    <x v="5"/>
    <s v="Østdanmark"/>
    <x v="15"/>
    <x v="1"/>
    <n v="643436.81462469185"/>
  </r>
  <r>
    <x v="5"/>
    <s v="Østdanmark"/>
    <x v="16"/>
    <x v="1"/>
    <n v="343.90927691691041"/>
  </r>
  <r>
    <x v="5"/>
    <s v="Østdanmark"/>
    <x v="20"/>
    <x v="1"/>
    <n v="97674.765231743775"/>
  </r>
  <r>
    <x v="5"/>
    <s v="Østdanmark"/>
    <x v="38"/>
    <x v="1"/>
    <n v="1820221.068051053"/>
  </r>
  <r>
    <x v="5"/>
    <s v="Østdanmark"/>
    <x v="39"/>
    <x v="1"/>
    <n v="372087.80038220529"/>
  </r>
  <r>
    <x v="5"/>
    <s v="Østdanmark"/>
    <x v="14"/>
    <x v="2"/>
    <n v="1865750.3596286045"/>
  </r>
  <r>
    <x v="5"/>
    <s v="Østdanmark"/>
    <x v="15"/>
    <x v="2"/>
    <n v="643436.81462469185"/>
  </r>
  <r>
    <x v="5"/>
    <s v="Østdanmark"/>
    <x v="16"/>
    <x v="2"/>
    <n v="343.90927691691041"/>
  </r>
  <r>
    <x v="5"/>
    <s v="Østdanmark"/>
    <x v="20"/>
    <x v="2"/>
    <n v="97674.765231743775"/>
  </r>
  <r>
    <x v="5"/>
    <s v="Østdanmark"/>
    <x v="38"/>
    <x v="2"/>
    <n v="1839918.144943662"/>
  </r>
  <r>
    <x v="5"/>
    <s v="Østdanmark"/>
    <x v="39"/>
    <x v="2"/>
    <n v="371226.05326815369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476340.01515460305"/>
  </r>
  <r>
    <x v="7"/>
    <s v="Vestdanmark"/>
    <x v="40"/>
    <x v="2"/>
    <n v="476340.01515460305"/>
  </r>
  <r>
    <x v="7"/>
    <s v="Østdanmark"/>
    <x v="40"/>
    <x v="0"/>
    <n v="193574.13238370849"/>
  </r>
  <r>
    <x v="7"/>
    <s v="Østdanmark"/>
    <x v="40"/>
    <x v="1"/>
    <n v="192094.83489491633"/>
  </r>
  <r>
    <x v="7"/>
    <s v="Østdanmark"/>
    <x v="40"/>
    <x v="2"/>
    <n v="192094.8348949163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27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25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25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24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2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2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2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2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2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27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2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46" sqref="B46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4" t="s">
        <v>278</v>
      </c>
      <c r="B1" s="344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3" t="s">
        <v>277</v>
      </c>
      <c r="B4" s="343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5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5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S169"/>
  <sheetViews>
    <sheetView topLeftCell="A19" zoomScale="70" zoomScaleNormal="70" workbookViewId="0">
      <selection activeCell="O180" sqref="O18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7" width="9.140625" style="1"/>
    <col min="8" max="8" width="11.7109375" style="1" customWidth="1"/>
    <col min="9" max="9" width="9.140625" style="1"/>
    <col min="10" max="10" width="10.85546875" style="1" bestFit="1" customWidth="1"/>
    <col min="11" max="16384" width="9.140625" style="1"/>
  </cols>
  <sheetData>
    <row r="1" spans="1:19" ht="15" customHeight="1" x14ac:dyDescent="0.25">
      <c r="A1" s="255" t="s">
        <v>305</v>
      </c>
      <c r="B1" s="254"/>
      <c r="C1" s="346" t="s">
        <v>304</v>
      </c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</row>
    <row r="2" spans="1:19" ht="15" customHeight="1" x14ac:dyDescent="0.25">
      <c r="A2" s="254"/>
      <c r="B2" s="254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</row>
    <row r="3" spans="1:19" x14ac:dyDescent="0.25">
      <c r="A3" s="75"/>
    </row>
    <row r="9" spans="1:19" x14ac:dyDescent="0.25">
      <c r="Q9" s="1">
        <f>561900</f>
        <v>561900</v>
      </c>
      <c r="R9" s="1">
        <f>961900</f>
        <v>961900</v>
      </c>
      <c r="S9" s="1">
        <v>1395000</v>
      </c>
    </row>
    <row r="10" spans="1:19" x14ac:dyDescent="0.25">
      <c r="Q10" s="15">
        <f>Q9/4293300</f>
        <v>0.13087834532876808</v>
      </c>
      <c r="R10" s="15">
        <f t="shared" ref="R10:S10" si="0">R9/4293300</f>
        <v>0.22404677054946079</v>
      </c>
      <c r="S10" s="15">
        <f t="shared" si="0"/>
        <v>0.32492488295716582</v>
      </c>
    </row>
    <row r="123" spans="3:3" x14ac:dyDescent="0.25">
      <c r="C123" s="182"/>
    </row>
    <row r="166" spans="7:11" x14ac:dyDescent="0.25">
      <c r="H166" s="1">
        <v>2030</v>
      </c>
      <c r="I166" s="1">
        <v>2030</v>
      </c>
      <c r="J166" s="1">
        <v>2050</v>
      </c>
      <c r="K166" s="1">
        <v>2050</v>
      </c>
    </row>
    <row r="167" spans="7:11" x14ac:dyDescent="0.25">
      <c r="H167" s="1" t="s">
        <v>343</v>
      </c>
      <c r="I167" s="1" t="s">
        <v>344</v>
      </c>
      <c r="J167" s="1" t="str">
        <f>H167</f>
        <v>ton vv</v>
      </c>
      <c r="K167" s="1" t="str">
        <f>I167</f>
        <v>gødning</v>
      </c>
    </row>
    <row r="168" spans="7:11" x14ac:dyDescent="0.25">
      <c r="G168" s="1" t="s">
        <v>341</v>
      </c>
      <c r="H168" s="182">
        <f ca="1">'Resultat-Produktion &amp; forbrug'!N55+'Resultat-Produktion &amp; forbrug'!N199</f>
        <v>3351434.4059226979</v>
      </c>
      <c r="J168" s="182">
        <f ca="1">'Resultat-Produktion &amp; forbrug'!N55+'Resultat-Produktion &amp; forbrug'!N199</f>
        <v>3351434.4059226979</v>
      </c>
    </row>
    <row r="169" spans="7:11" x14ac:dyDescent="0.25">
      <c r="G169" s="1" t="s">
        <v>342</v>
      </c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3"/>
  <sheetViews>
    <sheetView tabSelected="1" zoomScale="70" zoomScaleNormal="70" workbookViewId="0">
      <selection activeCell="K43" sqref="K43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4" width="11.42578125" style="1" bestFit="1" customWidth="1"/>
    <col min="5" max="5" width="18.7109375" style="1" bestFit="1" customWidth="1"/>
    <col min="6" max="6" width="15.5703125" style="1" bestFit="1" customWidth="1"/>
    <col min="7" max="7" width="25.7109375" style="1" customWidth="1"/>
    <col min="8" max="8" width="9.140625" style="1"/>
    <col min="9" max="9" width="32.42578125" style="1" bestFit="1" customWidth="1"/>
    <col min="10" max="10" width="17.42578125" style="1" bestFit="1" customWidth="1"/>
    <col min="11" max="12" width="13.140625" style="1" bestFit="1" customWidth="1"/>
    <col min="13" max="13" width="15.85546875" style="1" bestFit="1" customWidth="1"/>
    <col min="14" max="15" width="13.140625" style="1" bestFit="1" customWidth="1"/>
    <col min="16" max="16" width="15.85546875" style="1" bestFit="1" customWidth="1"/>
    <col min="17" max="18" width="13.140625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f>D3</f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f>D4</f>
        <v>21770</v>
      </c>
      <c r="D4" s="22">
        <v>21770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/>
      <c r="D5" s="9"/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36</v>
      </c>
      <c r="B6" s="2" t="s">
        <v>275</v>
      </c>
      <c r="C6" s="9"/>
      <c r="D6" s="9"/>
      <c r="E6" s="9" t="s">
        <v>276</v>
      </c>
      <c r="F6" s="110" t="s">
        <v>9</v>
      </c>
      <c r="G6" s="110" t="s">
        <v>10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2399636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2399636</v>
      </c>
      <c r="Q6" s="18">
        <f t="shared" si="1"/>
        <v>78731.999999999985</v>
      </c>
      <c r="R6" s="18">
        <f t="shared" si="1"/>
        <v>1.9999999999936335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561900</v>
      </c>
      <c r="N7" s="18">
        <f t="shared" si="2"/>
        <v>0</v>
      </c>
      <c r="O7" s="18">
        <f t="shared" si="2"/>
        <v>0</v>
      </c>
      <c r="P7" s="18">
        <f t="shared" si="2"/>
        <v>561900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83268</v>
      </c>
      <c r="R8" s="18">
        <f t="shared" si="3"/>
        <v>128997.99999999999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  <c r="P13" s="15">
        <f>P7/4293300</f>
        <v>0.13087834532876808</v>
      </c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1847465.5978301479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1847465.5978301479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71071.913970687048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434670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434670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75166.592141837755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552170.40216985194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552170.40216985194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7660.0860293129354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127230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127230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8101.4078581622398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  <row r="42" spans="9:18" x14ac:dyDescent="0.25">
      <c r="I42" s="382">
        <v>9725466</v>
      </c>
      <c r="J42" s="382">
        <v>6549978</v>
      </c>
      <c r="K42" s="382">
        <f>I42-J42</f>
        <v>3175488</v>
      </c>
    </row>
    <row r="43" spans="9:18" x14ac:dyDescent="0.25">
      <c r="K43" s="1">
        <f>1-J42/I42</f>
        <v>0.32651268329969996</v>
      </c>
    </row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7" zoomScale="70" zoomScaleNormal="70" workbookViewId="0">
      <selection activeCell="F34" sqref="F34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C5</f>
        <v>0.11336632437979943</v>
      </c>
      <c r="E5" s="8">
        <f>D5</f>
        <v>0.11336632437979943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3.9915791472992262E-2</v>
      </c>
      <c r="E6" s="8">
        <f t="shared" si="0"/>
        <v>3.9915791472992262E-2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0.15042455841097679</v>
      </c>
      <c r="E7" s="8">
        <f t="shared" si="0"/>
        <v>0.15042455841097679</v>
      </c>
      <c r="F7" s="12" t="s">
        <v>66</v>
      </c>
      <c r="G7" s="12"/>
      <c r="I7" s="114">
        <f>C7+D$5-C$5</f>
        <v>0.15042455841097679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0.14212072473400883</v>
      </c>
      <c r="E8" s="8">
        <f t="shared" si="0"/>
        <v>0.14212072473400883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f>C16</f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f>C17</f>
        <v>0.59345000000000003</v>
      </c>
      <c r="E17" s="3">
        <f>D17</f>
        <v>0.59345000000000003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f>C18</f>
        <v>1</v>
      </c>
      <c r="E18" s="3">
        <f>D18</f>
        <v>1</v>
      </c>
      <c r="F18" s="12"/>
      <c r="G18" s="182"/>
    </row>
    <row r="20" spans="2:11" x14ac:dyDescent="0.25">
      <c r="B20" s="349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9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787.31999999999982</v>
      </c>
      <c r="E26" s="10">
        <f>1%*Arealanvendelse!Q6</f>
        <v>787.31999999999982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1.9999999999936336E-2</v>
      </c>
      <c r="E27" s="116">
        <f>1%*Arealanvendelse!R6</f>
        <v>1.9999999999936336E-2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7" t="s">
        <v>333</v>
      </c>
      <c r="C30" s="25"/>
      <c r="D30" s="25"/>
      <c r="E30" s="25"/>
      <c r="K30" s="12"/>
    </row>
    <row r="31" spans="2:11" x14ac:dyDescent="0.25">
      <c r="B31" s="348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 t="shared" ref="E32:E45" si="1"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E33" si="2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ref="D34:E34" si="3">C34</f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 t="shared" ref="D35:E35" si="4">C35</f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ref="D36:E36" si="5">C36</f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ref="D37:E37" si="6">C37</f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ref="D38:E38" si="7">C38</f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ref="D39:E39" si="8">C39</f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ref="D40:E40" si="9">C40</f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ref="D41:E41" si="10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ref="D42:E42" si="11">C42</f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ref="D43:E43" si="12">C43</f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 t="shared" ref="D44:E44" si="13"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 t="shared" ref="D45:E45" si="14">C45</f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23996.36</v>
      </c>
      <c r="E48" s="115">
        <f>1%*Arealanvendelse!P6</f>
        <v>23996.36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5" sqref="D15: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 t="shared" ref="E3:E13" si="0">D3</f>
        <v>0.39994582515067378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4" si="1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f t="shared" ref="D5:E5" si="2">C5</f>
        <v>0</v>
      </c>
      <c r="E5" s="314">
        <f t="shared" si="0"/>
        <v>0</v>
      </c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f t="shared" ref="D6:E6" si="3">C6</f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f t="shared" ref="D7:E7" si="4">C7</f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f t="shared" ref="D8:E8" si="5">C8</f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f t="shared" ref="D9:E9" si="6">C9</f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f t="shared" ref="D10:E10" si="7">C10</f>
        <v>0</v>
      </c>
      <c r="E10" s="314">
        <f t="shared" si="0"/>
        <v>0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f t="shared" ref="D11:E11" si="8">C11</f>
        <v>0</v>
      </c>
      <c r="E11" s="314">
        <f t="shared" si="0"/>
        <v>0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f t="shared" ref="D12:E12" si="9">C12</f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ref="D13:E13" si="10">C13</f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0</v>
      </c>
      <c r="E14" s="119">
        <f>ROUND('[1]Processer - data'!J$469/'[1]Processer - data'!J$468*E15*'[1]Processer - data'!$H$429/'[1]Processer - data'!$H$430,3)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f t="shared" ref="D15:E15" si="11">C15</f>
        <v>0</v>
      </c>
      <c r="E15" s="314">
        <f t="shared" si="11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ref="D16:E16" si="12">C16</f>
        <v>8.1939459605877979E-3</v>
      </c>
      <c r="E16" s="314">
        <f t="shared" si="12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ref="D17:E17" si="13">C17</f>
        <v>0.27128055800094808</v>
      </c>
      <c r="E17" s="314">
        <f t="shared" si="13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4">SUM(D3:D17)</f>
        <v>1</v>
      </c>
      <c r="E18" s="121">
        <f t="shared" si="14"/>
        <v>1</v>
      </c>
      <c r="F18" s="318" t="s">
        <v>326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C13" sqref="C13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180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4904.8330614307561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1435.6682320055097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4904.8330614307561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1435.6682320055097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5299.5579073842573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1551.2060932580989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529.95579073842566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155.12060932580988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4904.8330614307561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1435.6682320055097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4904.8330614307561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1435.6682320055097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5299.5579073842573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1551.2060932580989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529.95579073842566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155.12060932580988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4904.8330614307561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1435.6682320055097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4904.8330614307561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1435.6682320055097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5299.5579073842573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1551.2060932580989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529.95579073842566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155.12060932580988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4904.8330614307561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1435.6682320055097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4904.8330614307561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1435.6682320055097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5299.5579073842573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1551.2060932580989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529.95579073842566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155.12060932580988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0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51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5829.5136981226833</v>
      </c>
      <c r="D50" s="109">
        <f t="shared" si="0"/>
        <v>15639.179820984195</v>
      </c>
      <c r="E50" s="109">
        <f t="shared" si="0"/>
        <v>0</v>
      </c>
      <c r="F50" s="109">
        <f t="shared" si="0"/>
        <v>1706.3267025839089</v>
      </c>
      <c r="G50" s="109">
        <f t="shared" si="0"/>
        <v>4577.663166594928</v>
      </c>
      <c r="H50" s="109">
        <f t="shared" ref="H50:H54" si="2">SUM(B50,E50)</f>
        <v>0</v>
      </c>
      <c r="I50" s="109">
        <f t="shared" si="1"/>
        <v>7535.8404007065919</v>
      </c>
      <c r="J50" s="109">
        <f t="shared" si="1"/>
        <v>20216.842987579123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5829.5136981226833</v>
      </c>
      <c r="D51" s="109">
        <f t="shared" si="0"/>
        <v>15639.179820984195</v>
      </c>
      <c r="E51" s="109">
        <f t="shared" si="0"/>
        <v>0</v>
      </c>
      <c r="F51" s="109">
        <f t="shared" si="0"/>
        <v>1706.3267025839089</v>
      </c>
      <c r="G51" s="109">
        <f t="shared" si="0"/>
        <v>4577.663166594928</v>
      </c>
      <c r="H51" s="109">
        <f t="shared" si="2"/>
        <v>0</v>
      </c>
      <c r="I51" s="109">
        <f t="shared" si="1"/>
        <v>7535.8404007065919</v>
      </c>
      <c r="J51" s="109">
        <f t="shared" si="1"/>
        <v>20216.842987579123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5829.5136981226833</v>
      </c>
      <c r="D52" s="109">
        <f t="shared" si="0"/>
        <v>15639.179820984195</v>
      </c>
      <c r="E52" s="109">
        <f t="shared" si="0"/>
        <v>0</v>
      </c>
      <c r="F52" s="109">
        <f t="shared" si="0"/>
        <v>1706.3267025839089</v>
      </c>
      <c r="G52" s="109">
        <f t="shared" si="0"/>
        <v>4577.663166594928</v>
      </c>
      <c r="H52" s="109">
        <f t="shared" si="2"/>
        <v>0</v>
      </c>
      <c r="I52" s="109">
        <f t="shared" si="1"/>
        <v>7535.8404007065919</v>
      </c>
      <c r="J52" s="109">
        <f t="shared" si="1"/>
        <v>20216.842987579123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5829.5136981226833</v>
      </c>
      <c r="D53" s="109">
        <f t="shared" si="0"/>
        <v>15639.179820984195</v>
      </c>
      <c r="E53" s="109">
        <f t="shared" si="0"/>
        <v>0</v>
      </c>
      <c r="F53" s="109">
        <f t="shared" si="0"/>
        <v>1706.3267025839089</v>
      </c>
      <c r="G53" s="109">
        <f t="shared" si="0"/>
        <v>4577.663166594928</v>
      </c>
      <c r="H53" s="109">
        <f t="shared" si="2"/>
        <v>0</v>
      </c>
      <c r="I53" s="109">
        <f t="shared" si="1"/>
        <v>7535.8404007065919</v>
      </c>
      <c r="J53" s="109">
        <f t="shared" si="1"/>
        <v>20216.842987579123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2" t="s">
        <v>327</v>
      </c>
      <c r="D2" s="352"/>
      <c r="E2" s="352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f>C4</f>
        <v>4.0614334470989747E-3</v>
      </c>
      <c r="E4" s="8">
        <f t="shared" ref="E4:E7" si="0">D4</f>
        <v>4.0614334470989747E-3</v>
      </c>
      <c r="F4" s="324">
        <f>(9.6+43.4+265+84.7+55.6+112.4+6.1+10.5+121.4+27.4+89.4+13.5+12.6+0.4+218.5+0.9+3.9+3.4+5+0.4)*100</f>
        <v>108410.00000000003</v>
      </c>
      <c r="G4" s="353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f t="shared" ref="D5:E5" si="1">C5</f>
        <v>2.2156573116691284E-5</v>
      </c>
      <c r="E5" s="8">
        <f t="shared" si="0"/>
        <v>2.2156573116691284E-5</v>
      </c>
      <c r="F5" s="110">
        <f>(207.3+16.1+47.4)*100</f>
        <v>27080</v>
      </c>
      <c r="G5" s="353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f t="shared" ref="D6:E6" si="2">C6</f>
        <v>2.8333333333333332E-2</v>
      </c>
      <c r="E6" s="3">
        <f t="shared" si="0"/>
        <v>2.8333333333333332E-2</v>
      </c>
      <c r="F6" s="324">
        <v>600</v>
      </c>
      <c r="G6" s="354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f t="shared" ref="D7:E7" si="3">C7</f>
        <v>0</v>
      </c>
      <c r="E7" s="3">
        <f t="shared" si="0"/>
        <v>0</v>
      </c>
      <c r="F7" s="324">
        <v>200</v>
      </c>
      <c r="G7" s="354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4">D4*$F4</f>
        <v>440.29999999999995</v>
      </c>
      <c r="D12" s="1">
        <f t="shared" si="4"/>
        <v>440.29999999999995</v>
      </c>
      <c r="E12" s="1">
        <f>C5*$F$5</f>
        <v>0.6</v>
      </c>
      <c r="F12" s="1">
        <f t="shared" ref="F12:G12" si="5">D5*$F$5</f>
        <v>0.6</v>
      </c>
      <c r="G12" s="1">
        <f t="shared" si="5"/>
        <v>0.6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6">D6*$F6</f>
        <v>17</v>
      </c>
      <c r="D13" s="1">
        <f t="shared" si="6"/>
        <v>17</v>
      </c>
      <c r="E13" s="1">
        <f>C7*$F$7</f>
        <v>0</v>
      </c>
      <c r="F13" s="1">
        <f t="shared" ref="F13:G13" si="7">D7*$F$7</f>
        <v>0</v>
      </c>
      <c r="G13" s="1">
        <f t="shared" si="7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206284.26164707771</v>
      </c>
      <c r="J5" s="10">
        <f>SUMIFS('Resultat-Produktion &amp; forbrug'!$N$3:$N$1000,'Resultat-Produktion &amp; forbrug'!$A$3:$A$1000,Adfærd!$G5,'Resultat-Produktion &amp; forbrug'!$D$3:$D$1000,Adfærd!J$4)</f>
        <v>206284.26164707771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880.09999999999991</v>
      </c>
      <c r="J6" s="10">
        <f>SUMIFS('Resultat-Produktion &amp; forbrug'!$N$3:$N$1000,'Resultat-Produktion &amp; forbrug'!$A$3:$A$1000,Adfærd!$G6,'Resultat-Produktion &amp; forbrug'!$D$3:$D$1000,Adfærd!J$4)</f>
        <v>880.09999999999991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382.5</v>
      </c>
      <c r="J7" s="10">
        <f>SUMIFS('Resultat-Produktion &amp; forbrug'!$N$3:$N$1000,'Resultat-Produktion &amp; forbrug'!$A$3:$A$1000,Adfærd!$G7,'Resultat-Produktion &amp; forbrug'!$D$3:$D$1000,Adfærd!J$4)</f>
        <v>382.5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18" sqref="D18:E28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8" t="s">
        <v>335</v>
      </c>
      <c r="G2" s="359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f>B3</f>
        <v>0.16508293217043288</v>
      </c>
      <c r="D3" s="181">
        <f t="shared" ref="D3:D8" si="0">C3</f>
        <v>0.16508293217043288</v>
      </c>
      <c r="E3" s="158" t="s">
        <v>340</v>
      </c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0.72376115558984744</v>
      </c>
      <c r="AC3" s="126">
        <f>SUM(E12:E14)/SUM(E12:E15)</f>
        <v>0.71548273300990206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f t="shared" ref="C4:D4" si="1">B4</f>
        <v>0.30985833926453143</v>
      </c>
      <c r="D4" s="181">
        <f t="shared" si="0"/>
        <v>0.30985833926453143</v>
      </c>
      <c r="E4" s="158" t="s">
        <v>340</v>
      </c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f t="shared" ref="C5:D5" si="2">B5</f>
        <v>0.5</v>
      </c>
      <c r="D5" s="181">
        <f t="shared" si="0"/>
        <v>0.5</v>
      </c>
      <c r="E5" s="158" t="s">
        <v>340</v>
      </c>
      <c r="F5" s="174"/>
      <c r="G5" s="175"/>
      <c r="H5" s="127"/>
      <c r="N5" s="248"/>
      <c r="Z5" s="125" t="s">
        <v>136</v>
      </c>
      <c r="AA5" s="147">
        <f t="shared" ref="AA5:AC6" si="3">C12/C$29</f>
        <v>0.22267199142680771</v>
      </c>
      <c r="AB5" s="147">
        <f t="shared" si="3"/>
        <v>0.22086676795564456</v>
      </c>
      <c r="AC5" s="147">
        <f t="shared" si="3"/>
        <v>0.21893796265972837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f t="shared" ref="C6:D6" si="4">B6</f>
        <v>0.37924884410556858</v>
      </c>
      <c r="D6" s="181">
        <f t="shared" si="0"/>
        <v>0.37924884410556858</v>
      </c>
      <c r="E6" s="158"/>
      <c r="F6" s="174"/>
      <c r="G6" s="175"/>
      <c r="H6" s="128"/>
      <c r="Z6" s="129" t="s">
        <v>137</v>
      </c>
      <c r="AA6" s="147">
        <f t="shared" si="3"/>
        <v>0.33257225498473725</v>
      </c>
      <c r="AB6" s="147">
        <f t="shared" si="3"/>
        <v>0.32987605939808468</v>
      </c>
      <c r="AC6" s="147">
        <f t="shared" si="3"/>
        <v>0.32699528789835974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f t="shared" ref="C7:D7" si="5">B7</f>
        <v>0.25812101313640656</v>
      </c>
      <c r="D7" s="181">
        <f t="shared" si="0"/>
        <v>0.25812101313640656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f t="shared" ref="C8:D8" si="6">B8</f>
        <v>0</v>
      </c>
      <c r="D8" s="181">
        <f t="shared" si="0"/>
        <v>0</v>
      </c>
      <c r="F8" s="177"/>
      <c r="G8" s="178"/>
      <c r="I8" s="159"/>
    </row>
    <row r="10" spans="1:29" ht="23.45" customHeight="1" x14ac:dyDescent="0.2">
      <c r="A10" s="129"/>
      <c r="B10" s="130"/>
      <c r="C10" s="356" t="s">
        <v>211</v>
      </c>
      <c r="D10" s="356"/>
      <c r="E10" s="356"/>
      <c r="F10" s="355" t="s">
        <v>336</v>
      </c>
      <c r="G10" s="355"/>
      <c r="J10" s="357" t="s">
        <v>212</v>
      </c>
      <c r="K10" s="357"/>
      <c r="L10" s="357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2914869.3333333335</v>
      </c>
      <c r="E12" s="133">
        <f>SUMIFS('Resultater - Danmark'!J$3:J$482,'Resultater - Danmark'!$F$3:$F$482,$A12)*D3</f>
        <v>2914869.3333333335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14742130.666666668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14742130.666666668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7">C12/C$29</f>
        <v>0.22267199142680771</v>
      </c>
      <c r="K12" s="134">
        <f t="shared" ref="K12:K28" si="8">D12/D$29</f>
        <v>0.22086676795564456</v>
      </c>
      <c r="L12" s="134">
        <f t="shared" ref="L12:L28" si="9">E12/E$29</f>
        <v>0.21893796265972837</v>
      </c>
      <c r="M12" s="125" t="s">
        <v>213</v>
      </c>
      <c r="N12" s="125">
        <f>S12+2/3*T12</f>
        <v>2914869.3333333335</v>
      </c>
      <c r="O12" s="152">
        <f t="shared" ref="O12:O16" si="10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4353509.666666667</v>
      </c>
      <c r="E13" s="136">
        <f>SUMIFS('Resultater - Danmark'!J$3:J$482,'Resultater - Danmark'!$F$3:$F$482,$A13)*D4</f>
        <v>4353509.666666667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9696490.333333334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9696490.333333334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7"/>
        <v>0.33257225498473725</v>
      </c>
      <c r="K13" s="137">
        <f t="shared" si="8"/>
        <v>0.32987605939808468</v>
      </c>
      <c r="L13" s="137">
        <f t="shared" si="9"/>
        <v>0.32699528789835974</v>
      </c>
      <c r="M13" s="125" t="s">
        <v>214</v>
      </c>
      <c r="N13" s="125">
        <f>S13+1/3*T13</f>
        <v>4353509.666666667</v>
      </c>
      <c r="O13" s="152">
        <f t="shared" si="10"/>
        <v>0</v>
      </c>
      <c r="P13" s="141">
        <f t="shared" ref="P13:P28" si="11">C13*I13</f>
        <v>61384486.300000004</v>
      </c>
      <c r="Q13" s="125">
        <f t="shared" ref="Q13:Q28" si="12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4441.5</v>
      </c>
      <c r="E14" s="136">
        <f>SUMIFS('Resultater - Danmark'!J$3:J$482,'Resultater - Danmark'!$F$3:$F$482,$A14)*D5</f>
        <v>4441.5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4441.5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4441.5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7"/>
        <v>3.3929399119623192E-4</v>
      </c>
      <c r="K14" s="137">
        <f t="shared" si="8"/>
        <v>3.3654330184097281E-4</v>
      </c>
      <c r="L14" s="137">
        <f t="shared" si="9"/>
        <v>3.3360430604316974E-4</v>
      </c>
      <c r="M14" s="129" t="s">
        <v>146</v>
      </c>
      <c r="N14" s="130">
        <v>11417</v>
      </c>
      <c r="O14" s="152">
        <f t="shared" si="10"/>
        <v>6975.5</v>
      </c>
      <c r="P14" s="141">
        <f t="shared" si="11"/>
        <v>58183.65</v>
      </c>
      <c r="Q14" s="125">
        <f t="shared" si="12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2775826.6867543529</v>
      </c>
      <c r="E15" s="136">
        <f>SUMIFS('Resultater - Danmark'!J$3:J$482,'Resultater - Danmark'!$F$3:$F$482,$A15)*D6</f>
        <v>2892093.5705389259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4543448.5856619477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4733753.193370725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7"/>
        <v>0.20387691989197443</v>
      </c>
      <c r="K15" s="137">
        <f t="shared" si="8"/>
        <v>0.21033116706036198</v>
      </c>
      <c r="L15" s="137">
        <f t="shared" si="9"/>
        <v>0.21722725849635291</v>
      </c>
      <c r="M15" s="139" t="s">
        <v>300</v>
      </c>
      <c r="N15" s="140">
        <f>SUM(S15:Z15)</f>
        <v>2668834</v>
      </c>
      <c r="O15" s="152">
        <f t="shared" si="10"/>
        <v>0</v>
      </c>
      <c r="P15" s="141">
        <f>C15*I15</f>
        <v>37096792.600000001</v>
      </c>
      <c r="Q15" s="125">
        <f t="shared" si="12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757087</v>
      </c>
      <c r="E16" s="136">
        <f>SUMIFS('Resultater - Danmark'!J$3:J$482,'Resultater - Danmark'!$F$3:$F$482,$A16)*D7</f>
        <v>757087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2175983.0000000009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2175983.0000000009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7"/>
        <v>5.7835206554718369E-2</v>
      </c>
      <c r="K16" s="137">
        <f t="shared" si="8"/>
        <v>5.7366330915428705E-2</v>
      </c>
      <c r="L16" s="137">
        <f t="shared" si="9"/>
        <v>5.6865357030126143E-2</v>
      </c>
      <c r="M16" s="246" t="s">
        <v>157</v>
      </c>
      <c r="N16" s="247">
        <v>757087</v>
      </c>
      <c r="O16" s="152">
        <f t="shared" si="10"/>
        <v>0</v>
      </c>
      <c r="P16" s="141">
        <f t="shared" si="11"/>
        <v>45425220</v>
      </c>
      <c r="Q16" s="125">
        <f t="shared" si="12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7"/>
        <v>0</v>
      </c>
      <c r="K17" s="137">
        <f t="shared" si="8"/>
        <v>0</v>
      </c>
      <c r="L17" s="137">
        <f t="shared" si="9"/>
        <v>0</v>
      </c>
      <c r="M17" s="125" t="s">
        <v>150</v>
      </c>
      <c r="N17" s="141"/>
      <c r="O17" s="152"/>
      <c r="P17" s="141">
        <f t="shared" si="11"/>
        <v>0</v>
      </c>
      <c r="Q17" s="125">
        <f t="shared" si="12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13">N18</f>
        <v>729134</v>
      </c>
      <c r="D18" s="250">
        <f>C18</f>
        <v>729134</v>
      </c>
      <c r="E18" s="250">
        <f t="shared" ref="E18:E28" si="14">D18</f>
        <v>729134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-345323.91248895833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-336084.0359083669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7"/>
        <v>5.5699827755684647E-2</v>
      </c>
      <c r="K18" s="137">
        <f t="shared" si="8"/>
        <v>5.524826383980995E-2</v>
      </c>
      <c r="L18" s="137">
        <f t="shared" si="9"/>
        <v>5.4765786802314656E-2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f t="shared" ref="D19:E19" si="15">C19</f>
        <v>995654</v>
      </c>
      <c r="E19" s="250">
        <f t="shared" si="14"/>
        <v>995654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-268097.40526848647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-268097.40526848647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7"/>
        <v>7.6059758980185313E-2</v>
      </c>
      <c r="K19" s="137">
        <f t="shared" si="8"/>
        <v>7.5443135123533039E-2</v>
      </c>
      <c r="L19" s="137">
        <f t="shared" si="9"/>
        <v>7.478429848679638E-2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f t="shared" ref="D20:E20" si="16">C20</f>
        <v>75934</v>
      </c>
      <c r="E20" s="250">
        <f t="shared" si="14"/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1805540.7414875301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1805540.7414875301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7"/>
        <v>5.8007317184497744E-3</v>
      </c>
      <c r="K20" s="137">
        <f t="shared" si="8"/>
        <v>5.753704622760876E-3</v>
      </c>
      <c r="L20" s="137">
        <f t="shared" si="9"/>
        <v>5.7034581504181135E-3</v>
      </c>
      <c r="M20" s="125" t="s">
        <v>147</v>
      </c>
      <c r="N20" s="141">
        <v>75934</v>
      </c>
      <c r="O20" s="152">
        <f t="shared" ref="O20:O28" si="17">N20-C20</f>
        <v>0</v>
      </c>
      <c r="P20" s="141">
        <f t="shared" si="11"/>
        <v>12195000.4</v>
      </c>
      <c r="Q20" s="125">
        <f t="shared" si="12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18">N21</f>
        <v>3786</v>
      </c>
      <c r="D21" s="250">
        <f t="shared" ref="D21:E21" si="19">C21</f>
        <v>3786</v>
      </c>
      <c r="E21" s="250">
        <f t="shared" si="14"/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1754233.8709876421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1730682.1844083001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7"/>
        <v>2.8921919411661239E-4</v>
      </c>
      <c r="K21" s="137">
        <f t="shared" si="8"/>
        <v>2.868744660069623E-4</v>
      </c>
      <c r="L21" s="137">
        <f t="shared" si="9"/>
        <v>2.8436922271292148E-4</v>
      </c>
      <c r="M21" s="125" t="s">
        <v>158</v>
      </c>
      <c r="N21" s="141">
        <v>3786</v>
      </c>
      <c r="O21" s="152">
        <f t="shared" si="17"/>
        <v>0</v>
      </c>
      <c r="P21" s="141">
        <f t="shared" si="11"/>
        <v>361184.4</v>
      </c>
      <c r="Q21" s="125">
        <f t="shared" si="12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18"/>
        <v>85677</v>
      </c>
      <c r="D22" s="250">
        <f t="shared" ref="D22:E22" si="20">C22</f>
        <v>85677</v>
      </c>
      <c r="E22" s="250">
        <f t="shared" si="14"/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1564413.1727342643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1564413.1727342643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7"/>
        <v>6.5450166123425784E-3</v>
      </c>
      <c r="K22" s="137">
        <f t="shared" si="8"/>
        <v>6.4919555266979689E-3</v>
      </c>
      <c r="L22" s="137">
        <f t="shared" si="9"/>
        <v>6.4352619900620639E-3</v>
      </c>
      <c r="M22" s="165" t="s">
        <v>301</v>
      </c>
      <c r="N22" s="166">
        <f>SUM(S22:Z22)</f>
        <v>85677</v>
      </c>
      <c r="O22" s="152">
        <f t="shared" si="17"/>
        <v>0</v>
      </c>
      <c r="P22" s="141">
        <f t="shared" si="11"/>
        <v>4390946.25</v>
      </c>
      <c r="Q22" s="125">
        <f t="shared" si="12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18"/>
        <v>330026</v>
      </c>
      <c r="D23" s="250">
        <f t="shared" ref="D23:E23" si="21">C23</f>
        <v>330026</v>
      </c>
      <c r="E23" s="250">
        <f t="shared" si="14"/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1081950.297458332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1081950.297458332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7"/>
        <v>2.5211266180012976E-2</v>
      </c>
      <c r="K23" s="137">
        <f t="shared" si="8"/>
        <v>2.5006875995354925E-2</v>
      </c>
      <c r="L23" s="137">
        <f t="shared" si="9"/>
        <v>2.4788493685962656E-2</v>
      </c>
      <c r="M23" s="125" t="s">
        <v>148</v>
      </c>
      <c r="N23" s="141">
        <v>330026</v>
      </c>
      <c r="O23" s="152">
        <f t="shared" si="17"/>
        <v>0</v>
      </c>
      <c r="P23" s="141">
        <f t="shared" si="11"/>
        <v>33002600</v>
      </c>
      <c r="Q23" s="125">
        <f t="shared" si="12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18"/>
        <v>28645</v>
      </c>
      <c r="D24" s="250">
        <f t="shared" ref="D24:E24" si="22">C24</f>
        <v>28645</v>
      </c>
      <c r="E24" s="250">
        <f t="shared" si="14"/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1647305.5687685832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1647305.5687685832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7"/>
        <v>2.1882418952642265E-3</v>
      </c>
      <c r="K24" s="137">
        <f t="shared" si="8"/>
        <v>2.1705016055915045E-3</v>
      </c>
      <c r="L24" s="137">
        <f t="shared" si="9"/>
        <v>2.1515468527764487E-3</v>
      </c>
      <c r="M24" s="125" t="s">
        <v>149</v>
      </c>
      <c r="N24" s="141">
        <v>28645</v>
      </c>
      <c r="O24" s="152">
        <f t="shared" si="17"/>
        <v>0</v>
      </c>
      <c r="P24" s="141">
        <f t="shared" si="11"/>
        <v>2165562</v>
      </c>
      <c r="Q24" s="125">
        <f t="shared" si="12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18"/>
        <v>78</v>
      </c>
      <c r="D25" s="250">
        <f t="shared" ref="D25:E25" si="23">C25</f>
        <v>78</v>
      </c>
      <c r="E25" s="250">
        <f t="shared" si="14"/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7"/>
        <v>5.9585570895657067E-6</v>
      </c>
      <c r="K25" s="137">
        <f t="shared" si="8"/>
        <v>5.9102504882575437E-6</v>
      </c>
      <c r="L25" s="137">
        <f t="shared" si="9"/>
        <v>5.8586369180158145E-6</v>
      </c>
      <c r="M25" s="125" t="s">
        <v>164</v>
      </c>
      <c r="N25" s="141">
        <v>78</v>
      </c>
      <c r="O25" s="152">
        <f t="shared" si="17"/>
        <v>0</v>
      </c>
      <c r="P25" s="141">
        <f t="shared" si="11"/>
        <v>3689.3999999999996</v>
      </c>
      <c r="Q25" s="125">
        <f t="shared" si="12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18"/>
        <v>142742</v>
      </c>
      <c r="D26" s="250">
        <f t="shared" ref="D26:E26" si="24">C26</f>
        <v>142742</v>
      </c>
      <c r="E26" s="250">
        <f t="shared" si="14"/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7"/>
        <v>1.090431225742036E-2</v>
      </c>
      <c r="K26" s="137">
        <f t="shared" si="8"/>
        <v>1.081590993839562E-2</v>
      </c>
      <c r="L26" s="137">
        <f t="shared" si="9"/>
        <v>1.0721455781428378E-2</v>
      </c>
      <c r="M26" s="125" t="s">
        <v>162</v>
      </c>
      <c r="N26" s="125">
        <v>142742</v>
      </c>
      <c r="O26" s="152">
        <f t="shared" si="17"/>
        <v>0</v>
      </c>
      <c r="P26" s="141">
        <f t="shared" si="11"/>
        <v>60431253.120000005</v>
      </c>
      <c r="Q26" s="125">
        <f t="shared" si="12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18"/>
        <v>0</v>
      </c>
      <c r="D27" s="250">
        <f t="shared" ref="D27:E27" si="25">C27</f>
        <v>0</v>
      </c>
      <c r="E27" s="250">
        <f t="shared" si="14"/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880.09999999999991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880.09999999999991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7"/>
        <v>0</v>
      </c>
      <c r="K27" s="137">
        <f t="shared" si="8"/>
        <v>0</v>
      </c>
      <c r="L27" s="137">
        <f t="shared" si="9"/>
        <v>0</v>
      </c>
      <c r="M27" s="125" t="s">
        <v>150</v>
      </c>
      <c r="O27" s="152">
        <f t="shared" si="17"/>
        <v>0</v>
      </c>
      <c r="P27" s="141">
        <f t="shared" si="11"/>
        <v>0</v>
      </c>
      <c r="Q27" s="125">
        <f t="shared" si="12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18"/>
        <v>0</v>
      </c>
      <c r="D28" s="252">
        <f t="shared" ref="D28:E28" si="26">C28</f>
        <v>0</v>
      </c>
      <c r="E28" s="252">
        <f t="shared" si="14"/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382.5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382.5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7"/>
        <v>0</v>
      </c>
      <c r="K28" s="143">
        <f t="shared" si="8"/>
        <v>0</v>
      </c>
      <c r="L28" s="143">
        <f t="shared" si="9"/>
        <v>0</v>
      </c>
      <c r="M28" s="125" t="s">
        <v>150</v>
      </c>
      <c r="O28" s="152">
        <f t="shared" si="17"/>
        <v>0</v>
      </c>
      <c r="P28" s="141">
        <f t="shared" si="11"/>
        <v>0</v>
      </c>
      <c r="Q28" s="125">
        <f t="shared" si="12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13197410.186754353</v>
      </c>
      <c r="E29" s="145">
        <f>SUM(E12:E28)</f>
        <v>13313677.070538927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0.99999999999999989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0.13759010376604527</v>
      </c>
      <c r="E30" s="149">
        <f>SUMPRODUCT(E12:E28,$H$12:$H$28)/E29</f>
        <v>0.13691251788728287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3.3956207593651359E-2</v>
      </c>
      <c r="E31" s="149">
        <f>SUM(E21:E24)/E29</f>
        <v>3.3659671751514089E-2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464324487.19588548</v>
      </c>
      <c r="E32" s="125">
        <f>SUMPRODUCT(E12:E28,$I$12:$I$28)</f>
        <v>465940596.88049102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16.66924909033229</v>
      </c>
      <c r="E33" s="125">
        <f>E32*[1]Energiindhold!$C$10</f>
        <v>16.727267428009629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27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2545966.1788365529</v>
      </c>
      <c r="E39" s="133">
        <f>SUMIFS('Resultater - Vestdanmark'!J$3:J$482,'Resultater - Vestdanmark'!$F$3:$F$482,$A39)*D3</f>
        <v>2545966.1788365529</v>
      </c>
      <c r="F39" s="134">
        <f>VLOOKUP(A39,[1]Biogasudbytte!$A$2:$C$18,3,FALSE)</f>
        <v>0.05</v>
      </c>
      <c r="G39" s="135">
        <f t="shared" ref="G39:G55" si="28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368903.15449678036</v>
      </c>
      <c r="M39" s="133">
        <f>SUMIFS('Resultater - Østdanmark'!J$3:J$482,'Resultater - Østdanmark'!$F$3:$F$482,$A39)*D3</f>
        <v>368903.15449678036</v>
      </c>
      <c r="N39" s="134">
        <f>VLOOKUP(I39,[1]Biogasudbytte!$A$2:$C$18,3,FALSE)</f>
        <v>0.05</v>
      </c>
      <c r="O39" s="135">
        <f t="shared" ref="O39:O55" si="29">I12</f>
        <v>12</v>
      </c>
    </row>
    <row r="40" spans="1:15" hidden="1" x14ac:dyDescent="0.2">
      <c r="A40" s="127" t="str">
        <f t="shared" si="27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4064620.7701627249</v>
      </c>
      <c r="E40" s="136">
        <f>SUMIFS('Resultater - Vestdanmark'!J$3:J$482,'Resultater - Vestdanmark'!$F$3:$F$482,$A40)*D4</f>
        <v>4064620.7701627249</v>
      </c>
      <c r="F40" s="137">
        <f>VLOOKUP(A40,[1]Biogasudbytte!$A$2:$C$18,3,FALSE)</f>
        <v>7.5999999999999998E-2</v>
      </c>
      <c r="G40" s="138">
        <f t="shared" si="28"/>
        <v>14.1</v>
      </c>
      <c r="I40" s="127" t="str">
        <f t="shared" ref="I40:I55" si="30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288888.89650394162</v>
      </c>
      <c r="M40" s="136">
        <f>SUMIFS('Resultater - Østdanmark'!J$3:J$482,'Resultater - Østdanmark'!$F$3:$F$482,$A40)*D4</f>
        <v>288888.89650394162</v>
      </c>
      <c r="N40" s="137">
        <f>VLOOKUP(I40,[1]Biogasudbytte!$A$2:$C$18,3,FALSE)</f>
        <v>7.5999999999999998E-2</v>
      </c>
      <c r="O40" s="138">
        <f t="shared" si="29"/>
        <v>14.1</v>
      </c>
    </row>
    <row r="41" spans="1:15" hidden="1" x14ac:dyDescent="0.2">
      <c r="A41" s="127" t="str">
        <f t="shared" si="27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4097.5907230830899</v>
      </c>
      <c r="E41" s="136">
        <f>SUMIFS('Resultater - Vestdanmark'!J$3:J$482,'Resultater - Vestdanmark'!$F$3:$F$482,$A41)*D5</f>
        <v>4097.5907230830899</v>
      </c>
      <c r="F41" s="137">
        <f>VLOOKUP(A41,[1]Biogasudbytte!$A$2:$C$18,3,FALSE)</f>
        <v>6.3E-2</v>
      </c>
      <c r="G41" s="138">
        <f t="shared" si="28"/>
        <v>13.1</v>
      </c>
      <c r="I41" s="127" t="str">
        <f t="shared" si="30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343.90927691691036</v>
      </c>
      <c r="M41" s="136">
        <f>SUMIFS('Resultater - Østdanmark'!J$3:J$482,'Resultater - Østdanmark'!$F$3:$F$482,$A41)*D5</f>
        <v>343.90927691691036</v>
      </c>
      <c r="N41" s="137">
        <f>VLOOKUP(I41,[1]Biogasudbytte!$A$2:$C$18,3,FALSE)</f>
        <v>6.3E-2</v>
      </c>
      <c r="O41" s="138">
        <f t="shared" si="29"/>
        <v>13.1</v>
      </c>
    </row>
    <row r="42" spans="1:15" hidden="1" x14ac:dyDescent="0.2">
      <c r="A42" s="127" t="str">
        <f t="shared" si="27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1507565.0660041883</v>
      </c>
      <c r="E42" s="136">
        <f>SUMIFS('Resultater - Vestdanmark'!J$3:J$482,'Resultater - Vestdanmark'!$F$3:$F$482,$A42)*D6</f>
        <v>1564521.9239290934</v>
      </c>
      <c r="F42" s="137">
        <f>VLOOKUP(A42,[1]Biogasudbytte!$A$2:$C$18,3,FALSE)</f>
        <v>0.06</v>
      </c>
      <c r="G42" s="138">
        <f t="shared" si="28"/>
        <v>13.9</v>
      </c>
      <c r="I42" s="127" t="str">
        <f t="shared" si="30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1268261.6207501648</v>
      </c>
      <c r="M42" s="136">
        <f>SUMIFS('Resultater - Østdanmark'!J$3:J$482,'Resultater - Østdanmark'!$F$3:$F$482,$A42)*D6</f>
        <v>1327571.6466098325</v>
      </c>
      <c r="N42" s="137">
        <f>VLOOKUP(I42,[1]Biogasudbytte!$A$2:$C$18,3,FALSE)</f>
        <v>0.06</v>
      </c>
      <c r="O42" s="138">
        <f t="shared" si="29"/>
        <v>13.9</v>
      </c>
    </row>
    <row r="43" spans="1:15" hidden="1" x14ac:dyDescent="0.2">
      <c r="A43" s="127" t="str">
        <f t="shared" si="27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667318.32127947919</v>
      </c>
      <c r="E43" s="136">
        <f>SUMIFS('Resultater - Vestdanmark'!J$3:J$482,'Resultater - Vestdanmark'!$F$3:$F$482,$A43)*D7</f>
        <v>667318.32127947919</v>
      </c>
      <c r="F43" s="137">
        <f>VLOOKUP(A43,[1]Biogasudbytte!$A$2:$C$18,3,FALSE)</f>
        <v>0.3</v>
      </c>
      <c r="G43" s="138">
        <f t="shared" si="28"/>
        <v>60</v>
      </c>
      <c r="I43" s="127" t="str">
        <f t="shared" si="30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89768.678720521071</v>
      </c>
      <c r="M43" s="136">
        <f>SUMIFS('Resultater - Østdanmark'!J$3:J$482,'Resultater - Østdanmark'!$F$3:$F$482,$A43)*D7</f>
        <v>89768.678720521071</v>
      </c>
      <c r="N43" s="137">
        <f>VLOOKUP(I43,[1]Biogasudbytte!$A$2:$C$18,3,FALSE)</f>
        <v>0.3</v>
      </c>
      <c r="O43" s="138">
        <f t="shared" si="29"/>
        <v>60</v>
      </c>
    </row>
    <row r="44" spans="1:15" hidden="1" x14ac:dyDescent="0.2">
      <c r="A44" s="128" t="str">
        <f t="shared" si="27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28"/>
        <v>15.822453396634783</v>
      </c>
      <c r="I44" s="128" t="str">
        <f t="shared" si="30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29"/>
        <v>15.822453396634783</v>
      </c>
    </row>
    <row r="45" spans="1:15" hidden="1" x14ac:dyDescent="0.2">
      <c r="A45" s="127" t="str">
        <f t="shared" si="27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390777.60629458982</v>
      </c>
      <c r="E45" s="136">
        <f ca="1">SUMIFS('Resultater - Vestdanmark'!J$3:J$482,'Resultater - Vestdanmark'!$F$3:$F$482,$A45)/SUMIFS('Resultater - Danmark'!J$3:J$482,'Resultater - Danmark'!$F$3:$F$482,$A45)*E18</f>
        <v>389403.53007387661</v>
      </c>
      <c r="F45" s="137">
        <f>VLOOKUP(A45,[1]Biogasudbytte!$A$2:$C$18,3,FALSE)</f>
        <v>0.28000000000000003</v>
      </c>
      <c r="G45" s="138">
        <f t="shared" si="28"/>
        <v>94.9</v>
      </c>
      <c r="I45" s="127" t="str">
        <f t="shared" si="30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338356.39370541024</v>
      </c>
      <c r="M45" s="136">
        <f ca="1">SUMIFS('Resultater - Østdanmark'!J$3:J$482,'Resultater - Østdanmark'!$F$3:$F$482,$A45)/SUMIFS('Resultater - Danmark'!J$3:J$482,'Resultater - Danmark'!$F$3:$F$482,$A45)*E18</f>
        <v>339730.46992612339</v>
      </c>
      <c r="N45" s="137">
        <f>VLOOKUP(I45,[1]Biogasudbytte!$A$2:$C$18,3,FALSE)</f>
        <v>0.28000000000000003</v>
      </c>
      <c r="O45" s="138">
        <f t="shared" si="29"/>
        <v>94.9</v>
      </c>
    </row>
    <row r="46" spans="1:15" hidden="1" x14ac:dyDescent="0.2">
      <c r="A46" s="127" t="str">
        <f t="shared" si="27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717790.84090882004</v>
      </c>
      <c r="E46" s="136">
        <f>SUMIFS('Resultater - Vestdanmark'!J$3:J$482,'Resultater - Vestdanmark'!$F$3:$F$482,$A46)/SUMIFS('Resultater - Danmark'!J$3:J$482,'Resultater - Danmark'!$F$3:$F$482,$A46)*E19</f>
        <v>716875.2625727416</v>
      </c>
      <c r="F46" s="137">
        <f>VLOOKUP(A46,[1]Biogasudbytte!$A$2:$C$18,3,FALSE)</f>
        <v>0.42</v>
      </c>
      <c r="G46" s="138">
        <f t="shared" si="28"/>
        <v>102.595</v>
      </c>
      <c r="I46" s="127" t="str">
        <f t="shared" si="30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277863.15909117949</v>
      </c>
      <c r="M46" s="136">
        <f>SUMIFS('Resultater - Østdanmark'!J$3:J$482,'Resultater - Østdanmark'!$F$3:$F$482,$A46)/SUMIFS('Resultater - Danmark'!J$3:J$482,'Resultater - Danmark'!$F$3:$F$482,$A46)*E19</f>
        <v>278778.73742725787</v>
      </c>
      <c r="N46" s="137">
        <f>VLOOKUP(I46,[1]Biogasudbytte!$A$2:$C$18,3,FALSE)</f>
        <v>0.42</v>
      </c>
      <c r="O46" s="138">
        <f t="shared" si="29"/>
        <v>102.595</v>
      </c>
    </row>
    <row r="47" spans="1:15" hidden="1" x14ac:dyDescent="0.2">
      <c r="A47" s="127" t="str">
        <f t="shared" si="27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52759.391018010894</v>
      </c>
      <c r="E47" s="136">
        <f>SUMIFS('Resultater - Vestdanmark'!J$3:J$482,'Resultater - Vestdanmark'!$F$3:$F$482,$A47)/SUMIFS('Resultater - Danmark'!J$3:J$482,'Resultater - Danmark'!$F$3:$F$482,$A47)*E20</f>
        <v>52759.391018010894</v>
      </c>
      <c r="F47" s="137">
        <f>VLOOKUP(A47,[1]Biogasudbytte!$A$2:$C$18,3,FALSE)</f>
        <v>0.85</v>
      </c>
      <c r="G47" s="138">
        <f t="shared" si="28"/>
        <v>160.6</v>
      </c>
      <c r="I47" s="127" t="str">
        <f t="shared" si="30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23174.608981989095</v>
      </c>
      <c r="M47" s="136">
        <f>SUMIFS('Resultater - Østdanmark'!J$3:J$482,'Resultater - Østdanmark'!$F$3:$F$482,$A47)/SUMIFS('Resultater - Danmark'!J$3:J$482,'Resultater - Danmark'!$F$3:$F$482,$A47)*E20</f>
        <v>23174.608981989095</v>
      </c>
      <c r="N47" s="137">
        <f>VLOOKUP(I47,[1]Biogasudbytte!$A$2:$C$18,3,FALSE)</f>
        <v>0.85</v>
      </c>
      <c r="O47" s="138">
        <f t="shared" si="29"/>
        <v>160.6</v>
      </c>
    </row>
    <row r="48" spans="1:15" hidden="1" x14ac:dyDescent="0.2">
      <c r="A48" s="127" t="str">
        <f t="shared" si="27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2829.8956304621011</v>
      </c>
      <c r="E48" s="136">
        <f>SUMIFS('Resultater - Vestdanmark'!J$3:J$482,'Resultater - Vestdanmark'!$F$3:$F$482,$A48)/SUMIFS('Resultater - Danmark'!J$3:J$482,'Resultater - Danmark'!$F$3:$F$482,$A48)*E21</f>
        <v>2829.8956304621011</v>
      </c>
      <c r="F48" s="137">
        <f>VLOOKUP(A48,[1]Biogasudbytte!$A$2:$C$18,3,FALSE)</f>
        <v>0.31</v>
      </c>
      <c r="G48" s="138">
        <f t="shared" si="28"/>
        <v>95.4</v>
      </c>
      <c r="I48" s="127" t="str">
        <f t="shared" si="30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956.10436953789804</v>
      </c>
      <c r="M48" s="136">
        <f>SUMIFS('Resultater - Østdanmark'!J$3:J$482,'Resultater - Østdanmark'!$F$3:$F$482,$A48)/SUMIFS('Resultater - Danmark'!J$3:J$482,'Resultater - Danmark'!$F$3:$F$482,$A48)*E21</f>
        <v>956.10436953789804</v>
      </c>
      <c r="N48" s="137">
        <f>VLOOKUP(I48,[1]Biogasudbytte!$A$2:$C$18,3,FALSE)</f>
        <v>0.31</v>
      </c>
      <c r="O48" s="138">
        <f t="shared" si="29"/>
        <v>95.4</v>
      </c>
    </row>
    <row r="49" spans="1:15" hidden="1" x14ac:dyDescent="0.2">
      <c r="A49" s="127" t="str">
        <f t="shared" si="27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75018.541590975714</v>
      </c>
      <c r="E49" s="136">
        <f>SUMIFS('Resultater - Vestdanmark'!J$3:J$482,'Resultater - Vestdanmark'!$F$3:$F$482,$A49)/SUMIFS('Resultater - Danmark'!J$3:J$482,'Resultater - Danmark'!$F$3:$F$482,$A49)*E22</f>
        <v>75018.541590975714</v>
      </c>
      <c r="F49" s="137">
        <f>VLOOKUP(A49,[1]Biogasudbytte!$A$2:$C$18,3,FALSE)</f>
        <v>0.28000000000000003</v>
      </c>
      <c r="G49" s="138">
        <f t="shared" si="28"/>
        <v>51.25</v>
      </c>
      <c r="I49" s="127" t="str">
        <f t="shared" si="30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10658.458409024295</v>
      </c>
      <c r="M49" s="136">
        <f>SUMIFS('Resultater - Østdanmark'!J$3:J$482,'Resultater - Østdanmark'!$F$3:$F$482,$A49)/SUMIFS('Resultater - Danmark'!J$3:J$482,'Resultater - Danmark'!$F$3:$F$482,$A49)*E22</f>
        <v>10658.458409024295</v>
      </c>
      <c r="N49" s="137">
        <f>VLOOKUP(I49,[1]Biogasudbytte!$A$2:$C$18,3,FALSE)</f>
        <v>0.28000000000000003</v>
      </c>
      <c r="O49" s="138">
        <f t="shared" si="29"/>
        <v>51.25</v>
      </c>
    </row>
    <row r="50" spans="1:15" hidden="1" x14ac:dyDescent="0.2">
      <c r="A50" s="127" t="str">
        <f t="shared" si="27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314623.32990126638</v>
      </c>
      <c r="E50" s="136">
        <f>SUMIFS('Resultater - Vestdanmark'!J$3:J$482,'Resultater - Vestdanmark'!$F$3:$F$482,$A50)/SUMIFS('Resultater - Danmark'!J$3:J$482,'Resultater - Danmark'!$F$3:$F$482,$A50)*E23</f>
        <v>314623.32990126638</v>
      </c>
      <c r="F50" s="137">
        <f>VLOOKUP(A50,[1]Biogasudbytte!$A$2:$C$18,3,FALSE)</f>
        <v>0.3</v>
      </c>
      <c r="G50" s="138">
        <f t="shared" si="28"/>
        <v>100</v>
      </c>
      <c r="I50" s="127" t="str">
        <f t="shared" si="30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15402.670098733543</v>
      </c>
      <c r="M50" s="136">
        <f>SUMIFS('Resultater - Østdanmark'!J$3:J$482,'Resultater - Østdanmark'!$F$3:$F$482,$A50)/SUMIFS('Resultater - Danmark'!J$3:J$482,'Resultater - Danmark'!$F$3:$F$482,$A50)*E23</f>
        <v>15402.670098733543</v>
      </c>
      <c r="N50" s="137">
        <f>VLOOKUP(I50,[1]Biogasudbytte!$A$2:$C$18,3,FALSE)</f>
        <v>0.3</v>
      </c>
      <c r="O50" s="138">
        <f t="shared" si="29"/>
        <v>100</v>
      </c>
    </row>
    <row r="51" spans="1:15" hidden="1" x14ac:dyDescent="0.2">
      <c r="A51" s="127" t="str">
        <f t="shared" si="27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4087.4992709451894</v>
      </c>
      <c r="E51" s="136">
        <f>SUMIFS('Resultater - Vestdanmark'!J$3:J$482,'Resultater - Vestdanmark'!$F$3:$F$482,$A51)/SUMIFS('Resultater - Danmark'!J$3:J$482,'Resultater - Danmark'!$F$3:$F$482,$A51)*E24</f>
        <v>4087.4992709451894</v>
      </c>
      <c r="F51" s="137">
        <f>VLOOKUP(A51,[1]Biogasudbytte!$A$2:$C$18,3,FALSE)</f>
        <v>0.2</v>
      </c>
      <c r="G51" s="138">
        <f t="shared" si="28"/>
        <v>75.599999999999994</v>
      </c>
      <c r="I51" s="127" t="str">
        <f t="shared" si="30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24557.500729054813</v>
      </c>
      <c r="M51" s="136">
        <f>SUMIFS('Resultater - Østdanmark'!J$3:J$482,'Resultater - Østdanmark'!$F$3:$F$482,$A51)/SUMIFS('Resultater - Danmark'!J$3:J$482,'Resultater - Danmark'!$F$3:$F$482,$A51)*E24</f>
        <v>24557.500729054813</v>
      </c>
      <c r="N51" s="137">
        <f>VLOOKUP(I51,[1]Biogasudbytte!$A$2:$C$18,3,FALSE)</f>
        <v>0.2</v>
      </c>
      <c r="O51" s="138">
        <f t="shared" si="29"/>
        <v>75.599999999999994</v>
      </c>
    </row>
    <row r="52" spans="1:15" hidden="1" x14ac:dyDescent="0.2">
      <c r="A52" s="127" t="str">
        <f t="shared" si="27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28"/>
        <v>47.3</v>
      </c>
      <c r="I52" s="127" t="str">
        <f t="shared" si="30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29"/>
        <v>47.3</v>
      </c>
    </row>
    <row r="53" spans="1:15" hidden="1" x14ac:dyDescent="0.2">
      <c r="A53" s="128" t="str">
        <f t="shared" si="27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28"/>
        <v>423.36</v>
      </c>
      <c r="I53" s="128" t="str">
        <f t="shared" si="30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29"/>
        <v>423.36</v>
      </c>
    </row>
    <row r="54" spans="1:15" hidden="1" x14ac:dyDescent="0.2">
      <c r="A54" s="127" t="str">
        <f t="shared" si="27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28"/>
        <v>25</v>
      </c>
      <c r="I54" s="127" t="str">
        <f t="shared" si="30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29"/>
        <v>25</v>
      </c>
    </row>
    <row r="55" spans="1:15" ht="12.75" hidden="1" thickBot="1" x14ac:dyDescent="0.25">
      <c r="A55" s="142" t="str">
        <f t="shared" si="27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28"/>
        <v>25</v>
      </c>
      <c r="I55" s="142" t="str">
        <f t="shared" si="30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29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10461690.435532713</v>
      </c>
      <c r="E56" s="145">
        <f ca="1">SUM(E39:E55)</f>
        <v>10516357.491907345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2735719.7512216405</v>
      </c>
      <c r="M56" s="145">
        <f ca="1">SUM(M39:M55)</f>
        <v>2797319.5786315808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0.1340821685822407</v>
      </c>
      <c r="E57" s="149">
        <f ca="1">SUMPRODUCT(E39:E55,$F$39:$F$55)/E56</f>
        <v>0.13363697695217072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0.1510048301628148</v>
      </c>
      <c r="M57" s="149">
        <f ca="1">SUMPRODUCT(M39:M55,$N$39:$N$55)/M56</f>
        <v>0.14922672028165751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3.7905849808626692E-2</v>
      </c>
      <c r="E58" s="149">
        <f ca="1">SUM(E48:E51)/E56</f>
        <v>3.7708804279315694E-2</v>
      </c>
      <c r="I58" s="148" t="s">
        <v>161</v>
      </c>
      <c r="K58" s="149">
        <f ca="1">SUM(K48:K51)/K56</f>
        <v>1.8896340963997331E-2</v>
      </c>
      <c r="L58" s="149">
        <f ca="1">SUM(L48:L51)/L56</f>
        <v>1.8852345377599354E-2</v>
      </c>
      <c r="M58" s="149">
        <f ca="1">SUM(M48:M51)/M56</f>
        <v>1.8437197523058974E-2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352343383.55163497</v>
      </c>
      <c r="E59" s="125">
        <f ca="1">SUMPRODUCT(E39:E55,$I$12:$I$28)</f>
        <v>352910743.33126384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111981103.64425051</v>
      </c>
      <c r="M59" s="125">
        <f ca="1">SUMPRODUCT(M39:M55,$I$12:$I$28)</f>
        <v>113029853.54922721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12.649127469503696</v>
      </c>
      <c r="E60" s="125">
        <f ca="1">E59*[1]Energiindhold!$C$10</f>
        <v>12.669495685592373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4.0201216208285935</v>
      </c>
      <c r="M60" s="125">
        <f ca="1">M59*[1]Energiindhold!$C$10</f>
        <v>4.0577717424172572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C4" sqref="C4:D4"/>
    </sheetView>
  </sheetViews>
  <sheetFormatPr defaultColWidth="9.140625" defaultRowHeight="15" x14ac:dyDescent="0.25"/>
  <cols>
    <col min="1" max="1" width="20" style="1" customWidth="1"/>
    <col min="2" max="2" width="9.28515625" style="1" bestFit="1" customWidth="1"/>
    <col min="3" max="3" width="12.140625" style="1" bestFit="1" customWidth="1"/>
    <col min="4" max="4" width="13.7109375" style="1" bestFit="1" customWidth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341">
        <v>0</v>
      </c>
      <c r="C4" s="342"/>
      <c r="D4" s="342"/>
    </row>
    <row r="5" spans="1:5" x14ac:dyDescent="0.25">
      <c r="A5" s="309"/>
      <c r="C5" s="15">
        <f>C4/(C4+Biogasanlæg!F20)</f>
        <v>0</v>
      </c>
      <c r="D5" s="15">
        <f>D4/(D4+Biogasanlæg!G20)</f>
        <v>0</v>
      </c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18438.584695135654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18438.584695135654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1580.6329773903628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1580.6329773903628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1692.5149191501318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1692.5149191501318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15619.125095440719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15619.125095440719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73.051235569092569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73.051235569092569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1153.2896677317658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1153.2896677317658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30.25692281705253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30.25692281705253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3905.7140494222053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3905.7140494222053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66.537196398441907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66.537196398441907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1176.7702945090889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1176.7702945090889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2904.6161154278734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2904.6161154278734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333.7202389310454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333.7202389310454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548.09168890611136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548.09168890611136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15491.84722036339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15491.84722036339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0.30416845283755972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0.30416845283755972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1.7513782962418761E-2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1.7513782962418761E-2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2.2679555872219294E-2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2.2679555872219294E-2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0.52306215159126412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0.52306215159126412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6.0796168101649132E-4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6.0796168101649132E-4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3.2179590057482679E-2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3.2179590057482679E-2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3.4799210435467126E-4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3.4799210435467126E-4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4.3276224875293617E-2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4.3276224875293617E-2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1.2401650971412253E-3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1.2401650971412253E-3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2.1933437619817524E-2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2.1933437619817524E-2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6.9784865361652376E-2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6.9784865361652376E-2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6.2201026633818953E-3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6.2201026633818953E-3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1.4682700657681706E-2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1.4682700657681706E-2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0.54304356219035677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0.54304356219035677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2357.5853603699165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2357.5853603699165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202.10212601602367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202.10212601602367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216.4075205104383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216.4075205104383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1997.0849864909596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1997.0849864909596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9.3404416001658657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9.3404416001658657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147.46136332402992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147.46136332402992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3.8686959689560227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3.8686959689560227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499.39051271858744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499.39051271858744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8.5075466877025647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8.5075466877025647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150.46363182011089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150.46363182011089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371.38861493170089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371.38861493170089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42.6699750968709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42.6699750968709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70.07983330989407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70.07983330989407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1980.8110446487499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1980.8110446487499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3.8891438977167236E-2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3.8891438977167236E-2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2.2393388104124633E-3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2.2393388104124633E-3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2.8998423571057279E-3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2.8998423571057279E-3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6.6879518766995133E-2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6.6879518766995133E-2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7.7734901161285674E-5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7.7734901161285674E-5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4.1145311137812529E-3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4.1145311137812529E-3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4.4494797421590129E-5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4.4494797421590129E-5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5.5333636450407616E-3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5.5333636450407616E-3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1.5856938728237767E-4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1.5856938728237767E-4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2.8044425475188643E-3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2.8044425475188643E-3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8.9227985592311137E-3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8.9227985592311137E-3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7.9531174554062993E-4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7.9531174554062993E-4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1.8773523398667479E-3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1.8773523398667479E-3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6.9434372183721241E-2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6.9434372183721241E-2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2607.1402921123236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2607.1402921123236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70.501240964925429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70.501240964925429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284.76552549155969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284.76552549155969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837.32996270399724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837.32996270399724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15.858122690552644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15.858122690552644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26.960259947487696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26.960259947487696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75.321294136474407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75.321294136474407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80.304122909023874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80.304122909023874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17.323250086121135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17.323250086121135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123.69640759387546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123.69640759387546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898.0300532314609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898.0300532314609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27.145434304635756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27.145434304635756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57.612750140016658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57.612750140016658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1669.7015154242213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1669.7015154242213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4.6899265874179821E-2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4.6899265874179821E-2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8.5184532315743273E-4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8.5184532315743273E-4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4.1610650792287332E-3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4.1610650792287332E-3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3.057794405484629E-2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3.057794405484629E-2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1.4391811820724449E-4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1.4391811820724449E-4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8.2031610546729307E-4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8.2031610546729307E-4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9.4466421281650867E-4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9.4466421281650867E-4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9.7029060189655577E-4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9.7029060189655577E-4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3.5209466045495685E-4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3.5209466045495685E-4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2.5141266456781544E-3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2.5141266456781544E-3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2.3527643458140821E-2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2.3527643458140821E-2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5.517303292902556E-4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5.517303292902556E-4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1.6830088194036976E-3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1.6830088194036976E-3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5.8528892380347711E-2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5.8528892380347711E-2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333.3529056997582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333.3529056997582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9.0143954286615706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9.0143954286615706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36.410551305169356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36.410551305169356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107.06227698652053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107.06227698652053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2.0276435809121542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2.0276435809121542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3.4471796623703264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3.4471796623703264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9.6306947261041955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9.6306947261041955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10.267806758379196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10.267806758379196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2.2149769883282029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2.2149769883282029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15.816009986417528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15.816009986417528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114.82348247852502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114.82348247852502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3.4708563360818045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3.4708563360818045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7.36645347495603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7.36645347495603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213.49056416407598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213.49056416407598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5.9966111534705989E-3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5.9966111534705989E-3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1.0891823295447181E-4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1.0891823295447181E-4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5.3204008206357469E-4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5.3204008206357469E-4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3.9097422305375889E-3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3.9097422305375889E-3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1.8401588526851431E-5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1.8401588526851431E-5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1.0488685943642736E-4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1.0488685943642736E-4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1.2078619674042107E-4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1.2078619674042107E-4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1.2406282565382139E-4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1.2406282565382139E-4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4.5019356457006833E-5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4.5019356457006833E-5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3.2146004001762851E-4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3.2146004001762851E-4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3.0082801200869359E-3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3.0082801200869359E-3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7.0545075379344893E-5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7.0545075379344893E-5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2.151920562019265E-4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2.151920562019265E-4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7.4835928091041004E-3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7.4835928091041004E-3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10313649.885301495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10313649.885301495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1494418.1146985053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1494418.1146985053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428793.11469850544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428793.11469850544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62130.885301494636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62130.885301494636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1183003.2176968176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1183003.2176968176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84080.782303182452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84080.782303182452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209460.78230318238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209460.78230318238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14887.217696817552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14887.217696817552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5299.5579073842573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4904.8330614307561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529.95579073842566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4904.8330614307561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5299.5579073842573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529.95579073842566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5299.5579073842573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4904.8330614307561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529.95579073842566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4904.8330614307561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5299.5579073842573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529.95579073842566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5299.5579073842573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4904.8330614307561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529.95579073842566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4904.8330614307561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5299.5579073842573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529.95579073842566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5299.5579073842573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4904.8330614307561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529.95579073842566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4904.8330614307561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5299.5579073842573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529.95579073842566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1551.2060932580989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1435.6682320055097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155.12060932580988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1435.6682320055097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1551.2060932580989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155.12060932580988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1551.2060932580989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1435.6682320055097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155.12060932580988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1435.6682320055097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1551.2060932580989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155.12060932580988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1551.2060932580989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1435.6682320055097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155.12060932580988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1435.6682320055097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1551.2060932580989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155.12060932580988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1551.2060932580989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1435.6682320055097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155.12060932580988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1435.6682320055097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1551.2060932580989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155.12060932580988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6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6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6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2545966.1788365529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4064620.7701627249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4097.5907230830899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1507565.0660041883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390777.60629458982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717790.84090882004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667318.32127947919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52759.391018010894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2829.8956304621011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75018.541590975714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314623.32990126638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4087.4992709451894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2545966.1788365529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4064620.7701627249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4097.5907230830899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1564521.9239290934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389403.53007387661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716875.2625727416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667318.32127947919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52759.391018010894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2829.8956304621011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75018.541590975714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314623.32990126638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4087.4992709451894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368903.15449678036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288888.89650394162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343.90927691691036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1268261.6207501648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338356.39370541024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277863.15909117949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89768.678720521071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23174.608981989095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956.10436953789804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10658.458409024295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15402.670098733543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24557.500729054813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368903.15449678036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288888.89650394162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343.90927691691036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1327571.6466098325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339730.46992612339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278778.73742725787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89768.678720521071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23174.608981989095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956.10436953789804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10658.458409024295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15402.670098733543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24557.500729054813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5879215.2019956242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773085.89354292618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64498.47547519199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5657053.7864699634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214099.10609126228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12237689.9092583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1515714.1736670118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4828427.5390456235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5879215.2019956242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773085.89354292618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64498.47547519199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5657053.7864699634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214099.10609126228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12237689.9092583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1515714.1736670118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4828427.5390456235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721621.60770550347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94889.448034412562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103245.8768300271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694353.26110928762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26278.769501998377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1502068.0760117145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186040.49371289229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4837.9324606189484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592646.72642582119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1084488.8479346768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152428.80484947297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146406.17107700335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2205884.0906945551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606661.04726979067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721051.89355285291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61470.347166373227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34748.143170077739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645672.88485303381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177572.60690670041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1084488.8479346768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152428.80484947297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146406.17107700335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2033510.9249418937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563872.73439718515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721051.89355285291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61470.347166373227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34748.143170077739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595218.43002819875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165048.26189374441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12876380.307038061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9053053.5187086407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4097.5907230830899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726090.22762539925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6960723.7107095271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518382.89357522689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12876380.307038061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9053053.5187086407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4097.5907230830899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726090.22762539925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6917063.4331097705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520293.03072021605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1865750.3596286045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643436.81462469185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343.90927691691041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97674.765231743775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1820221.068051053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372087.80038220529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1865750.3596286045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643436.81462469185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343.90927691691041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97674.765231743775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1839918.144943662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371226.05326815369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476340.01515460305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476340.01515460305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192094.83489491633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192094.83489491633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825845.28456093709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1910334.132495614</v>
      </c>
      <c r="F14">
        <f>E14-D14</f>
        <v>1084488.8479346768</v>
      </c>
      <c r="G14">
        <f t="shared" si="3"/>
        <v>1084488.8479346768</v>
      </c>
      <c r="H14">
        <f t="shared" si="1"/>
        <v>721051.89355285291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152428.80484947297</v>
      </c>
      <c r="F15">
        <f t="shared" si="2"/>
        <v>152428.80484947297</v>
      </c>
      <c r="G15">
        <f t="shared" si="3"/>
        <v>152428.80484947297</v>
      </c>
      <c r="H15">
        <f t="shared" si="1"/>
        <v>61470.347166373227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146406.17107700335</v>
      </c>
      <c r="F16">
        <f t="shared" si="2"/>
        <v>146406.17107700335</v>
      </c>
      <c r="G16">
        <f t="shared" si="3"/>
        <v>146406.17107700335</v>
      </c>
      <c r="H16">
        <f t="shared" si="1"/>
        <v>34748.143170077739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2205884.0906945551</v>
      </c>
      <c r="F17">
        <f t="shared" si="2"/>
        <v>2205884.0906945551</v>
      </c>
      <c r="G17">
        <f t="shared" si="3"/>
        <v>2205884.0906945551</v>
      </c>
      <c r="H17">
        <f t="shared" si="1"/>
        <v>645672.88485303381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390777.60629458982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205702.08942290704</v>
      </c>
      <c r="F19">
        <f t="shared" ca="1" si="2"/>
        <v>-185075.51687168278</v>
      </c>
      <c r="G19">
        <f t="shared" ca="1" si="3"/>
        <v>-345323.91248895833</v>
      </c>
      <c r="H19">
        <f t="shared" ca="1" si="1"/>
        <v>-160248.39561727559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118064.05701640165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839115.95056925458</v>
      </c>
      <c r="F20">
        <f t="shared" si="2"/>
        <v>721051.89355285291</v>
      </c>
      <c r="G20">
        <f t="shared" si="3"/>
        <v>721051.89355285291</v>
      </c>
      <c r="H20">
        <f t="shared" si="1"/>
        <v>1084488.8479346768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61470.347166373227</v>
      </c>
      <c r="F21">
        <f t="shared" si="2"/>
        <v>61470.347166373227</v>
      </c>
      <c r="G21">
        <f t="shared" si="3"/>
        <v>61470.347166373227</v>
      </c>
      <c r="H21">
        <f t="shared" si="1"/>
        <v>152428.80484947297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34748.143170077739</v>
      </c>
      <c r="F22">
        <f t="shared" si="2"/>
        <v>34748.143170077739</v>
      </c>
      <c r="G22">
        <f t="shared" si="3"/>
        <v>34748.143170077739</v>
      </c>
      <c r="H22">
        <f t="shared" si="1"/>
        <v>146406.17107700335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645672.88485303381</v>
      </c>
      <c r="F23">
        <f t="shared" si="2"/>
        <v>645672.88485303381</v>
      </c>
      <c r="G23">
        <f t="shared" si="3"/>
        <v>645672.88485303381</v>
      </c>
      <c r="H23">
        <f t="shared" si="1"/>
        <v>2205884.0906945551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338356.39370541024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178107.99808813466</v>
      </c>
      <c r="F25">
        <f t="shared" ca="1" si="2"/>
        <v>-160248.39561727559</v>
      </c>
      <c r="G25">
        <f t="shared" ca="1" si="3"/>
        <v>-345323.91248895833</v>
      </c>
      <c r="H25">
        <f t="shared" ca="1" si="1"/>
        <v>-185075.51687168278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825845.28456093709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1910334.132495614</v>
      </c>
      <c r="F26">
        <f t="shared" si="2"/>
        <v>1084488.8479346768</v>
      </c>
      <c r="G26">
        <f t="shared" si="3"/>
        <v>1084488.8479346768</v>
      </c>
      <c r="H26">
        <f t="shared" si="1"/>
        <v>721051.89355285291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152428.80484947297</v>
      </c>
      <c r="F27">
        <f t="shared" si="2"/>
        <v>152428.80484947297</v>
      </c>
      <c r="G27">
        <f t="shared" si="3"/>
        <v>152428.80484947297</v>
      </c>
      <c r="H27">
        <f t="shared" si="1"/>
        <v>61470.347166373227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146406.17107700335</v>
      </c>
      <c r="F28">
        <f t="shared" si="2"/>
        <v>146406.17107700335</v>
      </c>
      <c r="G28">
        <f t="shared" si="3"/>
        <v>146406.17107700335</v>
      </c>
      <c r="H28">
        <f t="shared" si="1"/>
        <v>34748.143170077739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2033510.9249418937</v>
      </c>
      <c r="F29">
        <f t="shared" si="2"/>
        <v>2033510.9249418937</v>
      </c>
      <c r="G29">
        <f t="shared" si="3"/>
        <v>2033510.9249418937</v>
      </c>
      <c r="H29">
        <f t="shared" si="1"/>
        <v>595218.43002819875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389403.53007387661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209913.46379772766</v>
      </c>
      <c r="F31">
        <f t="shared" ca="1" si="2"/>
        <v>-179490.06627614895</v>
      </c>
      <c r="G31">
        <f t="shared" ca="1" si="3"/>
        <v>-336084.0359083669</v>
      </c>
      <c r="H31">
        <f t="shared" ca="1" si="1"/>
        <v>-156593.96963221795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118064.05701640165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839115.95056925458</v>
      </c>
      <c r="F32">
        <f t="shared" si="2"/>
        <v>721051.89355285291</v>
      </c>
      <c r="G32">
        <f t="shared" si="3"/>
        <v>721051.89355285291</v>
      </c>
      <c r="H32">
        <f t="shared" si="1"/>
        <v>1084488.8479346768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61470.347166373227</v>
      </c>
      <c r="F33">
        <f t="shared" si="2"/>
        <v>61470.347166373227</v>
      </c>
      <c r="G33">
        <f t="shared" si="3"/>
        <v>61470.347166373227</v>
      </c>
      <c r="H33">
        <f t="shared" si="1"/>
        <v>152428.80484947297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34748.143170077739</v>
      </c>
      <c r="F34">
        <f t="shared" si="2"/>
        <v>34748.143170077739</v>
      </c>
      <c r="G34">
        <f t="shared" si="3"/>
        <v>34748.143170077739</v>
      </c>
      <c r="H34">
        <f t="shared" si="1"/>
        <v>146406.17107700335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595218.43002819875</v>
      </c>
      <c r="F35">
        <f t="shared" si="2"/>
        <v>595218.43002819875</v>
      </c>
      <c r="G35">
        <f t="shared" si="3"/>
        <v>595218.43002819875</v>
      </c>
      <c r="H35">
        <f t="shared" si="1"/>
        <v>2033510.9249418937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339730.46992612339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183136.50029390544</v>
      </c>
      <c r="F37">
        <f t="shared" ca="1" si="2"/>
        <v>-156593.96963221795</v>
      </c>
      <c r="G37">
        <f t="shared" ca="1" si="3"/>
        <v>-336084.0359083669</v>
      </c>
      <c r="H37">
        <f t="shared" ca="1" si="1"/>
        <v>-179490.06627614895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373912.94111232943</v>
      </c>
      <c r="O3" s="171">
        <f>SUMIF($F$3:$F$472,"Roer",J3:J472)</f>
        <v>373912.94111232943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205702.08942290704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209913.46379772766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-13248.894768460643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-12262.08265357689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-2914.7568490613412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-26976.581837869158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-74193.810703379597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1011.7765743750138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528.54000153918628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-7684.3589657071725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-66244.47384230321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-61310.413267884447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1211.199179595299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11209.8591691567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302.79979489882476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2802.464792289175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-8479.2926518148106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-78477.328982892097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12808.911958815368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4433.8541395899356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-2649.7789536921287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588.77737896993699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294.38868948496855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-6624.4473842303205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-13248.894768460643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-12262.08265357689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-2252.3121106383092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-20845.540511080711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-72868.921226533537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741.80710999435269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404.62205999691975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-7021.91422728414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-50345.800120150445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-46595.914083592186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307.57855780253669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2846.6930745204263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1076.5249523088778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9963.4257608214884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-4239.6463259074053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-39238.664491446048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3310.741420791192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4378.7225242722216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-23848.010583229159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273.65445216255085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149.26606481593683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-6889.4252795995335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14296456.671863517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14296456.671863517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15422346.485874616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15422346.485874616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1977033.543114753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1977033.543114753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161596.3606177516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161596.3606177516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-8823018067.37887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-8823018067.37887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-677606.79746430821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-677606.79746430821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1155381.3821309446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1155381.3821309446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202662.75190714819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202662.75190714819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219670.39367941703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219670.39367941703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6718.4175887121492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6718.4175887121492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-366819645.83113045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-366819645.83113045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-24762.802373838691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-24762.802373838691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52838.863614723181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52838.863614723181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411362.79656062095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411362.79656062095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11937083.602872944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11937083.602872944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233933.41422203628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233933.41422203628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4468412.0388995279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4468412.0388995279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50904.18509066369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50904.18509066369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-3097102423.9302683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-3097102423.9302683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-12953.885233780153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-12953.885233780153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3349931.4281520285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3349931.4281520285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21847.229776483266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21847.229776483266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1180590.6859984226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1180590.6859984226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9747.2255925848422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9747.2255925848422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450949.23000176996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450949.23000176996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9013.0189606373478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9013.0189606373478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-548368328.06973147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-548368328.06973147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-2764.8823264020075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-2764.8823264020075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496007.36336866935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496007.36336866935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97392853.734934688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97392853.734934688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6198.9483564226302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6198.9483564226302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137391.31239695082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137391.31239695082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202965.20524108515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202965.20524108515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8572.0353997189959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8572.0353997189959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-337274973.11852902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-337274973.11852902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-7993.8548823547444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-7993.8548823547444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13023.423700715897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13023.423700715897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1129876.8527963352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1129876.8527963352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1996.233089743549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1996.233089743549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7516.6184540366639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7516.6184540366639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13838.53672098308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13838.53672098308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1420.0877892473998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1420.0877892473998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-55874719.201470993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-55874719.201470993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-2494.4071072085262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-2494.4071072085262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2373.2806177406728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2373.2806177406728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5979978.6547463266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5979978.6547463266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1951850.0829625647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1951850.0829625647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-136490240.33657807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-136490240.33657807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1939606.81668759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1939606.81668759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155105.3744554811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155105.3744554811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50626.006458832904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50626.006458832904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-2397016.0103676352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-2397016.0103676352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294864.21101360442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294864.21101360442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2.9851091961478105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2.9851091961478105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0.97433217884965517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0.97433217884965517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-30.416845283755972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-30.416845283755972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12.456213516834659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12.456213516834659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512288.11454099719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512288.11454099719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167209.55986589513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167209.55986589513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-11692738.705643302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-11692738.705643302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248001.06469683221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248001.06469683221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13287.445394459262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13287.445394459262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4336.9889581380176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4336.9889581380176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-205345.68488821975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-205345.68488821975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37701.784528293771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37701.784528293771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0.25572599002168589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0.25572599002168589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8.3468323828103222E-2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8.3468323828103222E-2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-2.6057264114702048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-2.6057264114702048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1.5926703225046637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1.5926703225046637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150765.11162055825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150765.11162055825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-1462628.9238441708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-1462628.9238441708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16627.855729329058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16627.855729329058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1807.197028044113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1807.197028044113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-14244.990935973052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-14244.990935973052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1168.2130323881111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1168.2130323881111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1.7546921558476519E-2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1.7546921558476519E-2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-0.11551271939313335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-0.11551271939313335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2.4897060948130035E-2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2.4897060948130035E-2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10987.921619592245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10987.921619592245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-106597.95095164997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-106597.95095164997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2126.0628128443682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2126.0628128443682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131.71044071048212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131.71044071048212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-1038.1900838584359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-1038.1900838584359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149.36948732719935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149.36948732719935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1.2788382980468192E-3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1.2788382980468192E-3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-8.4186897957672386E-3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-8.4186897957672386E-3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3.1833759140436606E-3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3.1833759140436606E-3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18128.16175531489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18128.16175531489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-15511012.571778418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-15511012.571778418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3358.7906588998821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3358.7906588998821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1321.1997015331247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1321.1997015331247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-1130459.0866364001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-1130459.0866364001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429.46005980917982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429.46005980917982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1850258.7939976691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1850258.7939976691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-6534799.6524023823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-6534799.6524023823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99054.247748754948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99054.247748754948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58777.499446875452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58777.499446875452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-138394.7601278119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-138394.7601278119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18443.055883545258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18443.055883545258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1.9133745880845439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1.9133745880845439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-2.8961631051734411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-2.8961631051734411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1.3178087369050042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1.3178087369050042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134848.82799393893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134848.82799393893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-476263.14608548256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-476263.14608548256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12665.226113397273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12665.226113397273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4283.7666485024329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4283.7666485024329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-10086.357251363645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-10086.357251363645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2358.1570532906162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2358.1570532906162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0.13944877416802667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0.13944877416802667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-0.21107544613697826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-0.21107544613697826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0.16849702063707939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0.16849702063707939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9377249.6664450914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9377249.6664450914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-29292093.879463714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-29292093.879463714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429685.60558446439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429685.60558446439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930025.18468292209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930025.18468292209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-2030486.2624072935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-2030486.2624072935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249776.27481381013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249776.27481381013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36.33608154674193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36.33608154674193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-54.921525917082732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-54.921525917082732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21.420281367164794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21.420281367164794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935211.68689167371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935211.68689167371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-2921358.5543774571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-2921358.5543774571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54940.252195975947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54940.252195975947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92753.254179781798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92753.254179781798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-202504.41763018331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-202504.41763018331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31936.772729857254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31936.772729857254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3.6238693995703817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3.6238693995703817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-5.4774325870169021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-5.4774325870169021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2.738829611990492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2.738829611990492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227506.41036576603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227506.41036576603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67541.817252888533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67541.817252888533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134010.3740454606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134010.3740454606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7321.4919512721617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7321.4919512721617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2173.5953312097504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2173.5953312097504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25276.999481595238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25276.999481595238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9.4644483128910981E-2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9.4644483128910981E-2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2.8097935232724778E-2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2.8097935232724778E-2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0.71721908709544702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0.71721908709544702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16580.909059022317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16580.909059022317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4922.5194479169131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4922.5194479169131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17134.769355189386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17134.769355189386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533.59811719254628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533.59811719254628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158.41393857853029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158.41393857853029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3231.9554302672823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3231.9554302672823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6.8977905509373019E-3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6.8977905509373019E-3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2.0478073918492683E-3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2.0478073918492683E-3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9.1704718549259642E-2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9.1704718549259642E-2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345562.72197585326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345562.72197585326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-574139.38653041748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-574139.38653041748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9669.7591800427253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9669.7591800427253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2950.1854534215036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2950.1854534215036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-3176.9768957905158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-3176.9768957905158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483.85946219090124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483.85946219090124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3.9585919739545707E-2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3.9585919739545707E-2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-2.6099407826600345E-2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-2.6099407826600345E-2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1.4250866299830601E-2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1.4250866299830601E-2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25184.97855976026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25184.97855976026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-41843.88888189412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-41843.88888189412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1236.3900515198202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1236.3900515198202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215.01265231071139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215.01265231071139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-231.54145374201795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-231.54145374201795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61.867003536267731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61.867003536267731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2.8850639160624332E-3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2.8850639160624332E-3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-1.9021525897729777E-3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-1.9021525897729777E-3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1.8221373449521386E-3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1.8221373449521386E-3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22720.469700023845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22720.469700023845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-374660.27773890906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-374660.27773890906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5260.4828405136559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5260.4828405136559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677.88095690732621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677.88095690732621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-9315.2074957818677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-9315.2074957818677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709.39925206954206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709.39925206954206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1.4740602344620603E-2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1.4740602344620603E-2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-0.17362311359977153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-0.17362311359977153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3.5346806563942131E-2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3.5346806563942131E-2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1655.8919868178593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1655.8919868178593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-27305.639358598386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-27305.639358598386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672.61330185195686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672.61330185195686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49.404684822958821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49.404684822958821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-678.90222567866465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-678.90222567866465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90.704862601398034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90.704862601398034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1.0743107702258542E-3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1.0743107702258542E-3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-1.2653837105133738E-2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-1.2653837105133738E-2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4.5194962123617649E-3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4.5194962123617649E-3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1410243.012533868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1410243.012533868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-6724808.9652137514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-6724808.9652137514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107614.03120203332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107614.03120203332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42075.577460765489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42075.577460765489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-147096.28681363611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-147096.28681363611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18818.550890525203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18818.550890525203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0.91493845556457565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0.91493845556457565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-2.3669834764719746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-2.3669834764719746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0.89821143383507485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0.89821143383507485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102780.01004170519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102780.01004170519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-490111.22681001009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-490111.22681001009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13759.692987674753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13759.692987674753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3066.5128176440194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3066.5128176440194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-10720.5337671829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-10720.5337671829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2406.1684134890734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2406.1684134890734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6.6681687350825275E-2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6.6681687350825275E-2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-0.17250827220425413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-0.17250827220425413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0.11484667407716483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0.11484667407716483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6482362.7921532476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6482362.7921532476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-23302135.402033687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-23302135.402033687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331137.08758742217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331137.08758742217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208611.99880773886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208611.99880773886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-507742.82642488671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-507742.82642488671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62458.985365153909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62458.985365153909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2.6967146768790466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2.6967146768790466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-4.3276224875293616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-4.3276224875293616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1.7722347344715954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1.7722347344715954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687941.11987552466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687941.11987552466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-2472940.4443964041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-2472940.4443964041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42339.689454451029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42339.689454451029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22138.96023421991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22138.96023421991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-53884.236322335579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-53884.236322335579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7986.1004494175104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7986.1004494175104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0.2861889984069681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0.2861889984069681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-0.45926918253838322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-0.45926918253838322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0.22660061681586452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0.22660061681586452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436106.27464553615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436106.27464553615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232926.54181955408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232926.54181955408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-17345135.923402004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-17345135.923402004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225357.35915605063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225357.35915605063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8936.4787731126962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8936.4787731126962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4773.0179951133568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4773.0179951133568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-245414.6632767691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-245414.6632767691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27066.181299458272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27066.181299458272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0.13970606417287085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0.13970606417287085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7.4617707405051178E-2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7.4617707405051178E-2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-2.6081489253052186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-2.6081489253052186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0.92876624046943446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0.92876624046943446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30668.664765661808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30668.664765661808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16380.287194663799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16380.287194663799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-1219776.4395433674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-1219776.4395433674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28814.533196688037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28814.533196688037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628.44743956231287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628.44743956231287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335.6569197074291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335.6569197074291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-17258.499760707455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-17258.499760707455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3460.7229268282704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3460.7229268282704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9.824665905874207E-3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9.824665905874207E-3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5.2474031836569424E-3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5.2474031836569424E-3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-0.18341502908693733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-0.18341502908693733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0.11875345792208238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0.11875345792208238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711399.98164280283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711399.98164280283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118184.45884859512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118184.45884859512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-7468054.9445148157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-7468054.9445148157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113200.49642276853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113200.49642276853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49804.386279756327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49804.386279756327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8273.973281763223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8273.973281763223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-392123.17558276292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-392123.17558276292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46449.733172795422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46449.733172795422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1.3960047139817289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1.3960047139817289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0.23191743875368656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0.23191743875368656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-8.3741838433982849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-8.3741838433982849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2.8578084777665103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2.8578084777665103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51847.586981155284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51847.586981155284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8613.4090077190758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8613.4090077190758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-544279.78395730944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-544279.78395730944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14473.986890291675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14473.986890291675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3629.796621191475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3629.796621191475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603.01596918141217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603.01596918141217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-28578.35391899438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-28578.35391899438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5939.1332215515076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5939.1332215515076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0.10174230770589554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0.10174230770589554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1.6902389497482448E-2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1.6902389497482448E-2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-0.61031942145140805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-0.61031942145140805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0.36540371950027212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0.36540371950027212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671116.11556488532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671116.11556488532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-1476455.4542427477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-1476455.4542427477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26384.183365892331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26384.183365892331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20023.214335862725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20023.214335862725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-33372.023893104539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-33372.023893104539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3558.0231917270294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3558.0231917270294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0.43540718643673265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0.43540718643673265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-0.55980923970437058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-0.55980923970437058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0.1772834650460931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0.1772834650460931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48911.655993936409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48911.655993936409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-107605.64318666011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-107605.64318666011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3373.5216383041152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3373.5216383041152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1459.3131483129846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1459.3131483129846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-2432.1885805216411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-2432.1885805216411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454.93423315105338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454.93423315105338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3.1732938647071135E-2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3.1732938647071135E-2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-4.0799492546234314E-2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-4.0799492546234314E-2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2.2667732298270408E-2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2.2667732298270408E-2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120418.55608782951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120418.55608782951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-592459.29595212115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-592459.29595212115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9704.9491751457172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9704.9491751457172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16041.707967983746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16041.707967983746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-65771.002668733359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-65771.002668733359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5843.5860724758813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5843.5860724758813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0.50136051026230211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0.50136051026230211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-1.7619240789218047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-1.7619240789218047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0.41848184663452181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0.41848184663452181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8776.2323896765447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8776.2323896765447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-43179.063357208601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-43179.063357208601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1240.8894975813275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1240.8894975813275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1169.1367313162814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1169.1367313162814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-4793.460598396754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-4793.460598396754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747.16976407441757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747.16976407441757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3.6539687005211326E-2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3.6539687005211326E-2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-0.12841090004688555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-0.12841090004688555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5.3507722610965751E-2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5.3507722610965751E-2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1641051.5457713443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1641051.5457713443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-5950150.6373145189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-5950150.6373145189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233923.55186918346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233923.55186918346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256359.0878025734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256359.0878025734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-774592.36101816955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-774592.36101816955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165169.34025129364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165169.34025129364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10.483999011647029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10.483999011647029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-27.152178109517838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-27.152178109517838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15.477661637780136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15.477661637780136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209827.33566007458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209827.33566007458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-760795.2707036786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-760795.2707036786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29909.819568635943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29909.819568635943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32778.461166847519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32778.461166847519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-99040.552232437491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-99040.552232437491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21118.80195778457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21118.80195778457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1.3404999893789222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1.3404999893789222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-3.4717186091860621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-3.4717186091860621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1.9789972545786572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1.9789972545786572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606661.04726979067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563872.73439718515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657216.13454227336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610862.12893028406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3159098.4087003632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3159098.4087003632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122984.03172253245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122984.03172253245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16160.101768340764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16160.101768340764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1637278.8284784025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1637278.8284784025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1398490.463052188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1398490.463052188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26792.881393239317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26792.881393239317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124722.75860826911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124722.75860826911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123064.00121069238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123064.00121069238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107996.19646464376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107996.19646464376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52379.030457122608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52379.030457122608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6913.8569859861082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6913.8569859861082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71063.947754692635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71063.947754692635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185939.47423661887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185939.47423661887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685.83468496617968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685.83468496617968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5290666613.2844982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5290666613.2844982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146913194.13793731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146913194.13793731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69873348.431457981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69873348.431457981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1498693742.6388359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1498693742.6388359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215890730.41001761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215890730.41001761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2035285226.1060581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2035285226.1060581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146017381.97855964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146017381.97855964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3588623510.4669328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3588623510.4669328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8473158.1974925492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8473158.1974925492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269972.04314608447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269972.04314608447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3844700.2565375054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3844700.2565375054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30551594.146038637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30551594.146038637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-32404.039252680152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-32404.039252680152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57311152.859294422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57311152.859294422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-119606.97268617571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-119606.97268617571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53678.438472388472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53678.438472388472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40039099.276768751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40039099.276768751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31462332.99012664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31462332.99012664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309014.94488345628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309014.94488345628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37084794.837356575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36954395.004010893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73641751.323040396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73547817.563650429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20955154.417458218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21746854.7426144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9617432.0173852239</v>
      </c>
      <c r="J452" s="286">
        <f ca="1">SUMIFS('Forbrug af biomasse'!$E$1:$E$425,'Forbrug af biomasse'!$A$1:$A$425,"Biogas",'Forbrug af biomasse'!$B$1:$B$425,$A$1,'Forbrug af biomasse'!$D$1:$D$425,J$2)*'[1]Processer - data'!J452</f>
        <v>9667687.4423104227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68244815.627301723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68244815.627301723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72424428.149669126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72424428.149669126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28683.13506158163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28683.13506158163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10165263.18675559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10165263.18675559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48725065.97496669</v>
      </c>
      <c r="J457" s="286">
        <f ca="1">J452*'[1]Processer - data'!J$457*Biogasanlæg!AC$3</f>
        <v>48419444.031768396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82941262.972036302</v>
      </c>
      <c r="J458" s="286">
        <f ca="1">-SUMIFS('Resultater - Vestdanmark'!J$3:J$482,'Resultater - Vestdanmark'!$F$3:$F$482,"Gødning",'Resultater - Vestdanmark'!$A$3:$A$482,"&lt;&gt;Gødning")-SUM(J453:J457)</f>
        <v>83246884.915234566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11.209066709203757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11.209066709203757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5.3350081697315535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5.3350081697315535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2.6938735478168612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2.6938735478168612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31.971133055605648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29.472830701124686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12.643670274175092</v>
      </c>
      <c r="J467" s="286">
        <f ca="1">SUM(J433:J451)*'[1]Processer - data'!$H$467</f>
        <v>12.664038490263765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238170.00757730153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238170.00757730153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152428.80484947297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152428.80484947297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2246451.1221419098</v>
      </c>
      <c r="O3" s="171">
        <f>SUMIF($F$3:$F$472,"Roer",J3:J472)</f>
        <v>2246451.1221419098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178107.99808813466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183136.50029390544</v>
      </c>
      <c r="M4" s="171">
        <f ca="1">SUMIF($F$3:$F$472,"Bioaffald",H3:H472)</f>
        <v>165083.0224523381</v>
      </c>
      <c r="N4" s="171">
        <f ca="1">SUMIF($F$3:$F$472,"Bioaffald",I3:I472)</f>
        <v>178107.99808813466</v>
      </c>
      <c r="O4" s="171">
        <f ca="1">SUMIF($F$3:$F$472,"Bioaffald",J3:J472)</f>
        <v>183136.50029390544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-3878.0152331452473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-3589.1705800137743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-853.16335129195431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-7896.1752760303034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-21716.885305613385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296.15187051724934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154.70620101647353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-2249.2488352242431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-19390.076165726237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-17945.852900068872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354.52382639682889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3281.179704354583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88.630956599207224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820.29492608864575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-2481.9297492129581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-22970.691712088155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3749.2301482045605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1297.8104359169636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-775.60304662904946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172.33797116512517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86.168985582562598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-1939.0076165726234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-3878.0152331452473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-3589.1705800137743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-659.26258963469195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-6101.5899860234167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-21329.083782298861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217.13050959252152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118.43482341410268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-2055.3480735669809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-14736.457885951939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-13638.848204052341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90.029723489582153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833.24075705991618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315.10403221353738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2916.3426497097048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-1240.964874606479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-11485.345856044078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969.06994033925184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1281.6731469003009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-6980.4274196614451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80.099974575289949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43.69089522288543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-2016.5679212355285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2071515.3281364846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2071515.3281364846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2234653.5141253849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2234653.5141253849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286466.4568852472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286466.4568852472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23414.846466786057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23414.846466786057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-1278429864.5811303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-1278429864.5811303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-98183.270135691782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-98183.270135691782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167411.4291297184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167411.4291297184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29365.248092851842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29365.248092851842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31829.606320583025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31829.606320583025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973.47932675019149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973.47932675019149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-53151108.448869616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-53151108.448869616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-3588.0586261613153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-3588.0586261613153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7656.1989037906696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7656.1989037906696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29237.203439379071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29237.203439379071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848416.39712705649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848416.39712705649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16626.58577796373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16626.58577796373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317587.9611004726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317587.9611004726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3617.9645506474885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3617.9645506474885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-220123488.06973165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-220123488.06973165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-920.68456621984785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-920.68456621984785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238093.0591967548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238093.0591967548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1552.7702235167274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1552.7702235167274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83909.31400157699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83909.31400157699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692.77440741515522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692.77440741515522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32050.76999822988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32050.76999822988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640.59139805148084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640.59139805148084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-38974735.930268347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-38974735.930268347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-196.51127359799167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-196.51127359799167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35253.232211296287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35253.232211296287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8174146.2650652872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8174146.2650652872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520.27544744598629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520.27544744598629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11531.202136642132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11531.202136642132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17034.794758914846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17034.794758914846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719.44776705405002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719.44776705405002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-28307364.001470979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-28307364.001470979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-670.92128964525375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-670.92128964525375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1093.0511440942016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1093.0511440942016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94830.147203665125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94830.147203665125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167.54310638783448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167.54310638783448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630.86701237038972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630.86701237038972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1161.4632790169212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1161.4632790169212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119.18744397955427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119.18744397955427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-4689544.5585290203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-4689544.5585290203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-209.3546677914741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-209.3546677914741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199.18856623972366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199.18856623972366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2050859.7378424879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2050859.7378424879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669395.49128244352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669395.49128244352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-46809922.689700156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-46809922.689700156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665196.60976250691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665196.60976250691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21931.264137248862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21931.264137248862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7158.3097862376871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7158.3097862376871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-338928.23797460209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-338928.23797460209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41692.590724617039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41692.590724617039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0.46026939528920069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0.46026939528920069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0.15023077994890688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0.15023077994890688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-4.6899265874179825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-4.6899265874179825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1.9206044021388524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1.9206044021388524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175691.44121500885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175691.44121500885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57345.247183975865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57345.247183975865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-4010075.6910701026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-4010075.6910701026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85053.045820675907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85053.045820675907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1878.7903106400649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1878.7903106400649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613.23246041714083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613.23246041714083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-29035.038086448942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-29035.038086448942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5330.8777844637343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5330.8777844637343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3.9429997046307501E-2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3.9429997046307501E-2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1.2869852460922154E-2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1.2869852460922154E-2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-0.4017729472825301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-0.4017729472825301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0.24557138719758237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0.24557138719758237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79382.462637587189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79382.462637587189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-770119.05905611347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-770119.05905611347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8755.0768343454401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8755.0768343454401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392.31030075624011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392.31030075624011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-3092.3339246577657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-3092.3339246577657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253.59825130940408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253.59825130940408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4.1537485171825655E-3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4.1537485171825655E-3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-2.7344442459376454E-2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-2.7344442459376454E-2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5.8936907907667195E-3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5.8936907907667195E-3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5785.478271838314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5785.478271838314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-56127.095769740605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-56127.095769740605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1119.437381710318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1119.437381710318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28.591991800577986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28.591991800577986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-225.37258401838594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-225.37258401838594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32.425456432140948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32.425456432140948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3.0272960795577015E-4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3.0272960795577015E-4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-1.9928920374580098E-3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-1.9928920374580098E-3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7.5357622922784661E-4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7.5357622922784661E-4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9489.5520235363219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9489.5520235363219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-8119552.4799674004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-8119552.4799674004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1758.2267371623316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1758.2267371623316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691.60864021435714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691.60864021435714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-591761.6169753297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-591761.6169753297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224.80953306781885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224.80953306781885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104910.18611455506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104910.18611455506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-370524.95033607027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-370524.95033607027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5616.4032839463534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5616.4032839463534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1374.0317879268807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1374.0317879268807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-3235.2311936985234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-3235.2311936985234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431.14023714818285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431.14023714818285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4.8775387989525631E-2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4.8775387989525631E-2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-7.3828449492056372E-2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-7.3828449492056372E-2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3.3593334435822547E-2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3.3593334435822547E-2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7645.9658984285725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7645.9658984285725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-27004.252301040244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-27004.252301040244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718.12182871381867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718.12182871381867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100.14089749468296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100.14089749468296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-235.78708890613029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-235.78708890613029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55.12624359043798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55.12624359043798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3.5548021318284094E-3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3.5548021318284094E-3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-5.3806958890887232E-3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-5.3806958890887232E-3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4.2952946108059812E-3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4.2952946108059812E-3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1219312.186444331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1219312.186444331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-3808814.7702311832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-3808814.7702311832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55871.488321742392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55871.488321742392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49857.975299246806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49857.975299246806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-108852.89515151964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-108852.89515151964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13390.324848300323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13390.324848300323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2.1241886176020617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2.1241886176020617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-3.2106841257588603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-3.2106841257588603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1.2522186193201341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1.2522186193201341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121604.4199838896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121604.4199838896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-379860.64283560839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-379860.64283560839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7143.8131021069394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7143.8131021069394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4972.4346522905953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4972.4346522905953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-10856.114886433183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-10856.114886433183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1712.1072118555085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1712.1072118555085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0.21184953915136845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0.21184953915136845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-0.32020788868102856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-0.32020788868102856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0.16011056888062619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0.16011056888062619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24612.677857086128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24612.677857086128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7306.9808769558731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7306.9808769558731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14497.851557614207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14497.851557614207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326.56174814953465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326.56174814953465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96.949241473411405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96.949241473411405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1127.4342980395331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1127.4342980395331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4.6033721263427667E-3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4.6033721263427667E-3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1.3666433328388963E-3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1.3666433328388963E-3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3.4884509322315065E-2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3.4884509322315065E-2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1793.798128990067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1793.798128990067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532.54053466904622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532.54053466904622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1853.7172540181223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1853.7172540181223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23.800167386569424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23.800167386569424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7.0657637893693339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7.0657637893693339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144.15545660281393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144.15545660281393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3.3549865460500041E-4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3.3549865460500041E-4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9.9602419032895513E-5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9.9602419032895513E-5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4.4603861869981117E-3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4.4603861869981117E-3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2086504.8977723797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2086504.8977723797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-3466648.9346714136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-3466648.9346714136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58385.9270874953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58385.9270874953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7344.1634378322378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7344.1634378322378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-7908.7358843298125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-7908.7358843298125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1204.5151151939733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1204.5151151939733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0.10746048902092988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0.10746048902092988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-7.0849815961238155E-2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-7.0849815961238155E-2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3.8685600123162897E-2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3.8685600123162897E-2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152066.69520013814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152066.69520013814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-252653.05989809873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-252653.05989809873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7465.313050269966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7465.313050269966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535.25043923604892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535.25043923604892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-576.397079357336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-576.397079357336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154.01112660641238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154.01112660641238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7.8318346855786869E-3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7.8318346855786869E-3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-5.1636099106529996E-3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-5.1636099106529996E-3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4.946399412724691E-3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4.946399412724691E-3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14347.680241215498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14347.680241215498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-236593.07818258772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-236593.07818258772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3321.9262940682847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3321.9262940682847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176.48927187740213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176.48927187740213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-2425.255012056959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-2425.255012056959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184.69519786973973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184.69519786973973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4.1849971341676164E-3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4.1849971341676164E-3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-4.9293252463693961E-2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-4.9293252463693961E-2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1.0035294400710751E-2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1.0035294400710751E-2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1045.6741895977941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1045.6741895977941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-17243.155069928289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-17243.155069928289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424.74652629870178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424.74652629870178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12.862725767540006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12.862725767540006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-176.7551636685906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-176.7551636685906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23.615407680568712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23.615407680568712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3.0500704038335035E-4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3.0500704038335035E-4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-3.592544645269145E-3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-3.592544645269145E-3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1.283127938358492E-3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1.283127938358492E-3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359549.63570951426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359549.63570951426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-1714529.0507869916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-1714529.0507869916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27436.821435762409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27436.821435762409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4422.7814073992404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4422.7814073992404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-15462.050949234434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-15462.050949234434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1978.1151445971639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1978.1151445971639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0.1048750857098731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0.1048750857098731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-0.27131616717943419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-0.27131616717943419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0.10295774599496317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0.10295774599496317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26204.359702741542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26204.359702741542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-124956.70000878678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-124956.70000878678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3508.1135359104669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3508.1135359104669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322.33701101486162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322.33701101486162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-1126.8907115322488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-1126.8907115322488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252.92479781588696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252.92479781588696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7.6434077436186437E-3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7.6434077436186437E-3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-1.9773810711584371E-2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-1.9773810711584371E-2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1.3164333310161565E-2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1.3164333310161565E-2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323273.59927012771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323273.59927012771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-1162070.902790843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-1162070.902790843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16513.712914339278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16513.712914339278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4289.2038128167833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4289.2038128167833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-10439.535978173104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-10439.535978173104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1284.1989900100971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1284.1989900100971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6.0462688566581976E-2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6.0462688566581976E-2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-9.7029060189655583E-2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-9.7029060189655583E-2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3.9735044176511254E-2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3.9735044176511254E-2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34307.429102438567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34307.429102438567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-123324.84062885126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-123324.84062885126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2111.4683396751602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2111.4683396751602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455.19199850019623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455.19199850019623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-1107.8963492291152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-1107.8963492291152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164.19962750440172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164.19962750440172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6.4166062617675469E-3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6.4166062617675469E-3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-1.0297214529267176E-2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-1.0297214529267176E-2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5.0805829185419267E-3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5.0805829185419267E-3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177969.97824137105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177969.97824137105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95054.655228607488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95054.655228607488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-7078351.4073272571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-7078351.4073272571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91965.758433844385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91965.758433844385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1503.5619745954352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1503.5619745954352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803.05996844129493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803.05996844129493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-41291.001196276156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-41291.001196276156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4553.8832500574117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4553.8832500574117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2.5632160888048997E-2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2.5632160888048997E-2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1.3690265291111409E-2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1.3690265291111409E-2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-0.47852248411130432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-0.47852248411130432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0.17040266536779172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0.17040266536779172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12515.531003246944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12515.531003246944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6684.6076864892084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6684.6076864892084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-497776.80126550345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-497776.80126550345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11758.881135608359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11758.881135608359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105.73624099021183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105.73624099021183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56.474254994077079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56.474254994077079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-2903.7414665872561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-2903.7414665872561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582.2664082239171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582.2664082239171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1.8025517980313913E-3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1.8025517980313913E-3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9.6275192808755611E-4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9.6275192808755611E-4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-3.3651535190521102E-2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-3.3651535190521102E-2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2.1787942831919389E-2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2.1787942831919389E-2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533476.73476254696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533476.73476254696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88626.174913066206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88626.174913066206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-5600272.2373240925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-5600272.2373240925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84888.716282593246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84888.716282593246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15398.191666158038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15398.191666158038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2558.0924884330102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2558.0924884330102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-121234.05718624723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-121234.05718624723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14361.02214409422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14361.02214409422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0.47065650992134078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0.47065650992134078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7.818988805730856E-2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7.818988805730856E-2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-2.8233172149768984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-2.8233172149768984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0.96349686408495139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0.96349686408495139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38880.351590888582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38880.351590888582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6459.1698498517517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6459.1698498517517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-408153.79453945684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-408153.79453945684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10853.999809499195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10853.999809499195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1122.2365790901706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1122.2365790901706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186.43650017194551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186.43650017194551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-8835.6669767224994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-8835.6669767224994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1836.2220380068941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1836.2220380068941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3.4301946817657143E-2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3.4301946817657143E-2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5.6985621685517697E-3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5.6985621685517697E-3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-0.2057663602139464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-0.2057663602139464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0.12319416804958264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0.12319416804958264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132407.14540962569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132407.14540962569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-291295.71990117652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-291295.71990117652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5205.4395989305913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5205.4395989305913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1628.7260582781455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1628.7260582781455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-2714.5434304635755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-2714.5434304635755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289.41632402868169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289.41632402868169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3.8621123050317889E-2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3.8621123050317889E-2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-4.9655729636123004E-2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-4.9655729636123004E-2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1.572524921870298E-2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1.572524921870298E-2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9649.9735250189897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9649.9735250189897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-21229.941755041782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-21229.941755041782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665.57538963205775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665.57538963205775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118.7032866939977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118.7032866939977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-197.83881115666284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-197.83881115666284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37.005209448754599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37.005209448754599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2.814748507635861E-3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2.814748507635861E-3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-3.6189623669603929E-3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-3.6189623669603929E-3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2.0106541775933122E-3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2.0106541775933122E-3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30701.40932395155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30701.40932395155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-151050.93387384163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-151050.93387384163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2474.3330826602437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2474.3330826602437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1686.226833366341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1686.226833366341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-6913.5300168019985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-6913.5300168019985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614.24953366316288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614.24953366316288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5.7468593833296985E-2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5.7468593833296985E-2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-0.20196105832844372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-0.20196105832844372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4.7968602988426735E-2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4.7968602988426735E-2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2237.5513514799004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2237.5513514799004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-11008.75264928111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-11008.75264928111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316.37197479141111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316.37197479141111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122.89400431390058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122.89400431390058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-503.86541768699237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-503.86541768699237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78.53887552228241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78.53887552228241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4.1883722158326166E-3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4.1883722158326166E-3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-1.4719136644211771E-2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-1.4719136644211771E-2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6.1333382161780645E-3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6.1333382161780645E-3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432346.04194797156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432346.04194797156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-1567607.1136619709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-1567607.1136619709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61628.729475109525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61628.729475109525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27630.220677240017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27630.220677240017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-83485.075771211064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-83485.075771211064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17801.847242380358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17801.847242380358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1.1299587962949929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1.1299587962949929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-2.9264446190173854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-2.9264446190173854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1.6681726022921195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1.6681726022921195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55280.419618069624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55280.419618069624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-200436.61935485722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-200436.61935485722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7879.9426740734016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7879.9426740734016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3532.8418557871296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3532.8418557871296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-10674.528208203799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-10674.528208203799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2276.1711454594224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2276.1711454594224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0.14447824277256377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0.14447824277256377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-0.37417964045520502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-0.37417964045520502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0.21329507501579709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0.21329507501579709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177572.60690670041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165048.26189374441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192370.32414892549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178802.2837182231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224529.79129963685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224529.79129963685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8740.9682774675621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8740.9682774675621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1148.5632316592378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1148.5632316592378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116367.97152159807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116367.97152159807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202637.2336137525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202637.2336137525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3882.2112195303494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3882.2112195303494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18071.967911669875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18071.967911669875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17831.618750083384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17831.618750083384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7675.7227272754371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7675.7227272754371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3722.7877246955832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3722.7877246955832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491.39553926641787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491.39553926641787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5050.7997200548252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5050.7997200548252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15605.83144011804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15605.83144011804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57.561851959140412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57.561851959140412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649382479.82762516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18032293.716852445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15723280.497011581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183951386.51398864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26498675.522935599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249813239.78468749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17922340.706383832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13304314.266702108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440471759.93726152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3721842.2025074484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3721842.2025074484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91212.35685391548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91212.35685391548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546245.99346249516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546245.99346249516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4426837.8539613644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4426837.8539613644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-4695.2518058248043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-4695.2518058248043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4073333.4407055769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4073333.4407055769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-8500.9471503790664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-8500.9471503790664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4505.2115276115255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4505.2115276115255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5386120.7232312644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5386120.7232312644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1540267.0098733543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1540267.0098733543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1856547.0551165438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1856547.0551165438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32110021.762643434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32240421.595989112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28507370.806959562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28601304.566349521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17628836.528427292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18453245.887876675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2514947.1672980539</v>
      </c>
      <c r="J452" s="286">
        <f ca="1">SUMIFS('Forbrug af biomasse'!$E$1:$E$425,'Forbrug af biomasse'!$A$1:$A$425,"Biogas",'Forbrug af biomasse'!$B$1:$B$425,$A$1,'Forbrug af biomasse'!$D$1:$D$425,J$2)*'[1]Processer - data'!J452</f>
        <v>2571575.8886360126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9888476.906031603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9888476.906031603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5147494.5169975348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5147494.5169975348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2407.3649384183727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2407.3649384183727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1367446.7132444128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1367446.7132444128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12741547.476357371</v>
      </c>
      <c r="J457" s="286">
        <f ca="1">J452*'[1]Processer - data'!J$457*Biogasanlæg!AC$3</f>
        <v>12879427.014605634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59534048.061152846</v>
      </c>
      <c r="J458" s="286">
        <f ca="1">-SUMIFS('Resultater - Østdanmark'!J$3:J$482,'Resultater - Østdanmark'!$F$3:$F$482,"Gødning",'Resultater - Østdanmark'!$A$3:$A$482,"&lt;&gt;Gødning")-SUM(J453:J457)</f>
        <v>59396168.52290459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7.4526527322284144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7.4526527322284144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2.1514621508230629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2.1514621508230629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0.63936583432943028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0.63936583432943028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9.3581044439798156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8.6268393266250119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4.0196478772860651</v>
      </c>
      <c r="J467" s="286">
        <f ca="1">SUM(J433:J451)*'[1]Processer - data'!$H$467</f>
        <v>4.0572979988747297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96047.417447458167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96047.417447458167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61470.347166373227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61470.347166373227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topLeftCell="A248" zoomScale="80" zoomScaleNormal="80" workbookViewId="0">
      <selection activeCell="A392" sqref="A386:J39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11164025.441522568</v>
      </c>
      <c r="O3" s="98">
        <f>SUMIF($F$3:$F$487,$L$3,J$3:J$487)</f>
        <v>10776813.115488861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383810.08751104167</v>
      </c>
      <c r="J4" s="280">
        <f ca="1">'Resultater - Vestdanmark'!J4+'Resultater - Østdanmark'!J4</f>
        <v>393049.9640916331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1383287.8737791767</v>
      </c>
      <c r="O4" s="98">
        <f t="shared" si="0"/>
        <v>1383287.8737791767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4119285.0829287488</v>
      </c>
      <c r="O5" s="98">
        <f t="shared" si="0"/>
        <v>4119285.0829287488</v>
      </c>
    </row>
    <row r="6" spans="1:21" s="171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16688.944028790494</v>
      </c>
      <c r="O6" s="98">
        <f t="shared" si="0"/>
        <v>16688.944028790494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880.09999999999991</v>
      </c>
      <c r="J7" s="280">
        <f>'Resultater - Vestdanmark'!J7+'Resultater - Østdanmark'!J7</f>
        <v>880.09999999999991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5771.2869889392132</v>
      </c>
      <c r="O7" s="98">
        <f>SUMIFS(J$3:J$487,$F$3:$F$487,$L$3,$C$3:$C$487,$L7)+SUMIFS(J$3:J$487,$F$3:$F$487,$L$3,$C$3:$C$487,"",$A$3:$A$487,"Grøntsager I drivhus")</f>
        <v>5771.2869889392132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-142.57619999999997</v>
      </c>
      <c r="J8" s="280">
        <f>'Resultater - Vestdanmark'!J8+'Resultater - Østdanmark'!J8</f>
        <v>-142.57619999999997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1155348.020323565</v>
      </c>
      <c r="O8" s="98">
        <f>SUMIFS(J$3:J$487,$F$3:$F$487,$L$3,$C$3:$C$487,$L8)</f>
        <v>1149576.7333346258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382.5</v>
      </c>
      <c r="J9" s="280">
        <f>'Resultater - Vestdanmark'!J9+'Resultater - Østdanmark'!J9</f>
        <v>382.5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5844.3959191376161</v>
      </c>
      <c r="O9" s="98">
        <f>SUMIFS(J$3:J$487,$F$3:$F$487,$L$3,$C$3:$C$487,$L9)</f>
        <v>73.108930198402632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-15.861000000000001</v>
      </c>
      <c r="J10" s="280">
        <f>'Resultater - Vestdanmark'!J10+'Resultater - Østdanmark'!J10</f>
        <v>-15.861000000000001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-17126.910001605891</v>
      </c>
      <c r="J16" s="280">
        <f>'Resultater - Vestdanmark'!J16+'Resultater - Østdanmark'!J16</f>
        <v>-15851.253233590665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-3767.9202003532955</v>
      </c>
      <c r="J19" s="280">
        <f>'Resultater - Vestdanmark'!J19+'Resultater - Østdanmark'!J19</f>
        <v>-34872.757113899461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-95910.696008992978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1307.9284448922631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683.24620255565981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-9933.6078009314151</v>
      </c>
    </row>
    <row r="26" spans="1:10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-85634.550008029444</v>
      </c>
      <c r="J28" s="280">
        <f>'Resultater - Vestdanmark'!J28+'Resultater - Østdanmark'!J28</f>
        <v>-79256.266167953319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1565.723005992128</v>
      </c>
      <c r="J29" s="280">
        <f>'Resultater - Vestdanmark'!J29+'Resultater - Østdanmark'!J29</f>
        <v>14491.038873511283</v>
      </c>
    </row>
    <row r="30" spans="1:10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391.43075149803201</v>
      </c>
      <c r="J30" s="280">
        <f>'Resultater - Vestdanmark'!J30+'Resultater - Østdanmark'!J30</f>
        <v>3622.7597183778207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-10961.222401027768</v>
      </c>
      <c r="J31" s="280">
        <f>'Resultater - Vestdanmark'!J31+'Resultater - Østdanmark'!J31</f>
        <v>-101448.02069498025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16558.142107019929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5731.6645755068994</v>
      </c>
    </row>
    <row r="34" spans="1:10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-3425.3820003211781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761.11535013506216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380.55767506753114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-8563.4550008029437</v>
      </c>
    </row>
    <row r="38" spans="1:10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-17126.910001605891</v>
      </c>
      <c r="J40" s="280">
        <f>'Resultater - Vestdanmark'!J40+'Resultater - Østdanmark'!J40</f>
        <v>-15851.253233590665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-2911.5747002730013</v>
      </c>
      <c r="J43" s="280">
        <f>'Resultater - Vestdanmark'!J43+'Resultater - Østdanmark'!J43</f>
        <v>-26947.130497104128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-94198.005008832406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958.93761958687423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523.05688341102245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-9077.2623008511218</v>
      </c>
    </row>
    <row r="50" spans="1:10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-65082.258006102384</v>
      </c>
      <c r="J52" s="280">
        <f>'Resultater - Vestdanmark'!J52+'Resultater - Østdanmark'!J52</f>
        <v>-60234.762287644524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397.60828129211882</v>
      </c>
      <c r="J53" s="280">
        <f>'Resultater - Vestdanmark'!J53+'Resultater - Østdanmark'!J53</f>
        <v>3679.9338315803425</v>
      </c>
    </row>
    <row r="54" spans="1:10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1391.6289845224151</v>
      </c>
      <c r="J54" s="280">
        <f>'Resultater - Vestdanmark'!J54+'Resultater - Østdanmark'!J54</f>
        <v>12879.768410531193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-5480.6112005138839</v>
      </c>
      <c r="J55" s="280">
        <f>'Resultater - Vestdanmark'!J55+'Resultater - Østdanmark'!J55</f>
        <v>-50724.010347490126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4279.8113611304434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5660.3956711725223</v>
      </c>
    </row>
    <row r="58" spans="1:10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-30828.438002890605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353.75442673784079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192.95696003882227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-8905.9932008350625</v>
      </c>
    </row>
    <row r="62" spans="1:10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hidden="1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16367972.000000002</v>
      </c>
      <c r="J74" s="280">
        <f>'Resultater - Vestdanmark'!J74+'Resultater - Østdanmark'!J74</f>
        <v>16367972.000000002</v>
      </c>
    </row>
    <row r="75" spans="1:10" hidden="1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17657000</v>
      </c>
      <c r="J75" s="280">
        <f>'Resultater - Vestdanmark'!J75+'Resultater - Østdanmark'!J75</f>
        <v>17657000</v>
      </c>
    </row>
    <row r="76" spans="1:10" hidden="1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2263500</v>
      </c>
      <c r="J76" s="280">
        <f>'Resultater - Vestdanmark'!J76+'Resultater - Østdanmark'!J76</f>
        <v>2263500</v>
      </c>
    </row>
    <row r="77" spans="1:10" hidden="1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185011.20708453766</v>
      </c>
      <c r="J77" s="280">
        <f>'Resultater - Vestdanmark'!J77+'Resultater - Østdanmark'!J77</f>
        <v>185011.20708453766</v>
      </c>
    </row>
    <row r="78" spans="1:10" hidden="1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-10101447931.960001</v>
      </c>
      <c r="J78" s="280">
        <f>'Resultater - Vestdanmark'!J78+'Resultater - Østdanmark'!J78</f>
        <v>-10101447931.960001</v>
      </c>
    </row>
    <row r="79" spans="1:10" hidden="1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-775790.06759999995</v>
      </c>
      <c r="J79" s="280">
        <f>'Resultater - Vestdanmark'!J79+'Resultater - Østdanmark'!J79</f>
        <v>-775790.06759999995</v>
      </c>
    </row>
    <row r="80" spans="1:10" hidden="1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1322792.811260663</v>
      </c>
      <c r="J80" s="280">
        <f>'Resultater - Vestdanmark'!J80+'Resultater - Østdanmark'!J80</f>
        <v>1322792.811260663</v>
      </c>
    </row>
    <row r="81" spans="1:10" hidden="1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232028.00000000003</v>
      </c>
      <c r="J81" s="280">
        <f>'Resultater - Vestdanmark'!J81+'Resultater - Østdanmark'!J81</f>
        <v>232028.00000000003</v>
      </c>
    </row>
    <row r="82" spans="1:10" hidden="1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hidden="1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251500.00000000006</v>
      </c>
      <c r="J83" s="280">
        <f>'Resultater - Vestdanmark'!J83+'Resultater - Østdanmark'!J83</f>
        <v>251500.00000000006</v>
      </c>
    </row>
    <row r="84" spans="1:10" hidden="1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7691.896915462341</v>
      </c>
      <c r="J84" s="280">
        <f>'Resultater - Vestdanmark'!J84+'Resultater - Østdanmark'!J84</f>
        <v>7691.896915462341</v>
      </c>
    </row>
    <row r="85" spans="1:10" hidden="1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-419970754.28000009</v>
      </c>
      <c r="J85" s="280">
        <f>'Resultater - Vestdanmark'!J85+'Resultater - Østdanmark'!J85</f>
        <v>-419970754.28000009</v>
      </c>
    </row>
    <row r="86" spans="1:10" hidden="1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-28350.861000000004</v>
      </c>
      <c r="J86" s="280">
        <f>'Resultater - Vestdanmark'!J86+'Resultater - Østdanmark'!J86</f>
        <v>-28350.861000000004</v>
      </c>
    </row>
    <row r="87" spans="1:10" hidden="1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60495.062518513849</v>
      </c>
      <c r="J87" s="280">
        <f>'Resultater - Vestdanmark'!J87+'Resultater - Østdanmark'!J87</f>
        <v>60495.062518513849</v>
      </c>
    </row>
    <row r="88" spans="1:10" hidden="1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440600</v>
      </c>
      <c r="J88" s="280">
        <f>'Resultater - Vestdanmark'!J88+'Resultater - Østdanmark'!J88</f>
        <v>440600</v>
      </c>
    </row>
    <row r="89" spans="1:10" hidden="1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12785500</v>
      </c>
      <c r="J89" s="280">
        <f>'Resultater - Vestdanmark'!J89+'Resultater - Østdanmark'!J89</f>
        <v>12785500</v>
      </c>
    </row>
    <row r="90" spans="1:10" hidden="1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250560</v>
      </c>
      <c r="J90" s="280">
        <f>'Resultater - Vestdanmark'!J90+'Resultater - Østdanmark'!J90</f>
        <v>250560</v>
      </c>
    </row>
    <row r="91" spans="1:10" hidden="1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4786000</v>
      </c>
      <c r="J91" s="280">
        <f>'Resultater - Vestdanmark'!J91+'Resultater - Østdanmark'!J91</f>
        <v>4786000</v>
      </c>
    </row>
    <row r="92" spans="1:10" hidden="1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54522.149641311182</v>
      </c>
      <c r="J92" s="280">
        <f>'Resultater - Vestdanmark'!J92+'Resultater - Østdanmark'!J92</f>
        <v>54522.149641311182</v>
      </c>
    </row>
    <row r="93" spans="1:10" hidden="1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-3317225912</v>
      </c>
      <c r="J93" s="280">
        <f>'Resultater - Vestdanmark'!J93+'Resultater - Østdanmark'!J93</f>
        <v>-3317225912</v>
      </c>
    </row>
    <row r="94" spans="1:10" hidden="1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-13874.569800000001</v>
      </c>
      <c r="J94" s="280">
        <f>'Resultater - Vestdanmark'!J94+'Resultater - Østdanmark'!J94</f>
        <v>-13874.569800000001</v>
      </c>
    </row>
    <row r="95" spans="1:10" hidden="1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3588024.4873487833</v>
      </c>
      <c r="J95" s="280">
        <f>'Resultater - Vestdanmark'!J95+'Resultater - Østdanmark'!J95</f>
        <v>3588024.4873487833</v>
      </c>
    </row>
    <row r="96" spans="1:10" hidden="1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23399.999999999993</v>
      </c>
      <c r="J96" s="280">
        <f>'Resultater - Vestdanmark'!J96+'Resultater - Østdanmark'!J96</f>
        <v>23399.999999999993</v>
      </c>
    </row>
    <row r="97" spans="1:10" hidden="1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1264499.9999999995</v>
      </c>
      <c r="J97" s="280">
        <f>'Resultater - Vestdanmark'!J97+'Resultater - Østdanmark'!J97</f>
        <v>1264499.9999999995</v>
      </c>
    </row>
    <row r="98" spans="1:10" hidden="1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10439.999999999998</v>
      </c>
      <c r="J98" s="280">
        <f>'Resultater - Vestdanmark'!J98+'Resultater - Østdanmark'!J98</f>
        <v>10439.999999999998</v>
      </c>
    </row>
    <row r="99" spans="1:10" hidden="1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482999.99999999983</v>
      </c>
      <c r="J99" s="280">
        <f>'Resultater - Vestdanmark'!J99+'Resultater - Østdanmark'!J99</f>
        <v>482999.99999999983</v>
      </c>
    </row>
    <row r="100" spans="1:10" hidden="1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9653.6103586888294</v>
      </c>
      <c r="J100" s="280">
        <f>'Resultater - Vestdanmark'!J100+'Resultater - Østdanmark'!J100</f>
        <v>9653.6103586888294</v>
      </c>
    </row>
    <row r="101" spans="1:10" hidden="1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-587343063.99999976</v>
      </c>
      <c r="J101" s="280">
        <f>'Resultater - Vestdanmark'!J101+'Resultater - Østdanmark'!J101</f>
        <v>-587343063.99999976</v>
      </c>
    </row>
    <row r="102" spans="1:10" hidden="1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-2961.393599999999</v>
      </c>
      <c r="J102" s="280">
        <f>'Resultater - Vestdanmark'!J102+'Resultater - Østdanmark'!J102</f>
        <v>-2961.393599999999</v>
      </c>
    </row>
    <row r="103" spans="1:10" hidden="1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531260.59557996562</v>
      </c>
      <c r="J103" s="280">
        <f>'Resultater - Vestdanmark'!J103+'Resultater - Østdanmark'!J103</f>
        <v>531260.59557996562</v>
      </c>
    </row>
    <row r="104" spans="1:10" hidden="1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105566999.99999997</v>
      </c>
      <c r="J104" s="280">
        <f>'Resultater - Vestdanmark'!J104+'Resultater - Østdanmark'!J104</f>
        <v>105566999.99999997</v>
      </c>
    </row>
    <row r="105" spans="1:10" hidden="1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6719.2238038686164</v>
      </c>
      <c r="J105" s="280">
        <f>'Resultater - Vestdanmark'!J105+'Resultater - Østdanmark'!J105</f>
        <v>6719.2238038686164</v>
      </c>
    </row>
    <row r="106" spans="1:10" hidden="1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148922.51453359294</v>
      </c>
      <c r="J106" s="280">
        <f>'Resultater - Vestdanmark'!J106+'Resultater - Østdanmark'!J106</f>
        <v>148922.51453359294</v>
      </c>
    </row>
    <row r="107" spans="1:10" hidden="1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220000</v>
      </c>
      <c r="J107" s="280">
        <f>'Resultater - Vestdanmark'!J107+'Resultater - Østdanmark'!J107</f>
        <v>220000</v>
      </c>
    </row>
    <row r="108" spans="1:10" hidden="1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9291.4831667730468</v>
      </c>
      <c r="J108" s="280">
        <f>'Resultater - Vestdanmark'!J108+'Resultater - Østdanmark'!J108</f>
        <v>9291.4831667730468</v>
      </c>
    </row>
    <row r="109" spans="1:10" hidden="1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-365582337.12</v>
      </c>
      <c r="J109" s="280">
        <f>'Resultater - Vestdanmark'!J109+'Resultater - Østdanmark'!J109</f>
        <v>-365582337.12</v>
      </c>
    </row>
    <row r="110" spans="1:10" hidden="1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-8664.776171999998</v>
      </c>
      <c r="J110" s="280">
        <f>'Resultater - Vestdanmark'!J110+'Resultater - Østdanmark'!J110</f>
        <v>-8664.776171999998</v>
      </c>
    </row>
    <row r="111" spans="1:10" hidden="1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14116.474844810098</v>
      </c>
      <c r="J111" s="280">
        <f>'Resultater - Vestdanmark'!J111+'Resultater - Østdanmark'!J111</f>
        <v>14116.474844810098</v>
      </c>
    </row>
    <row r="112" spans="1:10" hidden="1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1224707.0000000005</v>
      </c>
      <c r="J112" s="280">
        <f>'Resultater - Vestdanmark'!J112+'Resultater - Østdanmark'!J112</f>
        <v>1224707.0000000005</v>
      </c>
    </row>
    <row r="113" spans="1:10" hidden="1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2163.7761961313836</v>
      </c>
      <c r="J113" s="280">
        <f>'Resultater - Vestdanmark'!J113+'Resultater - Østdanmark'!J113</f>
        <v>2163.7761961313836</v>
      </c>
    </row>
    <row r="114" spans="1:10" hidden="1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8147.4854664070535</v>
      </c>
      <c r="J114" s="280">
        <f>'Resultater - Vestdanmark'!J114+'Resultater - Østdanmark'!J114</f>
        <v>8147.4854664070535</v>
      </c>
    </row>
    <row r="115" spans="1:10" hidden="1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15000.000000000002</v>
      </c>
      <c r="J115" s="280">
        <f>'Resultater - Vestdanmark'!J115+'Resultater - Østdanmark'!J115</f>
        <v>15000.000000000002</v>
      </c>
    </row>
    <row r="116" spans="1:10" hidden="1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1539.275233226954</v>
      </c>
      <c r="J116" s="280">
        <f>'Resultater - Vestdanmark'!J116+'Resultater - Østdanmark'!J116</f>
        <v>1539.275233226954</v>
      </c>
    </row>
    <row r="117" spans="1:10" hidden="1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-60564263.760000013</v>
      </c>
      <c r="J117" s="280">
        <f>'Resultater - Vestdanmark'!J117+'Resultater - Østdanmark'!J117</f>
        <v>-60564263.760000013</v>
      </c>
    </row>
    <row r="118" spans="1:10" hidden="1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-2703.7617750000004</v>
      </c>
      <c r="J118" s="280">
        <f>'Resultater - Vestdanmark'!J118+'Resultater - Østdanmark'!J118</f>
        <v>-2703.7617750000004</v>
      </c>
    </row>
    <row r="119" spans="1:10" hidden="1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2572.4691839803963</v>
      </c>
      <c r="J119" s="280">
        <f>'Resultater - Vestdanmark'!J119+'Resultater - Østdanmark'!J119</f>
        <v>2572.4691839803963</v>
      </c>
    </row>
    <row r="120" spans="1:10" hidden="1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8030838.3925888147</v>
      </c>
      <c r="J120" s="280">
        <f>'Resultater - Vestdanmark'!J120+'Resultater - Østdanmark'!J120</f>
        <v>8030838.3925888147</v>
      </c>
    </row>
    <row r="121" spans="1:10" hidden="1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2621245.5742450082</v>
      </c>
      <c r="J121" s="280">
        <f>'Resultater - Vestdanmark'!J121+'Resultater - Østdanmark'!J121</f>
        <v>2621245.5742450082</v>
      </c>
    </row>
    <row r="122" spans="1:10" hidden="1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-183300163.02627823</v>
      </c>
      <c r="J122" s="280">
        <f>'Resultater - Vestdanmark'!J122+'Resultater - Østdanmark'!J122</f>
        <v>-183300163.02627823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2604803.426450097</v>
      </c>
      <c r="J123" s="280">
        <f>'Resultater - Vestdanmark'!J123+'Resultater - Østdanmark'!J123</f>
        <v>2604803.426450097</v>
      </c>
    </row>
    <row r="124" spans="1:10" hidden="1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177036.63859272996</v>
      </c>
      <c r="J124" s="280">
        <f>'Resultater - Vestdanmark'!J124+'Resultater - Østdanmark'!J124</f>
        <v>177036.63859272996</v>
      </c>
    </row>
    <row r="125" spans="1:10" hidden="1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57784.316245070593</v>
      </c>
      <c r="J125" s="280">
        <f>'Resultater - Vestdanmark'!J125+'Resultater - Østdanmark'!J125</f>
        <v>57784.316245070593</v>
      </c>
    </row>
    <row r="126" spans="1:10" hidden="1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-2735944.2483422374</v>
      </c>
      <c r="J126" s="280">
        <f>'Resultater - Vestdanmark'!J126+'Resultater - Østdanmark'!J126</f>
        <v>-2735944.2483422374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336556.80173822143</v>
      </c>
      <c r="J127" s="280">
        <f>'Resultater - Vestdanmark'!J127+'Resultater - Østdanmark'!J127</f>
        <v>336556.80173822143</v>
      </c>
    </row>
    <row r="128" spans="1:10" hidden="1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3.4453785914370112</v>
      </c>
      <c r="J128" s="280">
        <f>'Resultater - Vestdanmark'!J128+'Resultater - Østdanmark'!J128</f>
        <v>3.4453785914370112</v>
      </c>
    </row>
    <row r="129" spans="1:10" hidden="1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1.1245629587985619</v>
      </c>
      <c r="J129" s="280">
        <f>'Resultater - Vestdanmark'!J129+'Resultater - Østdanmark'!J129</f>
        <v>1.1245629587985619</v>
      </c>
    </row>
    <row r="130" spans="1:10" hidden="1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-35.106771871173954</v>
      </c>
      <c r="J130" s="280">
        <f>'Resultater - Vestdanmark'!J130+'Resultater - Østdanmark'!J130</f>
        <v>-35.106771871173954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14.376817918973511</v>
      </c>
      <c r="J131" s="280">
        <f>'Resultater - Vestdanmark'!J131+'Resultater - Østdanmark'!J131</f>
        <v>14.376817918973511</v>
      </c>
    </row>
    <row r="132" spans="1:10" hidden="1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687979.55575600604</v>
      </c>
      <c r="J132" s="280">
        <f>'Resultater - Vestdanmark'!J132+'Resultater - Østdanmark'!J132</f>
        <v>687979.55575600604</v>
      </c>
    </row>
    <row r="133" spans="1:10" hidden="1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224554.80704987101</v>
      </c>
      <c r="J133" s="280">
        <f>'Resultater - Vestdanmark'!J133+'Resultater - Østdanmark'!J133</f>
        <v>224554.80704987101</v>
      </c>
    </row>
    <row r="134" spans="1:10" hidden="1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-15702814.396713404</v>
      </c>
      <c r="J134" s="280">
        <f>'Resultater - Vestdanmark'!J134+'Resultater - Østdanmark'!J134</f>
        <v>-15702814.396713404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333054.11051750812</v>
      </c>
      <c r="J135" s="280">
        <f>'Resultater - Vestdanmark'!J135+'Resultater - Østdanmark'!J135</f>
        <v>333054.11051750812</v>
      </c>
    </row>
    <row r="136" spans="1:10" hidden="1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15166.235705099327</v>
      </c>
      <c r="J136" s="280">
        <f>'Resultater - Vestdanmark'!J136+'Resultater - Østdanmark'!J136</f>
        <v>15166.235705099327</v>
      </c>
    </row>
    <row r="137" spans="1:10" hidden="1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4950.2214185551584</v>
      </c>
      <c r="J137" s="280">
        <f>'Resultater - Vestdanmark'!J137+'Resultater - Østdanmark'!J137</f>
        <v>4950.2214185551584</v>
      </c>
    </row>
    <row r="138" spans="1:10" hidden="1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-234380.72297466869</v>
      </c>
      <c r="J138" s="280">
        <f>'Resultater - Vestdanmark'!J138+'Resultater - Østdanmark'!J138</f>
        <v>-234380.72297466869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43032.662312757508</v>
      </c>
      <c r="J139" s="280">
        <f>'Resultater - Vestdanmark'!J139+'Resultater - Østdanmark'!J139</f>
        <v>43032.662312757508</v>
      </c>
    </row>
    <row r="140" spans="1:10" hidden="1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0.2951559870679934</v>
      </c>
      <c r="J140" s="280">
        <f>'Resultater - Vestdanmark'!J140+'Resultater - Østdanmark'!J140</f>
        <v>0.2951559870679934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9.6338176289025371E-2</v>
      </c>
      <c r="J141" s="280">
        <f>'Resultater - Vestdanmark'!J141+'Resultater - Østdanmark'!J141</f>
        <v>9.6338176289025371E-2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-3.0074993587527348</v>
      </c>
      <c r="J142" s="280">
        <f>'Resultater - Vestdanmark'!J142+'Resultater - Østdanmark'!J142</f>
        <v>-3.0074993587527348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1.8382417097022461</v>
      </c>
      <c r="J143" s="280">
        <f>'Resultater - Vestdanmark'!J143+'Resultater - Østdanmark'!J143</f>
        <v>1.8382417097022461</v>
      </c>
    </row>
    <row r="144" spans="1:10" hidden="1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230147.57425814544</v>
      </c>
      <c r="J144" s="280">
        <f>'Resultater - Vestdanmark'!J144+'Resultater - Østdanmark'!J144</f>
        <v>230147.57425814544</v>
      </c>
    </row>
    <row r="145" spans="1:10" hidden="1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-2232747.9829002842</v>
      </c>
      <c r="J145" s="280">
        <f>'Resultater - Vestdanmark'!J145+'Resultater - Østdanmark'!J145</f>
        <v>-2232747.9829002842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25382.932563674498</v>
      </c>
      <c r="J146" s="280">
        <f>'Resultater - Vestdanmark'!J146+'Resultater - Østdanmark'!J146</f>
        <v>25382.932563674498</v>
      </c>
    </row>
    <row r="147" spans="1:10" hidden="1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2199.5073288003532</v>
      </c>
      <c r="J147" s="280">
        <f>'Resultater - Vestdanmark'!J147+'Resultater - Østdanmark'!J147</f>
        <v>2199.5073288003532</v>
      </c>
    </row>
    <row r="148" spans="1:10" hidden="1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-17337.324860630819</v>
      </c>
      <c r="J148" s="280">
        <f>'Resultater - Vestdanmark'!J148+'Resultater - Østdanmark'!J148</f>
        <v>-17337.324860630819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1421.8112836975151</v>
      </c>
      <c r="J149" s="280">
        <f>'Resultater - Vestdanmark'!J149+'Resultater - Østdanmark'!J149</f>
        <v>1421.8112836975151</v>
      </c>
    </row>
    <row r="150" spans="1:10" hidden="1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2.1700670075659085E-2</v>
      </c>
      <c r="J150" s="280">
        <f>'Resultater - Vestdanmark'!J150+'Resultater - Østdanmark'!J150</f>
        <v>2.1700670075659085E-2</v>
      </c>
    </row>
    <row r="151" spans="1:10" hidden="1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-0.1428571618525098</v>
      </c>
      <c r="J151" s="280">
        <f>'Resultater - Vestdanmark'!J151+'Resultater - Østdanmark'!J151</f>
        <v>-0.1428571618525098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3.0790751738896754E-2</v>
      </c>
      <c r="J152" s="280">
        <f>'Resultater - Vestdanmark'!J152+'Resultater - Østdanmark'!J152</f>
        <v>3.0790751738896754E-2</v>
      </c>
    </row>
    <row r="153" spans="1:10" hidden="1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16773.399891430559</v>
      </c>
      <c r="J153" s="280">
        <f>'Resultater - Vestdanmark'!J153+'Resultater - Østdanmark'!J153</f>
        <v>16773.399891430559</v>
      </c>
    </row>
    <row r="154" spans="1:10" hidden="1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-162725.04672139056</v>
      </c>
      <c r="J154" s="280">
        <f>'Resultater - Vestdanmark'!J154+'Resultater - Østdanmark'!J154</f>
        <v>-162725.04672139056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3245.5001945546865</v>
      </c>
      <c r="J155" s="280">
        <f>'Resultater - Vestdanmark'!J155+'Resultater - Østdanmark'!J155</f>
        <v>3245.5001945546865</v>
      </c>
    </row>
    <row r="156" spans="1:10" hidden="1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160.30243251106009</v>
      </c>
      <c r="J156" s="280">
        <f>'Resultater - Vestdanmark'!J156+'Resultater - Østdanmark'!J156</f>
        <v>160.30243251106009</v>
      </c>
    </row>
    <row r="157" spans="1:10" hidden="1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-1263.5626678768217</v>
      </c>
      <c r="J157" s="280">
        <f>'Resultater - Vestdanmark'!J157+'Resultater - Østdanmark'!J157</f>
        <v>-1263.5626678768217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181.7949437593403</v>
      </c>
      <c r="J158" s="280">
        <f>'Resultater - Vestdanmark'!J158+'Resultater - Østdanmark'!J158</f>
        <v>181.7949437593403</v>
      </c>
    </row>
    <row r="159" spans="1:10" hidden="1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1.5815679060025894E-3</v>
      </c>
      <c r="J159" s="280">
        <f>'Resultater - Vestdanmark'!J159+'Resultater - Østdanmark'!J159</f>
        <v>1.5815679060025894E-3</v>
      </c>
    </row>
    <row r="160" spans="1:10" hidden="1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-1.0411581833225249E-2</v>
      </c>
      <c r="J160" s="280">
        <f>'Resultater - Vestdanmark'!J160+'Resultater - Østdanmark'!J160</f>
        <v>-1.0411581833225249E-2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3.9369521432715071E-3</v>
      </c>
      <c r="J161" s="280">
        <f>'Resultater - Vestdanmark'!J161+'Resultater - Østdanmark'!J161</f>
        <v>3.9369521432715071E-3</v>
      </c>
    </row>
    <row r="162" spans="1:10" hidden="1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27617.713778851212</v>
      </c>
      <c r="J162" s="280">
        <f>'Resultater - Vestdanmark'!J162+'Resultater - Østdanmark'!J162</f>
        <v>27617.713778851212</v>
      </c>
    </row>
    <row r="163" spans="1:10" hidden="1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-23630565.051745817</v>
      </c>
      <c r="J163" s="280">
        <f>'Resultater - Vestdanmark'!J163+'Resultater - Østdanmark'!J163</f>
        <v>-23630565.051745817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5117.0173960622142</v>
      </c>
      <c r="J164" s="280">
        <f>'Resultater - Vestdanmark'!J164+'Resultater - Østdanmark'!J164</f>
        <v>5117.0173960622142</v>
      </c>
    </row>
    <row r="165" spans="1:10" hidden="1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2012.8083417474818</v>
      </c>
      <c r="J165" s="280">
        <f>'Resultater - Vestdanmark'!J165+'Resultater - Østdanmark'!J165</f>
        <v>2012.8083417474818</v>
      </c>
    </row>
    <row r="166" spans="1:10" hidden="1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-1722220.7036117297</v>
      </c>
      <c r="J166" s="280">
        <f>'Resultater - Vestdanmark'!J166+'Resultater - Østdanmark'!J166</f>
        <v>-1722220.7036117297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654.26959287699867</v>
      </c>
      <c r="J167" s="280">
        <f>'Resultater - Vestdanmark'!J167+'Resultater - Østdanmark'!J167</f>
        <v>654.26959287699867</v>
      </c>
    </row>
    <row r="168" spans="1:10" hidden="1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1955168.9801122241</v>
      </c>
      <c r="J168" s="280">
        <f>'Resultater - Vestdanmark'!J168+'Resultater - Østdanmark'!J168</f>
        <v>1955168.9801122241</v>
      </c>
    </row>
    <row r="169" spans="1:10" hidden="1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-6905324.6027384531</v>
      </c>
      <c r="J169" s="280">
        <f>'Resultater - Vestdanmark'!J169+'Resultater - Østdanmark'!J169</f>
        <v>-6905324.6027384531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104670.65103270129</v>
      </c>
      <c r="J170" s="280">
        <f>'Resultater - Vestdanmark'!J170+'Resultater - Østdanmark'!J170</f>
        <v>104670.65103270129</v>
      </c>
    </row>
    <row r="171" spans="1:10" hidden="1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60151.531234802336</v>
      </c>
      <c r="J171" s="280">
        <f>'Resultater - Vestdanmark'!J171+'Resultater - Østdanmark'!J171</f>
        <v>60151.531234802336</v>
      </c>
    </row>
    <row r="172" spans="1:10" hidden="1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-141629.99132151043</v>
      </c>
      <c r="J172" s="280">
        <f>'Resultater - Vestdanmark'!J172+'Resultater - Østdanmark'!J172</f>
        <v>-141629.99132151043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18874.196120693439</v>
      </c>
      <c r="J173" s="280">
        <f>'Resultater - Vestdanmark'!J173+'Resultater - Østdanmark'!J173</f>
        <v>18874.196120693439</v>
      </c>
    </row>
    <row r="174" spans="1:10" hidden="1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1.9621499760740695</v>
      </c>
      <c r="J174" s="280">
        <f>'Resultater - Vestdanmark'!J174+'Resultater - Østdanmark'!J174</f>
        <v>1.9621499760740695</v>
      </c>
    </row>
    <row r="175" spans="1:10" hidden="1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-2.9699915546654974</v>
      </c>
      <c r="J175" s="280">
        <f>'Resultater - Vestdanmark'!J175+'Resultater - Østdanmark'!J175</f>
        <v>-2.9699915546654974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1.3514020713408268</v>
      </c>
      <c r="J176" s="280">
        <f>'Resultater - Vestdanmark'!J176+'Resultater - Østdanmark'!J176</f>
        <v>1.3514020713408268</v>
      </c>
    </row>
    <row r="177" spans="1:10" hidden="1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142494.79389236751</v>
      </c>
      <c r="J177" s="280">
        <f>'Resultater - Vestdanmark'!J177+'Resultater - Østdanmark'!J177</f>
        <v>142494.79389236751</v>
      </c>
    </row>
    <row r="178" spans="1:10" hidden="1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-503267.39838652278</v>
      </c>
      <c r="J178" s="280">
        <f>'Resultater - Vestdanmark'!J178+'Resultater - Østdanmark'!J178</f>
        <v>-503267.39838652278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13383.347942111091</v>
      </c>
      <c r="J179" s="280">
        <f>'Resultater - Vestdanmark'!J179+'Resultater - Østdanmark'!J179</f>
        <v>13383.347942111091</v>
      </c>
    </row>
    <row r="180" spans="1:10" hidden="1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4383.9075459971154</v>
      </c>
      <c r="J180" s="280">
        <f>'Resultater - Vestdanmark'!J180+'Resultater - Østdanmark'!J180</f>
        <v>4383.9075459971154</v>
      </c>
    </row>
    <row r="181" spans="1:10" hidden="1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-10322.144340269775</v>
      </c>
      <c r="J181" s="280">
        <f>'Resultater - Vestdanmark'!J181+'Resultater - Østdanmark'!J181</f>
        <v>-10322.144340269775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2413.2832968810544</v>
      </c>
      <c r="J182" s="280">
        <f>'Resultater - Vestdanmark'!J182+'Resultater - Østdanmark'!J182</f>
        <v>2413.2832968810544</v>
      </c>
    </row>
    <row r="183" spans="1:10" hidden="1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0.14300357629985508</v>
      </c>
      <c r="J183" s="280">
        <f>'Resultater - Vestdanmark'!J183+'Resultater - Østdanmark'!J183</f>
        <v>0.14300357629985508</v>
      </c>
    </row>
    <row r="184" spans="1:10" hidden="1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-0.21645614202606697</v>
      </c>
      <c r="J184" s="280">
        <f>'Resultater - Vestdanmark'!J184+'Resultater - Østdanmark'!J184</f>
        <v>-0.21645614202606697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0.17279231524788538</v>
      </c>
      <c r="J185" s="280">
        <f>'Resultater - Vestdanmark'!J185+'Resultater - Østdanmark'!J185</f>
        <v>0.17279231524788538</v>
      </c>
    </row>
    <row r="186" spans="1:10" hidden="1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10596561.852889422</v>
      </c>
      <c r="J186" s="280">
        <f>'Resultater - Vestdanmark'!J186+'Resultater - Østdanmark'!J186</f>
        <v>10596561.852889422</v>
      </c>
    </row>
    <row r="187" spans="1:10" hidden="1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-33100908.649694897</v>
      </c>
      <c r="J187" s="280">
        <f>'Resultater - Vestdanmark'!J187+'Resultater - Østdanmark'!J187</f>
        <v>-33100908.649694897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485557.09390620678</v>
      </c>
      <c r="J188" s="280">
        <f>'Resultater - Vestdanmark'!J188+'Resultater - Østdanmark'!J188</f>
        <v>485557.09390620678</v>
      </c>
    </row>
    <row r="189" spans="1:10" hidden="1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979883.15998216893</v>
      </c>
      <c r="J189" s="280">
        <f>'Resultater - Vestdanmark'!J189+'Resultater - Østdanmark'!J189</f>
        <v>979883.15998216893</v>
      </c>
    </row>
    <row r="190" spans="1:10" hidden="1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-2139339.1575588132</v>
      </c>
      <c r="J190" s="280">
        <f>'Resultater - Vestdanmark'!J190+'Resultater - Østdanmark'!J190</f>
        <v>-2139339.1575588132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263166.59966211044</v>
      </c>
      <c r="J191" s="280">
        <f>'Resultater - Vestdanmark'!J191+'Resultater - Østdanmark'!J191</f>
        <v>263166.59966211044</v>
      </c>
    </row>
    <row r="192" spans="1:10" hidden="1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38.460270164343989</v>
      </c>
      <c r="J192" s="280">
        <f>'Resultater - Vestdanmark'!J192+'Resultater - Østdanmark'!J192</f>
        <v>38.460270164343989</v>
      </c>
    </row>
    <row r="193" spans="1:10" hidden="1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-58.132210042841592</v>
      </c>
      <c r="J193" s="280">
        <f>'Resultater - Vestdanmark'!J193+'Resultater - Østdanmark'!J193</f>
        <v>-58.132210042841592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22.672499986484929</v>
      </c>
      <c r="J194" s="280">
        <f>'Resultater - Vestdanmark'!J194+'Resultater - Østdanmark'!J194</f>
        <v>22.672499986484929</v>
      </c>
    </row>
    <row r="195" spans="1:10" hidden="1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1056816.1068755633</v>
      </c>
      <c r="J195" s="280">
        <f>'Resultater - Vestdanmark'!J195+'Resultater - Østdanmark'!J195</f>
        <v>1056816.1068755633</v>
      </c>
    </row>
    <row r="196" spans="1:10" hidden="1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-3301219.1972130653</v>
      </c>
      <c r="J196" s="280">
        <f>'Resultater - Vestdanmark'!J196+'Resultater - Østdanmark'!J196</f>
        <v>-3301219.1972130653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62084.065298082889</v>
      </c>
      <c r="J197" s="280">
        <f>'Resultater - Vestdanmark'!J197+'Resultater - Østdanmark'!J197</f>
        <v>62084.065298082889</v>
      </c>
    </row>
    <row r="198" spans="1:10" hidden="1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97725.688832072396</v>
      </c>
      <c r="J198" s="280">
        <f>'Resultater - Vestdanmark'!J198+'Resultater - Østdanmark'!J198</f>
        <v>97725.688832072396</v>
      </c>
    </row>
    <row r="199" spans="1:10" hidden="1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-213360.53251661648</v>
      </c>
      <c r="J199" s="280">
        <f>'Resultater - Vestdanmark'!J199+'Resultater - Østdanmark'!J199</f>
        <v>-213360.53251661648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33648.879941712759</v>
      </c>
      <c r="J200" s="280">
        <f>'Resultater - Vestdanmark'!J200+'Resultater - Østdanmark'!J200</f>
        <v>33648.879941712759</v>
      </c>
    </row>
    <row r="201" spans="1:10" hidden="1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3.8357189387217501</v>
      </c>
      <c r="J201" s="280">
        <f>'Resultater - Vestdanmark'!J201+'Resultater - Østdanmark'!J201</f>
        <v>3.8357189387217501</v>
      </c>
    </row>
    <row r="202" spans="1:10" hidden="1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-5.7976404756979303</v>
      </c>
      <c r="J202" s="280">
        <f>'Resultater - Vestdanmark'!J202+'Resultater - Østdanmark'!J202</f>
        <v>-5.7976404756979303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2.8989401808711182</v>
      </c>
      <c r="J203" s="280">
        <f>'Resultater - Vestdanmark'!J203+'Resultater - Østdanmark'!J203</f>
        <v>2.8989401808711182</v>
      </c>
    </row>
    <row r="204" spans="1:10" hidden="1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252119.08822285215</v>
      </c>
      <c r="J204" s="280">
        <f>'Resultater - Vestdanmark'!J204+'Resultater - Østdanmark'!J204</f>
        <v>252119.08822285215</v>
      </c>
    </row>
    <row r="205" spans="1:10" hidden="1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74848.798129844407</v>
      </c>
      <c r="J205" s="280">
        <f>'Resultater - Vestdanmark'!J205+'Resultater - Østdanmark'!J205</f>
        <v>74848.798129844407</v>
      </c>
    </row>
    <row r="206" spans="1:10" hidden="1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148508.2256030748</v>
      </c>
      <c r="J207" s="280">
        <f>'Resultater - Vestdanmark'!J207+'Resultater - Østdanmark'!J207</f>
        <v>148508.2256030748</v>
      </c>
    </row>
    <row r="208" spans="1:10" hidden="1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7648.0536994216964</v>
      </c>
      <c r="J208" s="280">
        <f>'Resultater - Vestdanmark'!J208+'Resultater - Østdanmark'!J208</f>
        <v>7648.0536994216964</v>
      </c>
    </row>
    <row r="209" spans="1:10" hidden="1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2270.5445726831617</v>
      </c>
      <c r="J209" s="280">
        <f>'Resultater - Vestdanmark'!J209+'Resultater - Østdanmark'!J209</f>
        <v>2270.5445726831617</v>
      </c>
    </row>
    <row r="210" spans="1:10" hidden="1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26404.433779634772</v>
      </c>
      <c r="J211" s="280">
        <f>'Resultater - Vestdanmark'!J211+'Resultater - Østdanmark'!J211</f>
        <v>26404.433779634772</v>
      </c>
    </row>
    <row r="212" spans="1:10" hidden="1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9.9247855255253745E-2</v>
      </c>
      <c r="J212" s="280">
        <f>'Resultater - Vestdanmark'!J212+'Resultater - Østdanmark'!J212</f>
        <v>9.9247855255253745E-2</v>
      </c>
    </row>
    <row r="213" spans="1:10" hidden="1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2.9464578565563674E-2</v>
      </c>
      <c r="J213" s="280">
        <f>'Resultater - Vestdanmark'!J213+'Resultater - Østdanmark'!J213</f>
        <v>2.9464578565563674E-2</v>
      </c>
    </row>
    <row r="214" spans="1:10" hidden="1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0.75210359641776203</v>
      </c>
      <c r="J215" s="280">
        <f>'Resultater - Vestdanmark'!J215+'Resultater - Østdanmark'!J215</f>
        <v>0.75210359641776203</v>
      </c>
    </row>
    <row r="216" spans="1:10" hidden="1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18374.707188012384</v>
      </c>
      <c r="J216" s="280">
        <f>'Resultater - Vestdanmark'!J216+'Resultater - Østdanmark'!J216</f>
        <v>18374.707188012384</v>
      </c>
    </row>
    <row r="217" spans="1:10" hidden="1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5455.059982585959</v>
      </c>
      <c r="J217" s="280">
        <f>'Resultater - Vestdanmark'!J217+'Resultater - Østdanmark'!J217</f>
        <v>5455.059982585959</v>
      </c>
    </row>
    <row r="218" spans="1:10" hidden="1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18988.48660920751</v>
      </c>
      <c r="J219" s="280">
        <f>'Resultater - Vestdanmark'!J219+'Resultater - Østdanmark'!J219</f>
        <v>18988.48660920751</v>
      </c>
    </row>
    <row r="220" spans="1:10" hidden="1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557.39828457911574</v>
      </c>
      <c r="J220" s="280">
        <f>'Resultater - Vestdanmark'!J220+'Resultater - Østdanmark'!J220</f>
        <v>557.39828457911574</v>
      </c>
    </row>
    <row r="221" spans="1:10" hidden="1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165.47970236789962</v>
      </c>
      <c r="J221" s="280">
        <f>'Resultater - Vestdanmark'!J221+'Resultater - Østdanmark'!J221</f>
        <v>165.47970236789962</v>
      </c>
    </row>
    <row r="222" spans="1:10" hidden="1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3376.1108868700962</v>
      </c>
      <c r="J223" s="280">
        <f>'Resultater - Vestdanmark'!J223+'Resultater - Østdanmark'!J223</f>
        <v>3376.1108868700962</v>
      </c>
    </row>
    <row r="224" spans="1:10" hidden="1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7.2332892055423023E-3</v>
      </c>
      <c r="J224" s="280">
        <f>'Resultater - Vestdanmark'!J224+'Resultater - Østdanmark'!J224</f>
        <v>7.2332892055423023E-3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2.1474098108821638E-3</v>
      </c>
      <c r="J225" s="280">
        <f>'Resultater - Vestdanmark'!J225+'Resultater - Østdanmark'!J225</f>
        <v>2.1474098108821638E-3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9.616510473625775E-2</v>
      </c>
      <c r="J227" s="280">
        <f>'Resultater - Vestdanmark'!J227+'Resultater - Østdanmark'!J227</f>
        <v>9.616510473625775E-2</v>
      </c>
    </row>
    <row r="228" spans="1:10" hidden="1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2432067.6197482329</v>
      </c>
      <c r="J228" s="280">
        <f>'Resultater - Vestdanmark'!J228+'Resultater - Østdanmark'!J228</f>
        <v>2432067.6197482329</v>
      </c>
    </row>
    <row r="229" spans="1:10" hidden="1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-4040788.3212018311</v>
      </c>
      <c r="J229" s="280">
        <f>'Resultater - Vestdanmark'!J229+'Resultater - Østdanmark'!J229</f>
        <v>-4040788.3212018311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68055.686267538025</v>
      </c>
      <c r="J230" s="280">
        <f>'Resultater - Vestdanmark'!J230+'Resultater - Østdanmark'!J230</f>
        <v>68055.686267538025</v>
      </c>
    </row>
    <row r="231" spans="1:10" hidden="1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10294.348891253741</v>
      </c>
      <c r="J231" s="280">
        <f>'Resultater - Vestdanmark'!J231+'Resultater - Østdanmark'!J231</f>
        <v>10294.348891253741</v>
      </c>
    </row>
    <row r="232" spans="1:10" hidden="1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-11085.712780120328</v>
      </c>
      <c r="J232" s="280">
        <f>'Resultater - Vestdanmark'!J232+'Resultater - Østdanmark'!J232</f>
        <v>-11085.712780120328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1688.3745773848746</v>
      </c>
      <c r="J233" s="280">
        <f>'Resultater - Vestdanmark'!J233+'Resultater - Østdanmark'!J233</f>
        <v>1688.3745773848746</v>
      </c>
    </row>
    <row r="234" spans="1:10" hidden="1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0.14704640876047559</v>
      </c>
      <c r="J234" s="280">
        <f>'Resultater - Vestdanmark'!J234+'Resultater - Østdanmark'!J234</f>
        <v>0.14704640876047559</v>
      </c>
    </row>
    <row r="235" spans="1:10" hidden="1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-9.6949223787838504E-2</v>
      </c>
      <c r="J235" s="280">
        <f>'Resultater - Vestdanmark'!J235+'Resultater - Østdanmark'!J235</f>
        <v>-9.6949223787838504E-2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5.2936466422993496E-2</v>
      </c>
      <c r="J236" s="280">
        <f>'Resultater - Vestdanmark'!J236+'Resultater - Østdanmark'!J236</f>
        <v>5.2936466422993496E-2</v>
      </c>
    </row>
    <row r="237" spans="1:10" hidden="1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177251.6737598984</v>
      </c>
      <c r="J237" s="280">
        <f>'Resultater - Vestdanmark'!J237+'Resultater - Østdanmark'!J237</f>
        <v>177251.6737598984</v>
      </c>
    </row>
    <row r="238" spans="1:10" hidden="1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-294496.94877999288</v>
      </c>
      <c r="J238" s="280">
        <f>'Resultater - Vestdanmark'!J238+'Resultater - Østdanmark'!J238</f>
        <v>-294496.94877999288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8701.7031017897862</v>
      </c>
      <c r="J239" s="280">
        <f>'Resultater - Vestdanmark'!J239+'Resultater - Østdanmark'!J239</f>
        <v>8701.7031017897862</v>
      </c>
    </row>
    <row r="240" spans="1:10" hidden="1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750.26309154676028</v>
      </c>
      <c r="J240" s="280">
        <f>'Resultater - Vestdanmark'!J240+'Resultater - Østdanmark'!J240</f>
        <v>750.26309154676028</v>
      </c>
    </row>
    <row r="241" spans="1:10" hidden="1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-807.93853309935389</v>
      </c>
      <c r="J241" s="280">
        <f>'Resultater - Vestdanmark'!J241+'Resultater - Østdanmark'!J241</f>
        <v>-807.93853309935389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215.87813014268011</v>
      </c>
      <c r="J242" s="280">
        <f>'Resultater - Vestdanmark'!J242+'Resultater - Østdanmark'!J242</f>
        <v>215.87813014268011</v>
      </c>
    </row>
    <row r="243" spans="1:10" hidden="1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1.071689860164112E-2</v>
      </c>
      <c r="J243" s="280">
        <f>'Resultater - Vestdanmark'!J243+'Resultater - Østdanmark'!J243</f>
        <v>1.071689860164112E-2</v>
      </c>
    </row>
    <row r="244" spans="1:10" hidden="1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-7.0657625004259773E-3</v>
      </c>
      <c r="J244" s="280">
        <f>'Resultater - Vestdanmark'!J244+'Resultater - Østdanmark'!J244</f>
        <v>-7.0657625004259773E-3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6.7685367576768296E-3</v>
      </c>
      <c r="J245" s="280">
        <f>'Resultater - Vestdanmark'!J245+'Resultater - Østdanmark'!J245</f>
        <v>6.7685367576768296E-3</v>
      </c>
    </row>
    <row r="246" spans="1:10" hidden="1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37068.149941239346</v>
      </c>
      <c r="J246" s="280">
        <f>'Resultater - Vestdanmark'!J246+'Resultater - Østdanmark'!J246</f>
        <v>37068.149941239346</v>
      </c>
    </row>
    <row r="247" spans="1:10" hidden="1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-611253.35592149675</v>
      </c>
      <c r="J247" s="280">
        <f>'Resultater - Vestdanmark'!J247+'Resultater - Østdanmark'!J247</f>
        <v>-611253.35592149675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8582.4091345819397</v>
      </c>
      <c r="J248" s="280">
        <f>'Resultater - Vestdanmark'!J248+'Resultater - Østdanmark'!J248</f>
        <v>8582.4091345819397</v>
      </c>
    </row>
    <row r="249" spans="1:10" hidden="1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854.3702287847284</v>
      </c>
      <c r="J249" s="280">
        <f>'Resultater - Vestdanmark'!J249+'Resultater - Østdanmark'!J249</f>
        <v>854.3702287847284</v>
      </c>
    </row>
    <row r="250" spans="1:10" hidden="1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-11740.462507838827</v>
      </c>
      <c r="J250" s="280">
        <f>'Resultater - Vestdanmark'!J250+'Resultater - Østdanmark'!J250</f>
        <v>-11740.462507838827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894.09444993928173</v>
      </c>
      <c r="J251" s="280">
        <f>'Resultater - Vestdanmark'!J251+'Resultater - Østdanmark'!J251</f>
        <v>894.09444993928173</v>
      </c>
    </row>
    <row r="252" spans="1:10" hidden="1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1.8925599478788219E-2</v>
      </c>
      <c r="J252" s="280">
        <f>'Resultater - Vestdanmark'!J252+'Resultater - Østdanmark'!J252</f>
        <v>1.8925599478788219E-2</v>
      </c>
    </row>
    <row r="253" spans="1:10" hidden="1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-0.22291636606346549</v>
      </c>
      <c r="J253" s="280">
        <f>'Resultater - Vestdanmark'!J253+'Resultater - Østdanmark'!J253</f>
        <v>-0.22291636606346549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4.538210096465288E-2</v>
      </c>
      <c r="J254" s="280">
        <f>'Resultater - Vestdanmark'!J254+'Resultater - Østdanmark'!J254</f>
        <v>4.538210096465288E-2</v>
      </c>
    </row>
    <row r="255" spans="1:10" hidden="1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2701.5661764156534</v>
      </c>
      <c r="J255" s="280">
        <f>'Resultater - Vestdanmark'!J255+'Resultater - Østdanmark'!J255</f>
        <v>2701.5661764156534</v>
      </c>
    </row>
    <row r="256" spans="1:10" hidden="1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-44548.794428526671</v>
      </c>
      <c r="J256" s="280">
        <f>'Resultater - Vestdanmark'!J256+'Resultater - Østdanmark'!J256</f>
        <v>-44548.794428526671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1097.3598281506586</v>
      </c>
      <c r="J257" s="280">
        <f>'Resultater - Vestdanmark'!J257+'Resultater - Østdanmark'!J257</f>
        <v>1097.3598281506586</v>
      </c>
    </row>
    <row r="258" spans="1:10" hidden="1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62.267410590498827</v>
      </c>
      <c r="J258" s="280">
        <f>'Resultater - Vestdanmark'!J258+'Resultater - Østdanmark'!J258</f>
        <v>62.267410590498827</v>
      </c>
    </row>
    <row r="259" spans="1:10" hidden="1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-855.65738934725528</v>
      </c>
      <c r="J259" s="280">
        <f>'Resultater - Vestdanmark'!J259+'Resultater - Østdanmark'!J259</f>
        <v>-855.65738934725528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114.32027028196674</v>
      </c>
      <c r="J260" s="280">
        <f>'Resultater - Vestdanmark'!J260+'Resultater - Østdanmark'!J260</f>
        <v>114.32027028196674</v>
      </c>
    </row>
    <row r="261" spans="1:10" hidden="1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1.3793178106092045E-3</v>
      </c>
      <c r="J261" s="280">
        <f>'Resultater - Vestdanmark'!J261+'Resultater - Østdanmark'!J261</f>
        <v>1.3793178106092045E-3</v>
      </c>
    </row>
    <row r="262" spans="1:10" hidden="1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-1.6246381750402883E-2</v>
      </c>
      <c r="J262" s="280">
        <f>'Resultater - Vestdanmark'!J262+'Resultater - Østdanmark'!J262</f>
        <v>-1.6246381750402883E-2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5.8026241507202567E-3</v>
      </c>
      <c r="J263" s="280">
        <f>'Resultater - Vestdanmark'!J263+'Resultater - Østdanmark'!J263</f>
        <v>5.8026241507202567E-3</v>
      </c>
    </row>
    <row r="264" spans="1:10" hidden="1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1769792.6482433821</v>
      </c>
      <c r="J264" s="280">
        <f>'Resultater - Vestdanmark'!J264+'Resultater - Østdanmark'!J264</f>
        <v>1769792.6482433821</v>
      </c>
    </row>
    <row r="265" spans="1:10" hidden="1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-8439338.016000744</v>
      </c>
      <c r="J265" s="280">
        <f>'Resultater - Vestdanmark'!J265+'Resultater - Østdanmark'!J265</f>
        <v>-8439338.016000744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135050.85263779573</v>
      </c>
      <c r="J266" s="280">
        <f>'Resultater - Vestdanmark'!J266+'Resultater - Østdanmark'!J266</f>
        <v>135050.85263779573</v>
      </c>
    </row>
    <row r="267" spans="1:10" hidden="1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46498.358868164731</v>
      </c>
      <c r="J267" s="280">
        <f>'Resultater - Vestdanmark'!J267+'Resultater - Østdanmark'!J267</f>
        <v>46498.358868164731</v>
      </c>
    </row>
    <row r="268" spans="1:10" hidden="1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-162558.33776287053</v>
      </c>
      <c r="J268" s="280">
        <f>'Resultater - Vestdanmark'!J268+'Resultater - Østdanmark'!J268</f>
        <v>-162558.33776287053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20796.666035122365</v>
      </c>
      <c r="J269" s="280">
        <f>'Resultater - Vestdanmark'!J269+'Resultater - Østdanmark'!J269</f>
        <v>20796.666035122365</v>
      </c>
    </row>
    <row r="270" spans="1:10" hidden="1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1.0198135412744487</v>
      </c>
      <c r="J270" s="280">
        <f>'Resultater - Vestdanmark'!J270+'Resultater - Østdanmark'!J270</f>
        <v>1.0198135412744487</v>
      </c>
    </row>
    <row r="271" spans="1:10" hidden="1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-2.6382996436514086</v>
      </c>
      <c r="J271" s="280">
        <f>'Resultater - Vestdanmark'!J271+'Resultater - Østdanmark'!J271</f>
        <v>-2.6382996436514086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1.0011691798300379</v>
      </c>
      <c r="J272" s="280">
        <f>'Resultater - Vestdanmark'!J272+'Resultater - Østdanmark'!J272</f>
        <v>1.0011691798300379</v>
      </c>
    </row>
    <row r="273" spans="1:10" hidden="1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128984.36974444673</v>
      </c>
      <c r="J273" s="280">
        <f>'Resultater - Vestdanmark'!J273+'Resultater - Østdanmark'!J273</f>
        <v>128984.36974444673</v>
      </c>
    </row>
    <row r="274" spans="1:10" hidden="1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-615067.9268187969</v>
      </c>
      <c r="J274" s="280">
        <f>'Resultater - Vestdanmark'!J274+'Resultater - Østdanmark'!J274</f>
        <v>-615067.9268187969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17267.806523585219</v>
      </c>
      <c r="J275" s="280">
        <f>'Resultater - Vestdanmark'!J275+'Resultater - Østdanmark'!J275</f>
        <v>17267.806523585219</v>
      </c>
    </row>
    <row r="276" spans="1:10" hidden="1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3388.8498286588811</v>
      </c>
      <c r="J276" s="280">
        <f>'Resultater - Vestdanmark'!J276+'Resultater - Østdanmark'!J276</f>
        <v>3388.8498286588811</v>
      </c>
    </row>
    <row r="277" spans="1:10" hidden="1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-11847.424478715149</v>
      </c>
      <c r="J277" s="280">
        <f>'Resultater - Vestdanmark'!J277+'Resultater - Østdanmark'!J277</f>
        <v>-11847.424478715149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2659.0932113049603</v>
      </c>
      <c r="J278" s="280">
        <f>'Resultater - Vestdanmark'!J278+'Resultater - Østdanmark'!J278</f>
        <v>2659.0932113049603</v>
      </c>
    </row>
    <row r="279" spans="1:10" hidden="1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7.4325095094443919E-2</v>
      </c>
      <c r="J279" s="280">
        <f>'Resultater - Vestdanmark'!J279+'Resultater - Østdanmark'!J279</f>
        <v>7.4325095094443919E-2</v>
      </c>
    </row>
    <row r="280" spans="1:10" hidden="1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-0.19228208291583851</v>
      </c>
      <c r="J280" s="280">
        <f>'Resultater - Vestdanmark'!J280+'Resultater - Østdanmark'!J280</f>
        <v>-0.19228208291583851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0.1280110073873264</v>
      </c>
      <c r="J281" s="280">
        <f>'Resultater - Vestdanmark'!J281+'Resultater - Østdanmark'!J281</f>
        <v>0.1280110073873264</v>
      </c>
    </row>
    <row r="282" spans="1:10" hidden="1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6805636.3914233753</v>
      </c>
      <c r="J282" s="280">
        <f>'Resultater - Vestdanmark'!J282+'Resultater - Østdanmark'!J282</f>
        <v>6805636.3914233753</v>
      </c>
    </row>
    <row r="283" spans="1:10" hidden="1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-24464206.304824531</v>
      </c>
      <c r="J283" s="280">
        <f>'Resultater - Vestdanmark'!J283+'Resultater - Østdanmark'!J283</f>
        <v>-24464206.304824531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347650.80050176143</v>
      </c>
      <c r="J284" s="280">
        <f>'Resultater - Vestdanmark'!J284+'Resultater - Østdanmark'!J284</f>
        <v>347650.80050176143</v>
      </c>
    </row>
    <row r="285" spans="1:10" hidden="1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212901.20262055565</v>
      </c>
      <c r="J285" s="280">
        <f>'Resultater - Vestdanmark'!J285+'Resultater - Østdanmark'!J285</f>
        <v>212901.20262055565</v>
      </c>
    </row>
    <row r="286" spans="1:10" hidden="1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-518182.36240305979</v>
      </c>
      <c r="J286" s="280">
        <f>'Resultater - Vestdanmark'!J286+'Resultater - Østdanmark'!J286</f>
        <v>-518182.36240305979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63743.184355164005</v>
      </c>
      <c r="J287" s="280">
        <f>'Resultater - Vestdanmark'!J287+'Resultater - Østdanmark'!J287</f>
        <v>63743.184355164005</v>
      </c>
    </row>
    <row r="288" spans="1:10" hidden="1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2.7571773654456284</v>
      </c>
      <c r="J288" s="280">
        <f>'Resultater - Vestdanmark'!J288+'Resultater - Østdanmark'!J288</f>
        <v>2.7571773654456284</v>
      </c>
    </row>
    <row r="289" spans="1:10" hidden="1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-4.4246515477190176</v>
      </c>
      <c r="J289" s="280">
        <f>'Resultater - Vestdanmark'!J289+'Resultater - Østdanmark'!J289</f>
        <v>-4.4246515477190176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1.8119697786481066</v>
      </c>
      <c r="J290" s="280">
        <f>'Resultater - Vestdanmark'!J290+'Resultater - Østdanmark'!J290</f>
        <v>1.8119697786481066</v>
      </c>
    </row>
    <row r="291" spans="1:10" hidden="1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722248.54897796328</v>
      </c>
      <c r="J291" s="280">
        <f>'Resultater - Vestdanmark'!J291+'Resultater - Østdanmark'!J291</f>
        <v>722248.54897796328</v>
      </c>
    </row>
    <row r="292" spans="1:10" hidden="1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-2596265.2850252553</v>
      </c>
      <c r="J292" s="280">
        <f>'Resultater - Vestdanmark'!J292+'Resultater - Østdanmark'!J292</f>
        <v>-2596265.2850252553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44451.157794126186</v>
      </c>
      <c r="J293" s="280">
        <f>'Resultater - Vestdanmark'!J293+'Resultater - Østdanmark'!J293</f>
        <v>44451.157794126186</v>
      </c>
    </row>
    <row r="294" spans="1:10" hidden="1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22594.152232720106</v>
      </c>
      <c r="J294" s="280">
        <f>'Resultater - Vestdanmark'!J294+'Resultater - Østdanmark'!J294</f>
        <v>22594.152232720106</v>
      </c>
    </row>
    <row r="295" spans="1:10" hidden="1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-54992.132671564694</v>
      </c>
      <c r="J295" s="280">
        <f>'Resultater - Vestdanmark'!J295+'Resultater - Østdanmark'!J295</f>
        <v>-54992.132671564694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8150.3000769219125</v>
      </c>
      <c r="J296" s="280">
        <f>'Resultater - Vestdanmark'!J296+'Resultater - Østdanmark'!J296</f>
        <v>8150.3000769219125</v>
      </c>
    </row>
    <row r="297" spans="1:10" hidden="1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0.29260560466873564</v>
      </c>
      <c r="J297" s="280">
        <f>'Resultater - Vestdanmark'!J297+'Resultater - Østdanmark'!J297</f>
        <v>0.29260560466873564</v>
      </c>
    </row>
    <row r="298" spans="1:10" hidden="1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-0.46956639706765041</v>
      </c>
      <c r="J298" s="280">
        <f>'Resultater - Vestdanmark'!J298+'Resultater - Østdanmark'!J298</f>
        <v>-0.46956639706765041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0.23168119973440646</v>
      </c>
      <c r="J299" s="280">
        <f>'Resultater - Vestdanmark'!J299+'Resultater - Østdanmark'!J299</f>
        <v>0.23168119973440646</v>
      </c>
    </row>
    <row r="300" spans="1:10" hidden="1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614076.2528869072</v>
      </c>
      <c r="J300" s="280">
        <f>'Resultater - Vestdanmark'!J300+'Resultater - Østdanmark'!J300</f>
        <v>614076.2528869072</v>
      </c>
    </row>
    <row r="301" spans="1:10" hidden="1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327981.19704816159</v>
      </c>
      <c r="J301" s="280">
        <f>'Resultater - Vestdanmark'!J301+'Resultater - Østdanmark'!J301</f>
        <v>327981.19704816159</v>
      </c>
    </row>
    <row r="302" spans="1:10" hidden="1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-24423487.330729261</v>
      </c>
      <c r="J302" s="280">
        <f>'Resultater - Vestdanmark'!J302+'Resultater - Østdanmark'!J302</f>
        <v>-24423487.330729261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317323.11758989503</v>
      </c>
      <c r="J303" s="280">
        <f>'Resultater - Vestdanmark'!J303+'Resultater - Østdanmark'!J303</f>
        <v>317323.11758989503</v>
      </c>
    </row>
    <row r="304" spans="1:10" hidden="1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10440.040747708132</v>
      </c>
      <c r="J304" s="280">
        <f>'Resultater - Vestdanmark'!J304+'Resultater - Østdanmark'!J304</f>
        <v>10440.040747708132</v>
      </c>
    </row>
    <row r="305" spans="1:10" hidden="1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5576.0779635546514</v>
      </c>
      <c r="J305" s="280">
        <f>'Resultater - Vestdanmark'!J305+'Resultater - Østdanmark'!J305</f>
        <v>5576.0779635546514</v>
      </c>
    </row>
    <row r="306" spans="1:10" hidden="1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-286705.66447304527</v>
      </c>
      <c r="J306" s="280">
        <f>'Resultater - Vestdanmark'!J306+'Resultater - Østdanmark'!J306</f>
        <v>-286705.66447304527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31620.064549515686</v>
      </c>
      <c r="J307" s="280">
        <f>'Resultater - Vestdanmark'!J307+'Resultater - Østdanmark'!J307</f>
        <v>31620.064549515686</v>
      </c>
    </row>
    <row r="308" spans="1:10" hidden="1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0.16533822506091983</v>
      </c>
      <c r="J308" s="280">
        <f>'Resultater - Vestdanmark'!J308+'Resultater - Østdanmark'!J308</f>
        <v>0.16533822506091983</v>
      </c>
    </row>
    <row r="309" spans="1:10" hidden="1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8.8307972696162584E-2</v>
      </c>
      <c r="J309" s="280">
        <f>'Resultater - Vestdanmark'!J309+'Resultater - Østdanmark'!J309</f>
        <v>8.8307972696162584E-2</v>
      </c>
    </row>
    <row r="310" spans="1:10" hidden="1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-3.0866714094165228</v>
      </c>
      <c r="J310" s="280">
        <f>'Resultater - Vestdanmark'!J310+'Resultater - Østdanmark'!J310</f>
        <v>-3.0866714094165228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1.0991689058372263</v>
      </c>
      <c r="J311" s="280">
        <f>'Resultater - Vestdanmark'!J311+'Resultater - Østdanmark'!J311</f>
        <v>1.0991689058372263</v>
      </c>
    </row>
    <row r="312" spans="1:10" hidden="1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43184.19576890875</v>
      </c>
      <c r="J312" s="280">
        <f>'Resultater - Vestdanmark'!J312+'Resultater - Østdanmark'!J312</f>
        <v>43184.19576890875</v>
      </c>
    </row>
    <row r="313" spans="1:10" hidden="1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23064.894881153006</v>
      </c>
      <c r="J313" s="280">
        <f>'Resultater - Vestdanmark'!J313+'Resultater - Østdanmark'!J313</f>
        <v>23064.894881153006</v>
      </c>
    </row>
    <row r="314" spans="1:10" hidden="1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-1717553.2408088709</v>
      </c>
      <c r="J314" s="280">
        <f>'Resultater - Vestdanmark'!J314+'Resultater - Østdanmark'!J314</f>
        <v>-1717553.2408088709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40573.414332296394</v>
      </c>
      <c r="J315" s="280">
        <f>'Resultater - Vestdanmark'!J315+'Resultater - Østdanmark'!J315</f>
        <v>40573.414332296394</v>
      </c>
    </row>
    <row r="316" spans="1:10" hidden="1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734.18368055252472</v>
      </c>
      <c r="J316" s="280">
        <f>'Resultater - Vestdanmark'!J316+'Resultater - Østdanmark'!J316</f>
        <v>734.18368055252472</v>
      </c>
    </row>
    <row r="317" spans="1:10" hidden="1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392.13117470150615</v>
      </c>
      <c r="J317" s="280">
        <f>'Resultater - Vestdanmark'!J317+'Resultater - Østdanmark'!J317</f>
        <v>392.13117470150615</v>
      </c>
    </row>
    <row r="318" spans="1:10" hidden="1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-20162.241227294711</v>
      </c>
      <c r="J318" s="280">
        <f>'Resultater - Vestdanmark'!J318+'Resultater - Østdanmark'!J318</f>
        <v>-20162.241227294711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4042.9893350521875</v>
      </c>
      <c r="J319" s="280">
        <f>'Resultater - Vestdanmark'!J319+'Resultater - Østdanmark'!J319</f>
        <v>4042.9893350521875</v>
      </c>
    </row>
    <row r="320" spans="1:10" hidden="1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1.1627217703905599E-2</v>
      </c>
      <c r="J320" s="280">
        <f>'Resultater - Vestdanmark'!J320+'Resultater - Østdanmark'!J320</f>
        <v>1.1627217703905599E-2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6.2101551117444984E-3</v>
      </c>
      <c r="J321" s="280">
        <f>'Resultater - Vestdanmark'!J321+'Resultater - Østdanmark'!J321</f>
        <v>6.2101551117444984E-3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-0.21706656427745843</v>
      </c>
      <c r="J322" s="280">
        <f>'Resultater - Vestdanmark'!J322+'Resultater - Østdanmark'!J322</f>
        <v>-0.21706656427745843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0.14054140075400176</v>
      </c>
      <c r="J323" s="280">
        <f>'Resultater - Vestdanmark'!J323+'Resultater - Østdanmark'!J323</f>
        <v>0.14054140075400176</v>
      </c>
    </row>
    <row r="324" spans="1:10" hidden="1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1244876.7164053498</v>
      </c>
      <c r="J324" s="280">
        <f>'Resultater - Vestdanmark'!J324+'Resultater - Østdanmark'!J324</f>
        <v>1244876.7164053498</v>
      </c>
    </row>
    <row r="325" spans="1:10" hidden="1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206810.63376166133</v>
      </c>
      <c r="J325" s="280">
        <f>'Resultater - Vestdanmark'!J325+'Resultater - Østdanmark'!J325</f>
        <v>206810.63376166133</v>
      </c>
    </row>
    <row r="326" spans="1:10" hidden="1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-13068327.181838907</v>
      </c>
      <c r="J326" s="280">
        <f>'Resultater - Vestdanmark'!J326+'Resultater - Østdanmark'!J326</f>
        <v>-13068327.181838907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198089.21270536177</v>
      </c>
      <c r="J327" s="280">
        <f>'Resultater - Vestdanmark'!J327+'Resultater - Østdanmark'!J327</f>
        <v>198089.21270536177</v>
      </c>
    </row>
    <row r="328" spans="1:10" hidden="1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65202.577945914367</v>
      </c>
      <c r="J328" s="280">
        <f>'Resultater - Vestdanmark'!J328+'Resultater - Østdanmark'!J328</f>
        <v>65202.577945914367</v>
      </c>
    </row>
    <row r="329" spans="1:10" hidden="1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10832.065770196234</v>
      </c>
      <c r="J329" s="280">
        <f>'Resultater - Vestdanmark'!J329+'Resultater - Østdanmark'!J329</f>
        <v>10832.065770196234</v>
      </c>
    </row>
    <row r="330" spans="1:10" hidden="1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-513357.23276901012</v>
      </c>
      <c r="J330" s="280">
        <f>'Resultater - Vestdanmark'!J330+'Resultater - Østdanmark'!J330</f>
        <v>-513357.23276901012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60810.755316889641</v>
      </c>
      <c r="J331" s="280">
        <f>'Resultater - Vestdanmark'!J331+'Resultater - Østdanmark'!J331</f>
        <v>60810.755316889641</v>
      </c>
    </row>
    <row r="332" spans="1:10" hidden="1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1.8666612239030695</v>
      </c>
      <c r="J332" s="280">
        <f>'Resultater - Vestdanmark'!J332+'Resultater - Østdanmark'!J332</f>
        <v>1.8666612239030695</v>
      </c>
    </row>
    <row r="333" spans="1:10" hidden="1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0.31010732681099512</v>
      </c>
      <c r="J333" s="280">
        <f>'Resultater - Vestdanmark'!J333+'Resultater - Østdanmark'!J333</f>
        <v>0.31010732681099512</v>
      </c>
    </row>
    <row r="334" spans="1:10" hidden="1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-11.197501058375183</v>
      </c>
      <c r="J334" s="280">
        <f>'Resultater - Vestdanmark'!J334+'Resultater - Østdanmark'!J334</f>
        <v>-11.197501058375183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3.8213053418514615</v>
      </c>
      <c r="J335" s="280">
        <f>'Resultater - Vestdanmark'!J335+'Resultater - Østdanmark'!J335</f>
        <v>3.8213053418514615</v>
      </c>
    </row>
    <row r="336" spans="1:10" hidden="1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90727.938572043873</v>
      </c>
      <c r="J336" s="280">
        <f>'Resultater - Vestdanmark'!J336+'Resultater - Østdanmark'!J336</f>
        <v>90727.938572043873</v>
      </c>
    </row>
    <row r="337" spans="1:10" hidden="1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15072.578857570828</v>
      </c>
      <c r="J337" s="280">
        <f>'Resultater - Vestdanmark'!J337+'Resultater - Østdanmark'!J337</f>
        <v>15072.578857570828</v>
      </c>
    </row>
    <row r="338" spans="1:10" hidden="1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-952433.57849676628</v>
      </c>
      <c r="J338" s="280">
        <f>'Resultater - Vestdanmark'!J338+'Resultater - Østdanmark'!J338</f>
        <v>-952433.57849676628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25327.986699790868</v>
      </c>
      <c r="J339" s="280">
        <f>'Resultater - Vestdanmark'!J339+'Resultater - Østdanmark'!J339</f>
        <v>25327.986699790868</v>
      </c>
    </row>
    <row r="340" spans="1:10" hidden="1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4752.0332002816458</v>
      </c>
      <c r="J340" s="280">
        <f>'Resultater - Vestdanmark'!J340+'Resultater - Østdanmark'!J340</f>
        <v>4752.0332002816458</v>
      </c>
    </row>
    <row r="341" spans="1:10" hidden="1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789.45246935335763</v>
      </c>
      <c r="J341" s="280">
        <f>'Resultater - Vestdanmark'!J341+'Resultater - Østdanmark'!J341</f>
        <v>789.45246935335763</v>
      </c>
    </row>
    <row r="342" spans="1:10" hidden="1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-37414.02089571688</v>
      </c>
      <c r="J342" s="280">
        <f>'Resultater - Vestdanmark'!J342+'Resultater - Østdanmark'!J342</f>
        <v>-37414.02089571688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7775.3552595584015</v>
      </c>
      <c r="J343" s="280">
        <f>'Resultater - Vestdanmark'!J343+'Resultater - Østdanmark'!J343</f>
        <v>7775.3552595584015</v>
      </c>
    </row>
    <row r="344" spans="1:10" hidden="1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0.13604425452355268</v>
      </c>
      <c r="J344" s="280">
        <f>'Resultater - Vestdanmark'!J344+'Resultater - Østdanmark'!J344</f>
        <v>0.13604425452355268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2.2600951666034218E-2</v>
      </c>
      <c r="J345" s="280">
        <f>'Resultater - Vestdanmark'!J345+'Resultater - Østdanmark'!J345</f>
        <v>2.2600951666034218E-2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-0.81608578166535439</v>
      </c>
      <c r="J346" s="280">
        <f>'Resultater - Vestdanmark'!J346+'Resultater - Østdanmark'!J346</f>
        <v>-0.81608578166535439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0.48859788754985478</v>
      </c>
      <c r="J347" s="280">
        <f>'Resultater - Vestdanmark'!J347+'Resultater - Østdanmark'!J347</f>
        <v>0.48859788754985478</v>
      </c>
    </row>
    <row r="348" spans="1:10" hidden="1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803523.26097451104</v>
      </c>
      <c r="J348" s="280">
        <f>'Resultater - Vestdanmark'!J348+'Resultater - Østdanmark'!J348</f>
        <v>803523.26097451104</v>
      </c>
    </row>
    <row r="349" spans="1:10" hidden="1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-1767751.1741439244</v>
      </c>
      <c r="J349" s="280">
        <f>'Resultater - Vestdanmark'!J349+'Resultater - Østdanmark'!J349</f>
        <v>-1767751.1741439244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31589.622964822924</v>
      </c>
      <c r="J350" s="280">
        <f>'Resultater - Vestdanmark'!J350+'Resultater - Østdanmark'!J350</f>
        <v>31589.622964822924</v>
      </c>
    </row>
    <row r="351" spans="1:10" hidden="1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21651.940394140871</v>
      </c>
      <c r="J351" s="280">
        <f>'Resultater - Vestdanmark'!J351+'Resultater - Østdanmark'!J351</f>
        <v>21651.940394140871</v>
      </c>
    </row>
    <row r="352" spans="1:10" hidden="1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-36086.567323568117</v>
      </c>
      <c r="J352" s="280">
        <f>'Resultater - Vestdanmark'!J352+'Resultater - Østdanmark'!J352</f>
        <v>-36086.567323568117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3847.439515755711</v>
      </c>
      <c r="J353" s="280">
        <f>'Resultater - Vestdanmark'!J353+'Resultater - Østdanmark'!J353</f>
        <v>3847.439515755711</v>
      </c>
    </row>
    <row r="354" spans="1:10" hidden="1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0.47402830948705055</v>
      </c>
      <c r="J354" s="280">
        <f>'Resultater - Vestdanmark'!J354+'Resultater - Østdanmark'!J354</f>
        <v>0.47402830948705055</v>
      </c>
    </row>
    <row r="355" spans="1:10" hidden="1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-0.60946496934049355</v>
      </c>
      <c r="J355" s="280">
        <f>'Resultater - Vestdanmark'!J355+'Resultater - Østdanmark'!J355</f>
        <v>-0.60946496934049355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0.19300871426479607</v>
      </c>
      <c r="J356" s="280">
        <f>'Resultater - Vestdanmark'!J356+'Resultater - Østdanmark'!J356</f>
        <v>0.19300871426479607</v>
      </c>
    </row>
    <row r="357" spans="1:10" hidden="1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58561.6295189554</v>
      </c>
      <c r="J357" s="280">
        <f>'Resultater - Vestdanmark'!J357+'Resultater - Østdanmark'!J357</f>
        <v>58561.6295189554</v>
      </c>
    </row>
    <row r="358" spans="1:10" hidden="1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-128835.58494170189</v>
      </c>
      <c r="J358" s="280">
        <f>'Resultater - Vestdanmark'!J358+'Resultater - Østdanmark'!J358</f>
        <v>-128835.58494170189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4039.0970279361727</v>
      </c>
      <c r="J359" s="280">
        <f>'Resultater - Vestdanmark'!J359+'Resultater - Østdanmark'!J359</f>
        <v>4039.0970279361727</v>
      </c>
    </row>
    <row r="360" spans="1:10" hidden="1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1578.0164350069822</v>
      </c>
      <c r="J360" s="280">
        <f>'Resultater - Vestdanmark'!J360+'Resultater - Østdanmark'!J360</f>
        <v>1578.0164350069822</v>
      </c>
    </row>
    <row r="361" spans="1:10" hidden="1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-2630.027391678304</v>
      </c>
      <c r="J361" s="280">
        <f>'Resultater - Vestdanmark'!J361+'Resultater - Østdanmark'!J361</f>
        <v>-2630.027391678304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491.93944259980799</v>
      </c>
      <c r="J362" s="280">
        <f>'Resultater - Vestdanmark'!J362+'Resultater - Østdanmark'!J362</f>
        <v>491.93944259980799</v>
      </c>
    </row>
    <row r="363" spans="1:10" hidden="1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3.4547687154706998E-2</v>
      </c>
      <c r="J363" s="280">
        <f>'Resultater - Vestdanmark'!J363+'Resultater - Østdanmark'!J363</f>
        <v>3.4547687154706998E-2</v>
      </c>
    </row>
    <row r="364" spans="1:10" hidden="1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-4.441845491319471E-2</v>
      </c>
      <c r="J364" s="280">
        <f>'Resultater - Vestdanmark'!J364+'Resultater - Østdanmark'!J364</f>
        <v>-4.441845491319471E-2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2.467838647586372E-2</v>
      </c>
      <c r="J365" s="280">
        <f>'Resultater - Vestdanmark'!J365+'Resultater - Østdanmark'!J365</f>
        <v>2.467838647586372E-2</v>
      </c>
    </row>
    <row r="366" spans="1:10" hidden="1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151119.96541178104</v>
      </c>
      <c r="J366" s="280">
        <f>'Resultater - Vestdanmark'!J366+'Resultater - Østdanmark'!J366</f>
        <v>151119.96541178104</v>
      </c>
    </row>
    <row r="367" spans="1:10" hidden="1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-743510.2298259628</v>
      </c>
      <c r="J367" s="280">
        <f>'Resultater - Vestdanmark'!J367+'Resultater - Østdanmark'!J367</f>
        <v>-743510.2298259628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12179.28225780596</v>
      </c>
      <c r="J368" s="280">
        <f>'Resultater - Vestdanmark'!J368+'Resultater - Østdanmark'!J368</f>
        <v>12179.28225780596</v>
      </c>
    </row>
    <row r="369" spans="1:10" hidden="1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17727.934801350086</v>
      </c>
      <c r="J369" s="280">
        <f>'Resultater - Vestdanmark'!J369+'Resultater - Østdanmark'!J369</f>
        <v>17727.934801350086</v>
      </c>
    </row>
    <row r="370" spans="1:10" hidden="1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-72684.532685535363</v>
      </c>
      <c r="J370" s="280">
        <f>'Resultater - Vestdanmark'!J370+'Resultater - Østdanmark'!J370</f>
        <v>-72684.532685535363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6457.8356061390441</v>
      </c>
      <c r="J371" s="280">
        <f>'Resultater - Vestdanmark'!J371+'Resultater - Østdanmark'!J371</f>
        <v>6457.8356061390441</v>
      </c>
    </row>
    <row r="372" spans="1:10" hidden="1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0.55882910409559905</v>
      </c>
      <c r="J372" s="280">
        <f>'Resultater - Vestdanmark'!J372+'Resultater - Østdanmark'!J372</f>
        <v>0.55882910409559905</v>
      </c>
    </row>
    <row r="373" spans="1:10" hidden="1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-1.9638851372502484</v>
      </c>
      <c r="J373" s="280">
        <f>'Resultater - Vestdanmark'!J373+'Resultater - Østdanmark'!J373</f>
        <v>-1.9638851372502484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0.46645044962294857</v>
      </c>
      <c r="J374" s="280">
        <f>'Resultater - Vestdanmark'!J374+'Resultater - Østdanmark'!J374</f>
        <v>0.46645044962294857</v>
      </c>
    </row>
    <row r="375" spans="1:10" hidden="1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11013.783741156445</v>
      </c>
      <c r="J375" s="280">
        <f>'Resultater - Vestdanmark'!J375+'Resultater - Østdanmark'!J375</f>
        <v>11013.783741156445</v>
      </c>
    </row>
    <row r="376" spans="1:10" hidden="1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-54187.816006489709</v>
      </c>
      <c r="J376" s="280">
        <f>'Resultater - Vestdanmark'!J376+'Resultater - Østdanmark'!J376</f>
        <v>-54187.816006489709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1557.2614723727386</v>
      </c>
      <c r="J377" s="280">
        <f>'Resultater - Vestdanmark'!J377+'Resultater - Østdanmark'!J377</f>
        <v>1557.2614723727386</v>
      </c>
    </row>
    <row r="378" spans="1:10" hidden="1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1292.0307356301819</v>
      </c>
      <c r="J378" s="280">
        <f>'Resultater - Vestdanmark'!J378+'Resultater - Østdanmark'!J378</f>
        <v>1292.0307356301819</v>
      </c>
    </row>
    <row r="379" spans="1:10" hidden="1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-5297.3260160837463</v>
      </c>
      <c r="J379" s="280">
        <f>'Resultater - Vestdanmark'!J379+'Resultater - Østdanmark'!J379</f>
        <v>-5297.3260160837463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825.70863959669998</v>
      </c>
      <c r="J380" s="280">
        <f>'Resultater - Vestdanmark'!J380+'Resultater - Østdanmark'!J380</f>
        <v>825.70863959669998</v>
      </c>
    </row>
    <row r="381" spans="1:10" hidden="1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4.0728059221043944E-2</v>
      </c>
      <c r="J381" s="280">
        <f>'Resultater - Vestdanmark'!J381+'Resultater - Østdanmark'!J381</f>
        <v>4.0728059221043944E-2</v>
      </c>
    </row>
    <row r="382" spans="1:10" hidden="1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-0.14313003669109731</v>
      </c>
      <c r="J382" s="280">
        <f>'Resultater - Vestdanmark'!J382+'Resultater - Østdanmark'!J382</f>
        <v>-0.14313003669109731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5.9641060827143814E-2</v>
      </c>
      <c r="J383" s="280">
        <f>'Resultater - Vestdanmark'!J383+'Resultater - Østdanmark'!J383</f>
        <v>5.9641060827143814E-2</v>
      </c>
    </row>
    <row r="384" spans="1:10" hidden="1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2073397.5877193159</v>
      </c>
      <c r="J384" s="280">
        <f>'Resultater - Vestdanmark'!J384+'Resultater - Østdanmark'!J384</f>
        <v>2073397.5877193159</v>
      </c>
    </row>
    <row r="385" spans="1:10" hidden="1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-7517757.7509764899</v>
      </c>
      <c r="J385" s="280">
        <f>'Resultater - Vestdanmark'!J385+'Resultater - Østdanmark'!J385</f>
        <v>-7517757.7509764899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295552.28134429298</v>
      </c>
      <c r="J386" s="280">
        <f>'Resultater - Vestdanmark'!J386+'Resultater - Østdanmark'!J386</f>
        <v>295552.28134429298</v>
      </c>
    </row>
    <row r="387" spans="1:10" hidden="1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283989.30847981339</v>
      </c>
      <c r="J387" s="280">
        <f>'Resultater - Vestdanmark'!J387+'Resultater - Østdanmark'!J387</f>
        <v>283989.30847981339</v>
      </c>
    </row>
    <row r="388" spans="1:10" hidden="1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-858077.43678938062</v>
      </c>
      <c r="J388" s="280">
        <f>'Resultater - Vestdanmark'!J388+'Resultater - Østdanmark'!J388</f>
        <v>-858077.43678938062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182971.18749367399</v>
      </c>
      <c r="J389" s="280">
        <f>'Resultater - Vestdanmark'!J389+'Resultater - Østdanmark'!J389</f>
        <v>182971.18749367399</v>
      </c>
    </row>
    <row r="390" spans="1:10" hidden="1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11.613957807942022</v>
      </c>
      <c r="J390" s="280">
        <f>'Resultater - Vestdanmark'!J390+'Resultater - Østdanmark'!J390</f>
        <v>11.613957807942022</v>
      </c>
    </row>
    <row r="391" spans="1:10" hidden="1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-30.078622728535223</v>
      </c>
      <c r="J391" s="280">
        <f>'Resultater - Vestdanmark'!J391+'Resultater - Østdanmark'!J391</f>
        <v>-30.078622728535223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17.145834240072254</v>
      </c>
      <c r="J392" s="280">
        <f>'Resultater - Vestdanmark'!J392+'Resultater - Østdanmark'!J392</f>
        <v>17.145834240072254</v>
      </c>
    </row>
    <row r="393" spans="1:10" hidden="1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265107.75527814421</v>
      </c>
      <c r="J393" s="280">
        <f>'Resultater - Vestdanmark'!J393+'Resultater - Østdanmark'!J393</f>
        <v>265107.75527814421</v>
      </c>
    </row>
    <row r="394" spans="1:10" hidden="1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-961231.89005853585</v>
      </c>
      <c r="J394" s="280">
        <f>'Resultater - Vestdanmark'!J394+'Resultater - Østdanmark'!J394</f>
        <v>-961231.89005853585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37789.762242709345</v>
      </c>
      <c r="J395" s="280">
        <f>'Resultater - Vestdanmark'!J395+'Resultater - Østdanmark'!J395</f>
        <v>37789.762242709345</v>
      </c>
    </row>
    <row r="396" spans="1:10" hidden="1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36311.303022634645</v>
      </c>
      <c r="J396" s="280">
        <f>'Resultater - Vestdanmark'!J396+'Resultater - Østdanmark'!J396</f>
        <v>36311.303022634645</v>
      </c>
    </row>
    <row r="397" spans="1:10" hidden="1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-109715.08044064129</v>
      </c>
      <c r="J397" s="280">
        <f>'Resultater - Vestdanmark'!J397+'Resultater - Østdanmark'!J397</f>
        <v>-109715.08044064129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23394.973103243992</v>
      </c>
      <c r="J398" s="280">
        <f>'Resultater - Vestdanmark'!J398+'Resultater - Østdanmark'!J398</f>
        <v>23394.973103243992</v>
      </c>
    </row>
    <row r="399" spans="1:10" hidden="1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1.4849782321514859</v>
      </c>
      <c r="J399" s="280">
        <f>'Resultater - Vestdanmark'!J399+'Resultater - Østdanmark'!J399</f>
        <v>1.4849782321514859</v>
      </c>
    </row>
    <row r="400" spans="1:10" hidden="1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-3.8458982496412673</v>
      </c>
      <c r="J400" s="280">
        <f>'Resultater - Vestdanmark'!J400+'Resultater - Østdanmark'!J400</f>
        <v>-3.8458982496412673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2.1922923295944541</v>
      </c>
      <c r="J401" s="280">
        <f>'Resultater - Vestdanmark'!J401+'Resultater - Østdanmark'!J401</f>
        <v>2.1922923295944541</v>
      </c>
    </row>
    <row r="402" spans="1:10" hidden="1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784233.65417649108</v>
      </c>
      <c r="J402" s="280">
        <f>'Resultater - Vestdanmark'!J402+'Resultater - Østdanmark'!J402</f>
        <v>728920.99629092962</v>
      </c>
    </row>
    <row r="403" spans="1:10" hidden="1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849586.45869119884</v>
      </c>
      <c r="J403" s="280">
        <f>'Resultater - Vestdanmark'!J403+'Resultater - Østdanmark'!J403</f>
        <v>789664.41264850716</v>
      </c>
    </row>
    <row r="404" spans="1:10" hidden="1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3383628.2</v>
      </c>
      <c r="J404" s="280">
        <f>'Resultater - Vestdanmark'!J404+'Resultater - Østdanmark'!J404</f>
        <v>3383628.2</v>
      </c>
    </row>
    <row r="405" spans="1:10" hidden="1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131725.00000000003</v>
      </c>
      <c r="J405" s="280">
        <f>'Resultater - Vestdanmark'!J405+'Resultater - Østdanmark'!J405</f>
        <v>131725.00000000003</v>
      </c>
    </row>
    <row r="406" spans="1:10" s="171" customFormat="1" hidden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17308.665000000001</v>
      </c>
      <c r="J406" s="280">
        <f>'Resultater - Vestdanmark'!J406+'Resultater - Østdanmark'!J406</f>
        <v>17308.665000000001</v>
      </c>
    </row>
    <row r="407" spans="1:10" hidden="1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1753646.8000000005</v>
      </c>
      <c r="J407" s="280">
        <f>'Resultater - Vestdanmark'!J407+'Resultater - Østdanmark'!J407</f>
        <v>1753646.8000000005</v>
      </c>
    </row>
    <row r="408" spans="1:10" hidden="1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1601127.6966659406</v>
      </c>
      <c r="J408" s="280">
        <f>'Resultater - Vestdanmark'!J408+'Resultater - Østdanmark'!J408</f>
        <v>1601127.6966659406</v>
      </c>
    </row>
    <row r="409" spans="1:10" hidden="1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30675.092612769666</v>
      </c>
      <c r="J409" s="280">
        <f>'Resultater - Vestdanmark'!J409+'Resultater - Østdanmark'!J409</f>
        <v>30675.092612769666</v>
      </c>
    </row>
    <row r="410" spans="1:10" hidden="1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142794.72651993899</v>
      </c>
      <c r="J410" s="280">
        <f>'Resultater - Vestdanmark'!J410+'Resultater - Østdanmark'!J410</f>
        <v>142794.72651993899</v>
      </c>
    </row>
    <row r="411" spans="1:10" hidden="1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140895.61996077577</v>
      </c>
      <c r="J411" s="280">
        <f>'Resultater - Vestdanmark'!J411+'Resultater - Østdanmark'!J411</f>
        <v>140895.61996077577</v>
      </c>
    </row>
    <row r="412" spans="1:10" hidden="1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115671.91919191919</v>
      </c>
      <c r="J412" s="280">
        <f>'Resultater - Vestdanmark'!J412+'Resultater - Østdanmark'!J412</f>
        <v>115671.91919191919</v>
      </c>
    </row>
    <row r="413" spans="1:10" hidden="1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56101.818181818191</v>
      </c>
      <c r="J413" s="280">
        <f>'Resultater - Vestdanmark'!J413+'Resultater - Østdanmark'!J413</f>
        <v>56101.818181818191</v>
      </c>
    </row>
    <row r="414" spans="1:10" hidden="1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7405.2525252525256</v>
      </c>
      <c r="J414" s="280">
        <f>'Resultater - Vestdanmark'!J414+'Resultater - Østdanmark'!J414</f>
        <v>7405.2525252525256</v>
      </c>
    </row>
    <row r="415" spans="1:10" hidden="1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76114.747474747463</v>
      </c>
      <c r="J415" s="280">
        <f>'Resultater - Vestdanmark'!J415+'Resultater - Østdanmark'!J415</f>
        <v>76114.747474747463</v>
      </c>
    </row>
    <row r="416" spans="1:10" hidden="1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201545.30567673693</v>
      </c>
      <c r="J416" s="280">
        <f>'Resultater - Vestdanmark'!J416+'Resultater - Østdanmark'!J416</f>
        <v>201545.30567673693</v>
      </c>
    </row>
    <row r="417" spans="1:10" ht="15.75" hidden="1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743.39653692532011</v>
      </c>
      <c r="J417" s="283">
        <f>'Resultater - Vestdanmark'!J417+'Resultater - Østdanmark'!J417</f>
        <v>743.39653692532011</v>
      </c>
    </row>
    <row r="418" spans="1:10" hidden="1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5940049093.1121235</v>
      </c>
      <c r="J418" s="277">
        <f>'Resultater - Vestdanmark'!J418+'Resultater - Østdanmark'!J418</f>
        <v>5940049093.1121235</v>
      </c>
    </row>
    <row r="419" spans="1:10" hidden="1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164945487.85478976</v>
      </c>
      <c r="J419" s="280">
        <f>'Resultater - Vestdanmark'!J419+'Resultater - Østdanmark'!J419</f>
        <v>164945487.85478976</v>
      </c>
    </row>
    <row r="420" spans="1:10" hidden="1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hidden="1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78449683.248009756</v>
      </c>
      <c r="J421" s="280">
        <f>'Resultater - Vestdanmark'!J421+'Resultater - Østdanmark'!J421</f>
        <v>78449683.248009756</v>
      </c>
    </row>
    <row r="422" spans="1:10" hidden="1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143824419.28801787</v>
      </c>
      <c r="J422" s="280">
        <f>'Resultater - Vestdanmark'!J422+'Resultater - Østdanmark'!J422</f>
        <v>143824419.28801787</v>
      </c>
    </row>
    <row r="423" spans="1:10" hidden="1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1682645129.1528246</v>
      </c>
      <c r="J423" s="280">
        <f>'Resultater - Vestdanmark'!J423+'Resultater - Østdanmark'!J423</f>
        <v>1682645129.1528246</v>
      </c>
    </row>
    <row r="424" spans="1:10" hidden="1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242389405.93295321</v>
      </c>
      <c r="J424" s="280">
        <f>'Resultater - Vestdanmark'!J424+'Resultater - Østdanmark'!J424</f>
        <v>242389405.93295321</v>
      </c>
    </row>
    <row r="425" spans="1:10" hidden="1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hidden="1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hidden="1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2285098465.8907456</v>
      </c>
      <c r="J427" s="280">
        <f>'Resultater - Vestdanmark'!J427+'Resultater - Østdanmark'!J427</f>
        <v>2285098465.8907456</v>
      </c>
    </row>
    <row r="428" spans="1:10" hidden="1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163939722.68494347</v>
      </c>
      <c r="J428" s="280">
        <f>'Resultater - Vestdanmark'!J428+'Resultater - Østdanmark'!J428</f>
        <v>163939722.68494347</v>
      </c>
    </row>
    <row r="429" spans="1:10" hidden="1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0</v>
      </c>
    </row>
    <row r="430" spans="1:10" hidden="1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0</v>
      </c>
    </row>
    <row r="431" spans="1:10" hidden="1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121697585.55139977</v>
      </c>
      <c r="J431" s="280">
        <f>'Resultater - Vestdanmark'!J431+'Resultater - Østdanmark'!J431</f>
        <v>121697585.55139977</v>
      </c>
    </row>
    <row r="432" spans="1:10" hidden="1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4029095270.4041944</v>
      </c>
      <c r="J432" s="280">
        <f>'Resultater - Vestdanmark'!J432+'Resultater - Østdanmark'!J432</f>
        <v>4029095270.4041944</v>
      </c>
    </row>
    <row r="433" spans="1:10" hidden="1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12195000.399999999</v>
      </c>
      <c r="J433" s="280">
        <f>'Resultater - Vestdanmark'!J433+'Resultater - Østdanmark'!J433</f>
        <v>12195000.399999999</v>
      </c>
    </row>
    <row r="434" spans="1:10" hidden="1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361184.39999999997</v>
      </c>
      <c r="J434" s="280">
        <f>'Resultater - Vestdanmark'!J434+'Resultater - Østdanmark'!J434</f>
        <v>361184.39999999997</v>
      </c>
    </row>
    <row r="435" spans="1:10" hidden="1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4390946.2500000009</v>
      </c>
      <c r="J435" s="280">
        <f>'Resultater - Vestdanmark'!J435+'Resultater - Østdanmark'!J435</f>
        <v>4390946.2500000009</v>
      </c>
    </row>
    <row r="436" spans="1:10" hidden="1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34978432</v>
      </c>
      <c r="J436" s="280">
        <f>'Resultater - Vestdanmark'!J436+'Resultater - Østdanmark'!J436</f>
        <v>34978432</v>
      </c>
    </row>
    <row r="437" spans="1:10" s="171" customFormat="1" hidden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-37099.291058504954</v>
      </c>
      <c r="J437" s="286">
        <f>'Resultater - Vestdanmark'!J437+'Resultater - Østdanmark'!J437</f>
        <v>-37099.291058504954</v>
      </c>
    </row>
    <row r="438" spans="1:10" hidden="1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61384486.299999997</v>
      </c>
      <c r="J438" s="280">
        <f>'Resultater - Vestdanmark'!J438+'Resultater - Østdanmark'!J438</f>
        <v>61384486.299999997</v>
      </c>
    </row>
    <row r="439" spans="1:10" s="171" customFormat="1" hidden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-128107.91983655478</v>
      </c>
      <c r="J439" s="286">
        <f>'Resultater - Vestdanmark'!J439+'Resultater - Østdanmark'!J439</f>
        <v>-128107.91983655478</v>
      </c>
    </row>
    <row r="440" spans="1:10" hidden="1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58183.649999999994</v>
      </c>
      <c r="J440" s="280">
        <f>'Resultater - Vestdanmark'!J440+'Resultater - Østdanmark'!J440</f>
        <v>58183.649999999994</v>
      </c>
    </row>
    <row r="441" spans="1:10" hidden="1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45425220.000000015</v>
      </c>
      <c r="J441" s="280">
        <f>'Resultater - Vestdanmark'!J441+'Resultater - Østdanmark'!J441</f>
        <v>45425220.000000015</v>
      </c>
    </row>
    <row r="442" spans="1:10" hidden="1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33002599.999999993</v>
      </c>
      <c r="J442" s="280">
        <f>'Resultater - Vestdanmark'!J442+'Resultater - Østdanmark'!J442</f>
        <v>33002599.999999993</v>
      </c>
    </row>
    <row r="443" spans="1:10" hidden="1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2165562</v>
      </c>
      <c r="J443" s="280">
        <f>'Resultater - Vestdanmark'!J443+'Resultater - Østdanmark'!J443</f>
        <v>2165562</v>
      </c>
    </row>
    <row r="444" spans="1:10" hidden="1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69194816.600000009</v>
      </c>
      <c r="J444" s="280">
        <f ca="1">'Resultater - Vestdanmark'!J444+'Resultater - Østdanmark'!J444</f>
        <v>69194816.600000009</v>
      </c>
    </row>
    <row r="445" spans="1:10" hidden="1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102149122.12999997</v>
      </c>
      <c r="J445" s="280">
        <f>'Resultater - Vestdanmark'!J445+'Resultater - Østdanmark'!J445</f>
        <v>102149122.12999995</v>
      </c>
    </row>
    <row r="446" spans="1:10" hidden="1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hidden="1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hidden="1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3689.3999999999996</v>
      </c>
      <c r="J448" s="280">
        <f>'Resultater - Vestdanmark'!J448+'Resultater - Østdanmark'!J448</f>
        <v>3689.3999999999996</v>
      </c>
    </row>
    <row r="449" spans="1:13" hidden="1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0</v>
      </c>
      <c r="J449" s="280">
        <f>'Resultater - Vestdanmark'!J449+'Resultater - Østdanmark'!J449</f>
        <v>0</v>
      </c>
    </row>
    <row r="450" spans="1:13" hidden="1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hidden="1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38583990.945885509</v>
      </c>
      <c r="J451" s="280">
        <f>'Resultater - Vestdanmark'!J451+'Resultater - Østdanmark'!J451</f>
        <v>40200100.630491078</v>
      </c>
      <c r="L451" s="98"/>
    </row>
    <row r="452" spans="1:13" hidden="1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12132379.184683278</v>
      </c>
      <c r="J452" s="286">
        <f ca="1">'Resultater - Vestdanmark'!J452+'Resultater - Østdanmark'!J452</f>
        <v>12239263.330946434</v>
      </c>
    </row>
    <row r="453" spans="1:13" hidden="1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78133292.533333331</v>
      </c>
      <c r="J453" s="286">
        <f>'Resultater - Vestdanmark'!J453+'Resultater - Østdanmark'!J453</f>
        <v>78133292.533333331</v>
      </c>
    </row>
    <row r="454" spans="1:13" hidden="1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77571922.666666657</v>
      </c>
      <c r="J454" s="286">
        <f>'Resultater - Vestdanmark'!J454+'Resultater - Østdanmark'!J454</f>
        <v>77571922.666666657</v>
      </c>
    </row>
    <row r="455" spans="1:13" hidden="1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31090.500000000004</v>
      </c>
      <c r="J455" s="286">
        <f>'Resultater - Vestdanmark'!J455+'Resultater - Østdanmark'!J455</f>
        <v>31090.500000000004</v>
      </c>
    </row>
    <row r="456" spans="1:13" hidden="1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11532709.900000002</v>
      </c>
      <c r="J456" s="286">
        <f>'Resultater - Vestdanmark'!J456+'Resultater - Østdanmark'!J456</f>
        <v>11532709.900000002</v>
      </c>
    </row>
    <row r="457" spans="1:13" hidden="1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61466613.451324061</v>
      </c>
      <c r="J457" s="286">
        <f ca="1">'Resultater - Vestdanmark'!J457+'Resultater - Østdanmark'!J457</f>
        <v>61298871.04637403</v>
      </c>
    </row>
    <row r="458" spans="1:13" hidden="1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142475311.03318915</v>
      </c>
      <c r="J458" s="286">
        <f ca="1">'Resultater - Vestdanmark'!J458+'Resultater - Østdanmark'!J458</f>
        <v>142643053.43813914</v>
      </c>
    </row>
    <row r="459" spans="1:13" hidden="1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18.661719441432172</v>
      </c>
      <c r="J459" s="290">
        <f>'Resultater - Vestdanmark'!J459+'Resultater - Østdanmark'!J459</f>
        <v>18.661719441432172</v>
      </c>
      <c r="L459" s="170" t="s">
        <v>216</v>
      </c>
      <c r="M459" s="168">
        <v>17963.28</v>
      </c>
    </row>
    <row r="460" spans="1:13" hidden="1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7.4864703205546164</v>
      </c>
      <c r="J460" s="290">
        <f>'Resultater - Vestdanmark'!J460+'Resultater - Østdanmark'!J460</f>
        <v>7.4864703205546164</v>
      </c>
      <c r="L460" s="170" t="s">
        <v>220</v>
      </c>
      <c r="M460" s="168">
        <v>14758.1</v>
      </c>
    </row>
    <row r="461" spans="1:13" hidden="1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3.3332393821462913</v>
      </c>
      <c r="J461" s="290">
        <f>'Resultater - Vestdanmark'!J461+'Resultater - Østdanmark'!J461</f>
        <v>3.3332393821462913</v>
      </c>
      <c r="L461" s="170" t="s">
        <v>217</v>
      </c>
      <c r="M461" s="168">
        <v>1988.19</v>
      </c>
    </row>
    <row r="462" spans="1:13" hidden="1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41.32923749958546</v>
      </c>
      <c r="J462" s="290">
        <f>'Resultater - Vestdanmark'!J462+'Resultater - Østdanmark'!J462</f>
        <v>38.099670027749696</v>
      </c>
      <c r="L462" s="170" t="s">
        <v>218</v>
      </c>
      <c r="M462" s="168">
        <v>8944.93</v>
      </c>
    </row>
    <row r="463" spans="1:13" hidden="1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17.543930524502301</v>
      </c>
      <c r="J463" s="290">
        <f>'Resultater - Vestdanmark'!J463+'Resultater - Østdanmark'!J463</f>
        <v>17.543930524502301</v>
      </c>
      <c r="L463" s="170" t="s">
        <v>219</v>
      </c>
      <c r="M463" s="168">
        <v>18651.71</v>
      </c>
    </row>
    <row r="464" spans="1:13" hidden="1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hidden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0</v>
      </c>
      <c r="J465" s="290">
        <f>'Resultater - Vestdanmark'!J465+'Resultater - Østdanmark'!J465</f>
        <v>0</v>
      </c>
      <c r="L465" s="169"/>
      <c r="M465" s="168"/>
    </row>
    <row r="466" spans="1:13" s="171" customFormat="1" hidden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0</v>
      </c>
      <c r="J466" s="290">
        <f>'Resultater - Vestdanmark'!J466+'Resultater - Østdanmark'!J466</f>
        <v>0</v>
      </c>
      <c r="L466" s="169"/>
      <c r="M466" s="168"/>
    </row>
    <row r="467" spans="1:13" hidden="1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16.663318151461155</v>
      </c>
      <c r="J467" s="293">
        <f ca="1">'Resultater - Vestdanmark'!J467+'Resultater - Østdanmark'!J467</f>
        <v>16.721336489138494</v>
      </c>
    </row>
    <row r="468" spans="1:13" hidden="1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0</v>
      </c>
      <c r="J468" s="296">
        <f>'Resultater - Vestdanmark'!J468+'Resultater - Østdanmark'!J468</f>
        <v>0</v>
      </c>
    </row>
    <row r="469" spans="1:13" hidden="1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0</v>
      </c>
      <c r="J469" s="296">
        <f>'Resultater - Vestdanmark'!J469+'Resultater - Østdanmark'!J469</f>
        <v>0</v>
      </c>
    </row>
    <row r="470" spans="1:13" hidden="1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0</v>
      </c>
      <c r="J470" s="296">
        <f>'Resultater - Vestdanmark'!J470+'Resultater - Østdanmark'!J470</f>
        <v>0</v>
      </c>
    </row>
    <row r="471" spans="1:13" hidden="1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334217.42502475972</v>
      </c>
      <c r="J471" s="296">
        <f>'Resultater - Vestdanmark'!J471+'Resultater - Østdanmark'!J471</f>
        <v>334217.42502475972</v>
      </c>
    </row>
    <row r="472" spans="1:13" hidden="1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213899.15201584619</v>
      </c>
      <c r="J472" s="296">
        <f>'Resultater - Vestdanmark'!J472+'Resultater - Østdanmark'!J472</f>
        <v>213899.15201584619</v>
      </c>
    </row>
    <row r="473" spans="1:13" hidden="1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0</v>
      </c>
      <c r="J473" s="296">
        <f>'Resultater - Vestdanmark'!J473+'Resultater - Østdanmark'!J473</f>
        <v>0</v>
      </c>
    </row>
    <row r="474" spans="1:13" hidden="1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0</v>
      </c>
      <c r="J474" s="296">
        <f>'Resultater - Vestdanmark'!J474+'Resultater - Østdanmark'!J474</f>
        <v>0</v>
      </c>
    </row>
    <row r="475" spans="1:13" ht="15.75" hidden="1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0</v>
      </c>
      <c r="J475" s="299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4">
      <filters>
        <filter val="Hektar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89" sqref="F89:N89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0" width="9.5703125" style="190" bestFit="1" customWidth="1"/>
    <col min="11" max="11" width="10.8554687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3" t="s">
        <v>253</v>
      </c>
      <c r="B1" s="363"/>
      <c r="C1" s="363"/>
      <c r="F1" s="364" t="s">
        <v>255</v>
      </c>
      <c r="G1" s="364"/>
      <c r="H1" s="364"/>
      <c r="I1" s="364"/>
      <c r="J1" s="364"/>
      <c r="K1" s="364"/>
      <c r="L1" s="364"/>
      <c r="M1" s="365"/>
      <c r="N1" s="366" t="s">
        <v>256</v>
      </c>
      <c r="O1" s="367"/>
      <c r="P1" s="368"/>
      <c r="Q1" s="360" t="s">
        <v>123</v>
      </c>
      <c r="R1" s="360"/>
      <c r="S1" s="360"/>
      <c r="T1" s="361"/>
      <c r="U1" s="362" t="s">
        <v>230</v>
      </c>
      <c r="V1" s="360"/>
      <c r="W1" s="360"/>
      <c r="X1" s="361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hidden="1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hidden="1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216803.74196206822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184223.95740906836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251942.51103552672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64498.47547519199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187444.03556033474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205702.08942290704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390777.60629458982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-185075.51687168278</v>
      </c>
      <c r="O53" s="193">
        <f t="shared" ca="1" si="1"/>
        <v>0</v>
      </c>
      <c r="P53" s="203">
        <f t="shared" ca="1" si="10"/>
        <v>390777.60629458982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1.3313441346611012</v>
      </c>
      <c r="S53" s="190">
        <f ca="1">IFERROR(VLOOKUP(A53,[1]Biogasudbytte!$A$2:$B$18,2,FALSE)*[1]Energiindhold!$C$10,0)*J53*IFERROR(VLOOKUP(A53,Biogasanlæg!$F$3:$G$8,2,FALSE),1)</f>
        <v>1.3313441346611012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109417.72976248516</v>
      </c>
      <c r="W53" s="190">
        <f ca="1">J53*IFERROR(VLOOKUP(A53,[1]Tørstofindhold!A$2:B$24,2,FALSE),0)</f>
        <v>109417.72976248516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352343383.55163503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352343383.55163503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352343383.55163503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9617432.0173852239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6960723.7107095271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2656708.3066756967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2585292.5074597793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667318.32127947919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726090.22762539925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1191883.9585549007</v>
      </c>
      <c r="O57" s="193">
        <f t="shared" si="1"/>
        <v>1191883.9585549007</v>
      </c>
      <c r="P57" s="203">
        <f t="shared" si="10"/>
        <v>667318.32127947919</v>
      </c>
      <c r="Q57" s="190">
        <f>IFERROR(VLOOKUP(A57,[1]Energiindhold!$A$2:$C$11,3,FALSE),IFERROR(VLOOKUP(A57,[1]Biogasudbytte!$A$2:$B$18,2,FALSE)*[1]Energiindhold!$C$10,0))*O57</f>
        <v>2.5673180467272561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4.0047217107632544</v>
      </c>
      <c r="S57" s="190">
        <f>IFERROR(VLOOKUP(A57,[1]Biogasudbytte!$A$2:$B$18,2,FALSE)*[1]Energiindhold!$C$10,0)*J57*IFERROR(VLOOKUP(A57,Biogasanlæg!$F$3:$G$8,2,FALSE),1)</f>
        <v>1.4374036640359982</v>
      </c>
      <c r="T57" s="191">
        <f t="shared" si="11"/>
        <v>2.5673180467272561</v>
      </c>
      <c r="U57" s="189">
        <f>O57*IFERROR(VLOOKUP(A57,[1]Tørstofindhold!A$2:B$24,2,FALSE),0)</f>
        <v>357565.18756647018</v>
      </c>
      <c r="V57" s="190">
        <f>IF(D57=År1,P57,SUM(O57,P57))*IFERROR(VLOOKUP(A57,[1]Tørstofindhold!A$2:B$24,2,FALSE),0)</f>
        <v>557760.68395031395</v>
      </c>
      <c r="W57" s="190">
        <f>J57*IFERROR(VLOOKUP(A57,[1]Tørstofindhold!A$2:B$24,2,FALSE),0)</f>
        <v>200195.49638384374</v>
      </c>
      <c r="X57" s="191">
        <f t="shared" si="12"/>
        <v>357565.18756647024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8195.1814461661797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4097.5907230830899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4097.5907230830899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4097.5907230830899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1.9270559411587464E-3</v>
      </c>
      <c r="S59" s="190">
        <f>IFERROR(VLOOKUP(A59,[1]Biogasudbytte!$A$2:$B$18,2,FALSE)*[1]Energiindhold!$C$10,0)*J59*IFERROR(VLOOKUP(A59,Biogasanlæg!$F$3:$G$8,2,FALSE),1)</f>
        <v>1.9270559411587464E-3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258.14821555423464</v>
      </c>
      <c r="W59" s="190">
        <f>J59*IFERROR(VLOOKUP(A59,[1]Tørstofindhold!A$2:B$24,2,FALSE),0)</f>
        <v>258.14821555423464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hidden="1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185939.47423661887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150644.7076375357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816683.24927192752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816683.24927192752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25103.663143485108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-232819.6312344305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13475308.007050257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12237689.9092583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75018.541590975714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1162599.5562009811</v>
      </c>
      <c r="O64" s="193">
        <f t="shared" si="1"/>
        <v>1162599.5562009811</v>
      </c>
      <c r="P64" s="203">
        <f t="shared" si="10"/>
        <v>75018.541590975714</v>
      </c>
      <c r="Q64" s="190">
        <f>IFERROR(VLOOKUP(A64,[1]Energiindhold!$A$2:$C$11,3,FALSE),IFERROR(VLOOKUP(A64,[1]Biogasudbytte!$A$2:$B$18,2,FALSE)*[1]Energiindhold!$C$10,0))*O64</f>
        <v>2.1390378584652803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2.2770625976749765</v>
      </c>
      <c r="S64" s="190">
        <f>IFERROR(VLOOKUP(A64,[1]Biogasudbytte!$A$2:$B$18,2,FALSE)*[1]Energiindhold!$C$10,0)*J64*IFERROR(VLOOKUP(A64,Biogasanlæg!$F$3:$G$8,2,FALSE),1)</f>
        <v>0.13802473920969646</v>
      </c>
      <c r="T64" s="191">
        <f t="shared" si="11"/>
        <v>2.1390378584652803</v>
      </c>
      <c r="U64" s="189">
        <f>O64*IFERROR(VLOOKUP(A64,[1]Tørstofindhold!A$2:B$24,2,FALSE),0)</f>
        <v>325527.87573627476</v>
      </c>
      <c r="V64" s="190">
        <f>IF(D64=År1,P64,SUM(O64,P64))*IFERROR(VLOOKUP(A64,[1]Tørstofindhold!A$2:B$24,2,FALSE),0)</f>
        <v>346533.06738174794</v>
      </c>
      <c r="W64" s="190">
        <f>J64*IFERROR(VLOOKUP(A64,[1]Tørstofindhold!A$2:B$24,2,FALSE),0)</f>
        <v>21005.191645473202</v>
      </c>
      <c r="X64" s="191">
        <f t="shared" si="12"/>
        <v>325527.87573627476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183141.32099151294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-86999.392593777651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2638910.761883507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773085.89354292618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728576.62938789232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52759.391018010894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1084488.8479346768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1137248.2389526877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11.513253088493739</v>
      </c>
      <c r="S67" s="190">
        <f>IFERROR(VLOOKUP(A67,[1]Biogasudbytte!$A$2:$B$18,2,FALSE)*[1]Energiindhold!$C$10,0)*J67*IFERROR(VLOOKUP(A67,Biogasanlæg!$F$3:$G$8,2,FALSE),1)</f>
        <v>0.30418637928998254</v>
      </c>
      <c r="T67" s="191">
        <f t="shared" si="11"/>
        <v>11.209066709203757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966661.00310978456</v>
      </c>
      <c r="W67" s="190">
        <f>J67*IFERROR(VLOOKUP(A67,[1]Tørstofindhold!A$2:B$24,2,FALSE),0)</f>
        <v>44845.482365309261</v>
      </c>
      <c r="X67" s="191">
        <f t="shared" si="12"/>
        <v>921815.5207444753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4828427.5390456235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-4828427.5390456235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524512.99341045239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717790.84090882004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-193277.84749836766</v>
      </c>
      <c r="O70" s="193">
        <f t="shared" si="20"/>
        <v>0</v>
      </c>
      <c r="P70" s="203">
        <f t="shared" si="10"/>
        <v>717790.84090882004</v>
      </c>
      <c r="Q70" s="190">
        <f>IFERROR(VLOOKUP(A70,[1]Energiindhold!$A$2:$C$11,3,FALSE),IFERROR(VLOOKUP(A70,[1]Biogasudbytte!$A$2:$B$18,2,FALSE)*[1]Energiindhold!$C$10,0))*O70</f>
        <v>0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2.64373887249715</v>
      </c>
      <c r="S70" s="190">
        <f>IFERROR(VLOOKUP(A70,[1]Biogasudbytte!$A$2:$B$18,2,FALSE)*[1]Energiindhold!$C$10,0)*J70*IFERROR(VLOOKUP(A70,Biogasanlæg!$F$3:$G$8,2,FALSE),1)</f>
        <v>2.64373887249715</v>
      </c>
      <c r="T70" s="191">
        <f t="shared" si="11"/>
        <v>0</v>
      </c>
      <c r="U70" s="189">
        <f>O70*IFERROR(VLOOKUP(A70,[1]Tørstofindhold!A$2:B$24,2,FALSE),0)</f>
        <v>0</v>
      </c>
      <c r="V70" s="190">
        <f>IF(D70=År1,P70,SUM(O70,P70))*IFERROR(VLOOKUP(A70,[1]Tørstofindhold!A$2:B$24,2,FALSE),0)</f>
        <v>301472.1531817044</v>
      </c>
      <c r="W70" s="190">
        <f>J70*IFERROR(VLOOKUP(A70,[1]Tørstofindhold!A$2:B$24,2,FALSE),0)</f>
        <v>301472.1531817044</v>
      </c>
      <c r="X70" s="191">
        <f t="shared" si="12"/>
        <v>0</v>
      </c>
      <c r="Y70" s="171">
        <f t="shared" si="21"/>
        <v>1</v>
      </c>
      <c r="Z70" s="103">
        <f t="shared" si="22"/>
        <v>0</v>
      </c>
    </row>
    <row r="71" spans="1:26" hidden="1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741510.76618312241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741510.76618312241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2048170.9409103482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1924639.2578135571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6660662.8299724497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5879215.2019956242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2829.8956304621011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482684.68932328094</v>
      </c>
      <c r="O73" s="193">
        <f t="shared" si="20"/>
        <v>482684.68932328094</v>
      </c>
      <c r="P73" s="203">
        <f t="shared" si="10"/>
        <v>2829.8956304621011</v>
      </c>
      <c r="Q73" s="190">
        <f>IFERROR(VLOOKUP(A73,[1]Energiindhold!$A$2:$C$11,3,FALSE),IFERROR(VLOOKUP(A73,[1]Biogasudbytte!$A$2:$B$18,2,FALSE)*[1]Energiindhold!$C$10,0))*O73</f>
        <v>1.6531274850757323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1.6628194814246766</v>
      </c>
      <c r="S73" s="190">
        <f>IFERROR(VLOOKUP(A73,[1]Biogasudbytte!$A$2:$B$18,2,FALSE)*[1]Energiindhold!$C$10,0)*J73*IFERROR(VLOOKUP(A73,Biogasanlæg!$F$3:$G$8,2,FALSE),1)</f>
        <v>9.6919963489444337E-3</v>
      </c>
      <c r="T73" s="191">
        <f t="shared" si="11"/>
        <v>1.6531274850757323</v>
      </c>
      <c r="U73" s="189">
        <f>O73*IFERROR(VLOOKUP(A73,[1]Tørstofindhold!A$2:B$24,2,FALSE),0)</f>
        <v>149632.2536902171</v>
      </c>
      <c r="V73" s="190">
        <f>IF(D73=År1,P73,SUM(O73,P73))*IFERROR(VLOOKUP(A73,[1]Tørstofindhold!A$2:B$24,2,FALSE),0)</f>
        <v>150509.52133566033</v>
      </c>
      <c r="W73" s="190">
        <f>J73*IFERROR(VLOOKUP(A73,[1]Tørstofindhold!A$2:B$24,2,FALSE),0)</f>
        <v>877.26764544325135</v>
      </c>
      <c r="X73" s="191">
        <f t="shared" si="12"/>
        <v>149632.25369021707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518382.89357522689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-518382.89357522689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13117674.288871367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4064620.7701627249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9053053.5187086407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4064620.7701627249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2.05747038764867</v>
      </c>
      <c r="S75" s="190">
        <f>IFERROR(VLOOKUP(A75,[1]Biogasudbytte!$A$2:$B$18,2,FALSE)*[1]Energiindhold!$C$10,0)*J75*IFERROR(VLOOKUP(A75,Biogasanlæg!$F$3:$G$8,2,FALSE),1)</f>
        <v>2.05747038764867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308911.17853236711</v>
      </c>
      <c r="W75" s="190">
        <f>J75*IFERROR(VLOOKUP(A75,[1]Tørstofindhold!A$2:B$24,2,FALSE),0)</f>
        <v>308911.17853236711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hidden="1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1637278.8284784025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1515714.1736670118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121564.65481139068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7401057.8539744057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5657053.7864699634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314623.32990126638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1429380.7376031764</v>
      </c>
      <c r="O77" s="193">
        <f t="shared" si="20"/>
        <v>1081950.2974583334</v>
      </c>
      <c r="P77" s="203">
        <f t="shared" si="10"/>
        <v>314623.32990126638</v>
      </c>
      <c r="Q77" s="190">
        <f>IFERROR(VLOOKUP(A77,[1]Energiindhold!$A$2:$C$11,3,FALSE),IFERROR(VLOOKUP(A77,[1]Biogasudbytte!$A$2:$B$18,2,FALSE)*[1]Energiindhold!$C$10,0))*O77</f>
        <v>3.8842015678754174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5.0136993222209636</v>
      </c>
      <c r="S77" s="190">
        <f>IFERROR(VLOOKUP(A77,[1]Biogasudbytte!$A$2:$B$18,2,FALSE)*[1]Energiindhold!$C$10,0)*J77*IFERROR(VLOOKUP(A77,Biogasanlæg!$F$3:$G$8,2,FALSE),1)</f>
        <v>1.1294977543455464</v>
      </c>
      <c r="T77" s="191">
        <f t="shared" si="11"/>
        <v>3.8842015678754169</v>
      </c>
      <c r="U77" s="189">
        <f>O77*IFERROR(VLOOKUP(A77,[1]Tørstofindhold!A$2:B$24,2,FALSE),0)</f>
        <v>324585.08923750004</v>
      </c>
      <c r="V77" s="190">
        <f>IF(D77=År1,P77,SUM(O77,P77))*IFERROR(VLOOKUP(A77,[1]Tørstofindhold!A$2:B$24,2,FALSE),0)</f>
        <v>418972.08820787992</v>
      </c>
      <c r="W77" s="190">
        <f>J77*IFERROR(VLOOKUP(A77,[1]Tørstofindhold!A$2:B$24,2,FALSE),0)</f>
        <v>94386.998970379907</v>
      </c>
      <c r="X77" s="191">
        <f t="shared" si="12"/>
        <v>324585.08923749998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3159098.4087003632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2686691.5326818652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878.90231344976178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878.90231344976178</v>
      </c>
      <c r="O79" s="193">
        <f t="shared" si="20"/>
        <v>878.90231344976178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7.8881482632116122E-4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7.8881482632116122E-4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7.8881482632116122E-4</v>
      </c>
      <c r="U79" s="189">
        <f>O79*IFERROR(VLOOKUP(A79,[1]Tørstofindhold!A$2:B$24,2,FALSE),0)</f>
        <v>131.83534701746427</v>
      </c>
      <c r="V79" s="190">
        <f>IF(D79=År1,P79,SUM(O79,P79))*IFERROR(VLOOKUP(A79,[1]Tørstofindhold!A$2:B$24,2,FALSE),0)</f>
        <v>131.83534701746427</v>
      </c>
      <c r="W79" s="190">
        <f>J79*IFERROR(VLOOKUP(A79,[1]Tørstofindhold!A$2:B$24,2,FALSE),0)</f>
        <v>0</v>
      </c>
      <c r="X79" s="191">
        <f t="shared" si="12"/>
        <v>131.83534701746427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107996.19646464376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47967.943425741491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1558166.0944741257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1558166.0944741257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146406.17107700335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146406.17107700335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146406.17107700335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2.6938735478168612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2.6938735478168612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60758.560996956396</v>
      </c>
      <c r="W82" s="190">
        <f>J82*IFERROR(VLOOKUP(A82,[1]Tørstofindhold!A$2:B$24,2,FALSE),0)</f>
        <v>0</v>
      </c>
      <c r="X82" s="191">
        <f t="shared" ref="X82:X149" si="26">V82-W82</f>
        <v>60758.560996956396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4919361.2689012978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4919361.2689012978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476340.01515460305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476340.01515460305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238170.00757730153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214099.10609126228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24070.901486039249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152428.80484947297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152428.80484947297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152428.80484947297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5.3350081697315535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5.3350081697315535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373912.94111232943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4087.4992709451894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-471342.17581424461</v>
      </c>
      <c r="O89" s="193">
        <f t="shared" si="20"/>
        <v>0</v>
      </c>
      <c r="P89" s="203">
        <f t="shared" si="24"/>
        <v>4087.4992709451894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1.1093636521316083E-2</v>
      </c>
      <c r="S89" s="190">
        <f>IFERROR(VLOOKUP(A89,[1]Biogasudbytte!$A$2:$B$18,2,FALSE)*[1]Energiindhold!$C$10,0)*J89*IFERROR(VLOOKUP(A89,Biogasanlæg!$F$3:$G$8,2,FALSE),1)</f>
        <v>1.1093636521316083E-2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817.49985418903793</v>
      </c>
      <c r="W89" s="190">
        <f>J89*IFERROR(VLOOKUP(A89,[1]Tørstofindhold!A$2:B$24,2,FALSE),0)</f>
        <v>817.49985418903793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194127.94896538503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194127.94896538503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131636.61559425521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92220.880581637888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3975134.2408430357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1507565.0660041883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2467569.1748388475</v>
      </c>
      <c r="O92" s="193">
        <f t="shared" si="20"/>
        <v>2467569.1748388475</v>
      </c>
      <c r="P92" s="203">
        <f t="shared" si="24"/>
        <v>1507565.0660041883</v>
      </c>
      <c r="Q92" s="190">
        <f>IFERROR(VLOOKUP(A92,[1]Energiindhold!$A$2:$C$11,3,FALSE),IFERROR(VLOOKUP(A92,[1]Biogasudbytte!$A$2:$B$18,2,FALSE)*[1]Energiindhold!$C$10,0))*O92</f>
        <v>1.2313416939363335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1.9836317375230836</v>
      </c>
      <c r="S92" s="190">
        <f>IFERROR(VLOOKUP(A92,[1]Biogasudbytte!$A$2:$B$18,2,FALSE)*[1]Energiindhold!$C$10,0)*J92*IFERROR(VLOOKUP(A92,Biogasanlæg!$F$3:$G$8,2,FALSE),1)</f>
        <v>0.75229004358675011</v>
      </c>
      <c r="T92" s="191">
        <f t="shared" si="25"/>
        <v>1.2313416939363335</v>
      </c>
      <c r="U92" s="189">
        <f>O92*IFERROR(VLOOKUP(A92,[1]Tørstofindhold!A$2:B$24,2,FALSE),0)</f>
        <v>148054.15049033085</v>
      </c>
      <c r="V92" s="190">
        <f>IF(D92=År1,P92,SUM(O92,P92))*IFERROR(VLOOKUP(A92,[1]Tørstofindhold!A$2:B$24,2,FALSE),0)</f>
        <v>238508.05445058213</v>
      </c>
      <c r="W92" s="190">
        <f>J92*IFERROR(VLOOKUP(A92,[1]Tørstofindhold!A$2:B$24,2,FALSE),0)</f>
        <v>90453.903960251293</v>
      </c>
      <c r="X92" s="191">
        <f t="shared" si="26"/>
        <v>148054.15049033082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15422346.485874616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2545966.1788365529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12876380.307038061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2545966.1788365529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1.0968022298427871</v>
      </c>
      <c r="S93" s="190">
        <f>IFERROR(VLOOKUP(A93,[1]Biogasudbytte!$A$2:$B$18,2,FALSE)*[1]Energiindhold!$C$10,0)*J93*IFERROR(VLOOKUP(A93,Biogasanlæg!$F$3:$G$8,2,FALSE),1)</f>
        <v>1.0968022298427871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127298.30894182765</v>
      </c>
      <c r="W93" s="190">
        <f>J93*IFERROR(VLOOKUP(A93,[1]Tørstofindhold!A$2:B$24,2,FALSE),0)</f>
        <v>127298.30894182765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1398490.463052188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1276614.9190035076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382.5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382.5</v>
      </c>
      <c r="O95" s="193">
        <f t="shared" si="20"/>
        <v>382.5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3.4329375000000003E-4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3.4329375000000003E-4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3.4329375000000003E-4</v>
      </c>
      <c r="U95" s="189">
        <f>O95*IFERROR(VLOOKUP(A95,[1]Tørstofindhold!A$2:B$24,2,FALSE),0)</f>
        <v>57.375</v>
      </c>
      <c r="V95" s="190">
        <f>IF(D95=År1,P95,SUM(O95,P95))*IFERROR(VLOOKUP(A95,[1]Tørstofindhold!A$2:B$24,2,FALSE),0)</f>
        <v>57.375</v>
      </c>
      <c r="W95" s="190">
        <f>J95*IFERROR(VLOOKUP(A95,[1]Tørstofindhold!A$2:B$24,2,FALSE),0)</f>
        <v>0</v>
      </c>
      <c r="X95" s="191">
        <f t="shared" si="26"/>
        <v>57.375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2205884.0906945551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2205884.0906945551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2205884.0906945551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31.971133055605648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31.971133055605648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1090993.506522682</v>
      </c>
      <c r="W97" s="190">
        <f>J97*IFERROR(VLOOKUP(A97,[1]Tørstofindhold!A$2:B$24,2,FALSE),0)</f>
        <v>0</v>
      </c>
      <c r="X97" s="191">
        <f t="shared" si="26"/>
        <v>1090993.506522682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606661.04726979067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606661.04726979067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216803.74196206822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182953.77307562341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251942.51103552672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64498.47547519199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187444.03556033474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209913.46379772766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389403.53007387661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-179490.06627614895</v>
      </c>
      <c r="O101" s="193">
        <f t="shared" ca="1" si="20"/>
        <v>0</v>
      </c>
      <c r="P101" s="203">
        <f t="shared" ca="1" si="24"/>
        <v>389403.53007387661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1.3266627806439912</v>
      </c>
      <c r="S101" s="190">
        <f ca="1">IFERROR(VLOOKUP(A101,[1]Biogasudbytte!$A$2:$B$18,2,FALSE)*[1]Energiindhold!$C$10,0)*J101*IFERROR(VLOOKUP(A101,Biogasanlæg!$F$3:$G$8,2,FALSE),1)</f>
        <v>1.3266627806439912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109032.98842068546</v>
      </c>
      <c r="W101" s="190">
        <f ca="1">J101*IFERROR(VLOOKUP(A101,[1]Tørstofindhold!A$2:B$24,2,FALSE),0)</f>
        <v>109032.98842068546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352910743.33126384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352910743.33126384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352910743.33126384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9667687.4423104227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6917063.4331097705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2750624.0092006521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2585292.5074597793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667318.32127947919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726090.22762539925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1191883.9585549007</v>
      </c>
      <c r="O105" s="193">
        <f t="shared" si="20"/>
        <v>1191883.9585549007</v>
      </c>
      <c r="P105" s="203">
        <f t="shared" si="24"/>
        <v>667318.32127947919</v>
      </c>
      <c r="Q105" s="190">
        <f>IFERROR(VLOOKUP(A105,[1]Energiindhold!$A$2:$C$11,3,FALSE),IFERROR(VLOOKUP(A105,[1]Biogasudbytte!$A$2:$B$18,2,FALSE)*[1]Energiindhold!$C$10,0))*O105</f>
        <v>2.5673180467272561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4.0047217107632544</v>
      </c>
      <c r="S105" s="190">
        <f>IFERROR(VLOOKUP(A105,[1]Biogasudbytte!$A$2:$B$18,2,FALSE)*[1]Energiindhold!$C$10,0)*J105*IFERROR(VLOOKUP(A105,Biogasanlæg!$F$3:$G$8,2,FALSE),1)</f>
        <v>1.4374036640359982</v>
      </c>
      <c r="T105" s="191">
        <f t="shared" si="25"/>
        <v>2.5673180467272561</v>
      </c>
      <c r="U105" s="189">
        <f>O105*IFERROR(VLOOKUP(A105,[1]Tørstofindhold!A$2:B$24,2,FALSE),0)</f>
        <v>357565.18756647018</v>
      </c>
      <c r="V105" s="190">
        <f>IF(D105=År1,P105,SUM(O105,P105))*IFERROR(VLOOKUP(A105,[1]Tørstofindhold!A$2:B$24,2,FALSE),0)</f>
        <v>557760.68395031395</v>
      </c>
      <c r="W105" s="190">
        <f>J105*IFERROR(VLOOKUP(A105,[1]Tørstofindhold!A$2:B$24,2,FALSE),0)</f>
        <v>200195.49638384374</v>
      </c>
      <c r="X105" s="191">
        <f t="shared" si="26"/>
        <v>357565.18756647024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8195.1814461661797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4097.5907230830899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4097.5907230830899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4097.5907230830899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1.9270559411587464E-3</v>
      </c>
      <c r="S107" s="190">
        <f>IFERROR(VLOOKUP(A107,[1]Biogasudbytte!$A$2:$B$18,2,FALSE)*[1]Energiindhold!$C$10,0)*J107*IFERROR(VLOOKUP(A107,Biogasanlæg!$F$3:$G$8,2,FALSE),1)</f>
        <v>1.9270559411587464E-3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258.14821555423464</v>
      </c>
      <c r="W107" s="190">
        <f>J107*IFERROR(VLOOKUP(A107,[1]Tørstofindhold!A$2:B$24,2,FALSE),0)</f>
        <v>258.14821555423464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hidden="1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185939.47423661887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149268.674609637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816683.24927192752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816683.24927192752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25103.663143485108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-242875.25720753634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13475308.007050257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12237689.9092583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75018.541590975714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1162599.5562009811</v>
      </c>
      <c r="O112" s="193">
        <f t="shared" si="20"/>
        <v>1162599.5562009811</v>
      </c>
      <c r="P112" s="203">
        <f t="shared" si="24"/>
        <v>75018.541590975714</v>
      </c>
      <c r="Q112" s="190">
        <f>IFERROR(VLOOKUP(A112,[1]Energiindhold!$A$2:$C$11,3,FALSE),IFERROR(VLOOKUP(A112,[1]Biogasudbytte!$A$2:$B$18,2,FALSE)*[1]Energiindhold!$C$10,0))*O112</f>
        <v>2.1390378584652803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2.2770625976749765</v>
      </c>
      <c r="S112" s="190">
        <f>IFERROR(VLOOKUP(A112,[1]Biogasudbytte!$A$2:$B$18,2,FALSE)*[1]Energiindhold!$C$10,0)*J112*IFERROR(VLOOKUP(A112,Biogasanlæg!$F$3:$G$8,2,FALSE),1)</f>
        <v>0.13802473920969646</v>
      </c>
      <c r="T112" s="191">
        <f t="shared" si="25"/>
        <v>2.1390378584652803</v>
      </c>
      <c r="U112" s="189">
        <f>O112*IFERROR(VLOOKUP(A112,[1]Tørstofindhold!A$2:B$24,2,FALSE),0)</f>
        <v>325527.87573627476</v>
      </c>
      <c r="V112" s="190">
        <f>IF(D112=År1,P112,SUM(O112,P112))*IFERROR(VLOOKUP(A112,[1]Tørstofindhold!A$2:B$24,2,FALSE),0)</f>
        <v>346533.06738174794</v>
      </c>
      <c r="W112" s="190">
        <f>J112*IFERROR(VLOOKUP(A112,[1]Tørstofindhold!A$2:B$24,2,FALSE),0)</f>
        <v>21005.191645473202</v>
      </c>
      <c r="X112" s="191">
        <f t="shared" si="26"/>
        <v>325527.87573627476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183141.32099151294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-97531.337691925321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2638910.761883507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773085.89354292618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728576.62938789232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52759.391018010894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1084488.8479346768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1137248.2389526877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11.513253088493739</v>
      </c>
      <c r="S115" s="190">
        <f>IFERROR(VLOOKUP(A115,[1]Biogasudbytte!$A$2:$B$18,2,FALSE)*[1]Energiindhold!$C$10,0)*J115*IFERROR(VLOOKUP(A115,Biogasanlæg!$F$3:$G$8,2,FALSE),1)</f>
        <v>0.30418637928998254</v>
      </c>
      <c r="T115" s="191">
        <f t="shared" si="25"/>
        <v>11.209066709203757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966661.00310978456</v>
      </c>
      <c r="W115" s="190">
        <f>J115*IFERROR(VLOOKUP(A115,[1]Tørstofindhold!A$2:B$24,2,FALSE),0)</f>
        <v>44845.482365309261</v>
      </c>
      <c r="X115" s="191">
        <f t="shared" si="26"/>
        <v>921815.5207444753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4828427.5390456235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-4828427.5390456235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523843.95069440134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716875.2625727416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-193031.31187834026</v>
      </c>
      <c r="O118" s="193">
        <f t="shared" si="20"/>
        <v>0</v>
      </c>
      <c r="P118" s="203">
        <f t="shared" si="24"/>
        <v>716875.2625727416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2.6403666505350505</v>
      </c>
      <c r="S118" s="190">
        <f>IFERROR(VLOOKUP(A118,[1]Biogasudbytte!$A$2:$B$18,2,FALSE)*[1]Energiindhold!$C$10,0)*J118*IFERROR(VLOOKUP(A118,Biogasanlæg!$F$3:$G$8,2,FALSE),1)</f>
        <v>2.6403666505350505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301087.61028055148</v>
      </c>
      <c r="W118" s="190">
        <f>J118*IFERROR(VLOOKUP(A118,[1]Tørstofindhold!A$2:B$24,2,FALSE),0)</f>
        <v>301087.61028055148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741510.76618312241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741510.76618312241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2048170.9409103482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1919823.1422159115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6660662.8299724497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5879215.2019956242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2829.8956304621011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471147.18162782304</v>
      </c>
      <c r="O121" s="193">
        <f t="shared" si="20"/>
        <v>471147.18162782304</v>
      </c>
      <c r="P121" s="203">
        <f t="shared" si="24"/>
        <v>2829.8956304621011</v>
      </c>
      <c r="Q121" s="190">
        <f>IFERROR(VLOOKUP(A121,[1]Energiindhold!$A$2:$C$11,3,FALSE),IFERROR(VLOOKUP(A121,[1]Biogasudbytte!$A$2:$B$18,2,FALSE)*[1]Energiindhold!$C$10,0))*O121</f>
        <v>1.6136131364698663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1.6233051328188106</v>
      </c>
      <c r="S121" s="190">
        <f>IFERROR(VLOOKUP(A121,[1]Biogasudbytte!$A$2:$B$18,2,FALSE)*[1]Energiindhold!$C$10,0)*J121*IFERROR(VLOOKUP(A121,Biogasanlæg!$F$3:$G$8,2,FALSE),1)</f>
        <v>9.6919963489444337E-3</v>
      </c>
      <c r="T121" s="191">
        <f t="shared" si="25"/>
        <v>1.6136131364698663</v>
      </c>
      <c r="U121" s="189">
        <f>O121*IFERROR(VLOOKUP(A121,[1]Tørstofindhold!A$2:B$24,2,FALSE),0)</f>
        <v>146055.62630462516</v>
      </c>
      <c r="V121" s="190">
        <f>IF(D121=År1,P121,SUM(O121,P121))*IFERROR(VLOOKUP(A121,[1]Tørstofindhold!A$2:B$24,2,FALSE),0)</f>
        <v>146932.89395006839</v>
      </c>
      <c r="W121" s="190">
        <f>J121*IFERROR(VLOOKUP(A121,[1]Tørstofindhold!A$2:B$24,2,FALSE),0)</f>
        <v>877.26764544325135</v>
      </c>
      <c r="X121" s="191">
        <f t="shared" si="26"/>
        <v>146055.62630462513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520293.03072021605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-520293.03072021605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13117674.288871367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4064620.7701627249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9053053.5187086407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4064620.7701627249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2.05747038764867</v>
      </c>
      <c r="S123" s="190">
        <f>IFERROR(VLOOKUP(A123,[1]Biogasudbytte!$A$2:$B$18,2,FALSE)*[1]Energiindhold!$C$10,0)*J123*IFERROR(VLOOKUP(A123,Biogasanlæg!$F$3:$G$8,2,FALSE),1)</f>
        <v>2.05747038764867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308911.17853236711</v>
      </c>
      <c r="W123" s="190">
        <f>J123*IFERROR(VLOOKUP(A123,[1]Tørstofindhold!A$2:B$24,2,FALSE),0)</f>
        <v>308911.17853236711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hidden="1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1637278.8284784025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1515714.1736670118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121564.65481139068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7401057.8539744057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5657053.7864699634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314623.32990126638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1429380.7376031764</v>
      </c>
      <c r="O125" s="193">
        <f t="shared" si="20"/>
        <v>1081950.2974583334</v>
      </c>
      <c r="P125" s="203">
        <f t="shared" si="24"/>
        <v>314623.32990126638</v>
      </c>
      <c r="Q125" s="190">
        <f>IFERROR(VLOOKUP(A125,[1]Energiindhold!$A$2:$C$11,3,FALSE),IFERROR(VLOOKUP(A125,[1]Biogasudbytte!$A$2:$B$18,2,FALSE)*[1]Energiindhold!$C$10,0))*O125</f>
        <v>3.8842015678754174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5.0136993222209636</v>
      </c>
      <c r="S125" s="190">
        <f>IFERROR(VLOOKUP(A125,[1]Biogasudbytte!$A$2:$B$18,2,FALSE)*[1]Energiindhold!$C$10,0)*J125*IFERROR(VLOOKUP(A125,Biogasanlæg!$F$3:$G$8,2,FALSE),1)</f>
        <v>1.1294977543455464</v>
      </c>
      <c r="T125" s="191">
        <f t="shared" si="25"/>
        <v>3.8842015678754169</v>
      </c>
      <c r="U125" s="189">
        <f>O125*IFERROR(VLOOKUP(A125,[1]Tørstofindhold!A$2:B$24,2,FALSE),0)</f>
        <v>324585.08923750004</v>
      </c>
      <c r="V125" s="190">
        <f>IF(D125=År1,P125,SUM(O125,P125))*IFERROR(VLOOKUP(A125,[1]Tørstofindhold!A$2:B$24,2,FALSE),0)</f>
        <v>418972.08820787992</v>
      </c>
      <c r="W125" s="190">
        <f>J125*IFERROR(VLOOKUP(A125,[1]Tørstofindhold!A$2:B$24,2,FALSE),0)</f>
        <v>94386.998970379907</v>
      </c>
      <c r="X125" s="191">
        <f t="shared" si="26"/>
        <v>324585.08923749998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3159098.4087003632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2668273.8598469133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878.90231344976178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878.90231344976178</v>
      </c>
      <c r="O127" s="193">
        <f t="shared" si="20"/>
        <v>878.90231344976178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7.8881482632116122E-4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7.8881482632116122E-4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7.8881482632116122E-4</v>
      </c>
      <c r="U127" s="189">
        <f>O127*IFERROR(VLOOKUP(A127,[1]Tørstofindhold!A$2:B$24,2,FALSE),0)</f>
        <v>131.83534701746427</v>
      </c>
      <c r="V127" s="190">
        <f>IF(D127=År1,P127,SUM(O127,P127))*IFERROR(VLOOKUP(A127,[1]Tørstofindhold!A$2:B$24,2,FALSE),0)</f>
        <v>131.83534701746427</v>
      </c>
      <c r="W127" s="190">
        <f>J127*IFERROR(VLOOKUP(A127,[1]Tørstofindhold!A$2:B$24,2,FALSE),0)</f>
        <v>0</v>
      </c>
      <c r="X127" s="191">
        <f t="shared" si="26"/>
        <v>131.83534701746427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107996.19646464376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45627.628791369178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1558166.0944741257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1558166.0944741257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146406.17107700335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146406.17107700335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146406.17107700335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2.6938735478168612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2.6938735478168612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60758.560996956396</v>
      </c>
      <c r="W130" s="190">
        <f>J130*IFERROR(VLOOKUP(A130,[1]Tørstofindhold!A$2:B$24,2,FALSE),0)</f>
        <v>0</v>
      </c>
      <c r="X130" s="191">
        <f t="shared" si="26"/>
        <v>60758.560996956396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4919361.2689012978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4919361.2689012978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476340.01515460305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476340.01515460305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238170.00757730153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214099.10609126228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24070.901486039249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152428.80484947297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152428.80484947297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152428.80484947297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5.3350081697315535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5.3350081697315535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373912.94111232943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4087.4992709451894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-471342.17581424461</v>
      </c>
      <c r="O137" s="193">
        <f t="shared" si="39"/>
        <v>0</v>
      </c>
      <c r="P137" s="203">
        <f t="shared" si="24"/>
        <v>4087.4992709451894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1.1093636521316083E-2</v>
      </c>
      <c r="S137" s="190">
        <f>IFERROR(VLOOKUP(A137,[1]Biogasudbytte!$A$2:$B$18,2,FALSE)*[1]Energiindhold!$C$10,0)*J137*IFERROR(VLOOKUP(A137,Biogasanlæg!$F$3:$G$8,2,FALSE),1)</f>
        <v>1.1093636521316083E-2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817.49985418903793</v>
      </c>
      <c r="W137" s="190">
        <f>J137*IFERROR(VLOOKUP(A137,[1]Tørstofindhold!A$2:B$24,2,FALSE),0)</f>
        <v>817.49985418903793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194127.94896538503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194127.94896538503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131636.61559425521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92220.880581637888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4125317.5803842121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1564521.9239290934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2560795.6564551187</v>
      </c>
      <c r="O140" s="193">
        <f t="shared" si="39"/>
        <v>2560795.6564551187</v>
      </c>
      <c r="P140" s="203">
        <f t="shared" si="24"/>
        <v>1564521.9239290934</v>
      </c>
      <c r="Q140" s="190">
        <f>IFERROR(VLOOKUP(A140,[1]Energiindhold!$A$2:$C$11,3,FALSE),IFERROR(VLOOKUP(A140,[1]Biogasudbytte!$A$2:$B$18,2,FALSE)*[1]Energiindhold!$C$10,0))*O140</f>
        <v>1.277862640527669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2.0585747257875262</v>
      </c>
      <c r="S140" s="190">
        <f>IFERROR(VLOOKUP(A140,[1]Biogasudbytte!$A$2:$B$18,2,FALSE)*[1]Energiindhold!$C$10,0)*J140*IFERROR(VLOOKUP(A140,Biogasanlæg!$F$3:$G$8,2,FALSE),1)</f>
        <v>0.78071208525985702</v>
      </c>
      <c r="T140" s="191">
        <f t="shared" si="25"/>
        <v>1.2778626405276692</v>
      </c>
      <c r="U140" s="189">
        <f>O140*IFERROR(VLOOKUP(A140,[1]Tørstofindhold!A$2:B$24,2,FALSE),0)</f>
        <v>153647.73938730711</v>
      </c>
      <c r="V140" s="190">
        <f>IF(D140=År1,P140,SUM(O140,P140))*IFERROR(VLOOKUP(A140,[1]Tørstofindhold!A$2:B$24,2,FALSE),0)</f>
        <v>247519.05482305272</v>
      </c>
      <c r="W140" s="190">
        <f>J140*IFERROR(VLOOKUP(A140,[1]Tørstofindhold!A$2:B$24,2,FALSE),0)</f>
        <v>93871.315435745608</v>
      </c>
      <c r="X140" s="191">
        <f t="shared" si="26"/>
        <v>153647.73938730711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15422346.485874616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2545966.1788365529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12876380.307038061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2545966.1788365529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1.0968022298427871</v>
      </c>
      <c r="S141" s="190">
        <f>IFERROR(VLOOKUP(A141,[1]Biogasudbytte!$A$2:$B$18,2,FALSE)*[1]Energiindhold!$C$10,0)*J141*IFERROR(VLOOKUP(A141,Biogasanlæg!$F$3:$G$8,2,FALSE),1)</f>
        <v>1.0968022298427871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127298.30894182765</v>
      </c>
      <c r="W141" s="190">
        <f>J141*IFERROR(VLOOKUP(A141,[1]Tørstofindhold!A$2:B$24,2,FALSE),0)</f>
        <v>127298.30894182765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1398490.463052188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1271863.3711094791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382.5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382.5</v>
      </c>
      <c r="O143" s="193">
        <f t="shared" si="39"/>
        <v>382.5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3.4329375000000003E-4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3.4329375000000003E-4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3.4329375000000003E-4</v>
      </c>
      <c r="U143" s="189">
        <f>O143*IFERROR(VLOOKUP(A143,[1]Tørstofindhold!A$2:B$24,2,FALSE),0)</f>
        <v>57.375</v>
      </c>
      <c r="V143" s="190">
        <f>IF(D143=År1,P143,SUM(O143,P143))*IFERROR(VLOOKUP(A143,[1]Tørstofindhold!A$2:B$24,2,FALSE),0)</f>
        <v>57.375</v>
      </c>
      <c r="W143" s="190">
        <f>J143*IFERROR(VLOOKUP(A143,[1]Tørstofindhold!A$2:B$24,2,FALSE),0)</f>
        <v>0</v>
      </c>
      <c r="X143" s="191">
        <f t="shared" si="26"/>
        <v>57.375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2033510.9249418937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2033510.9249418937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2033510.9249418937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29.472830701124686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29.472830701124686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1005740.6116275116</v>
      </c>
      <c r="W145" s="190">
        <f>J145*IFERROR(VLOOKUP(A145,[1]Tørstofindhold!A$2:B$24,2,FALSE),0)</f>
        <v>0</v>
      </c>
      <c r="X145" s="191">
        <f t="shared" si="26"/>
        <v>1005740.6116275116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563872.73439718515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563872.73439718515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hidden="1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hidden="1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18196.258037931766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-10013.082086696773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26756.842840483081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18840.226086742983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178107.99808813466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338356.39370541024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-160248.39561727559</v>
      </c>
      <c r="O197" s="193">
        <f t="shared" ca="1" si="59"/>
        <v>0</v>
      </c>
      <c r="P197" s="203">
        <f t="shared" ca="1" si="49"/>
        <v>338356.39370541024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1.1527497812788994</v>
      </c>
      <c r="S197" s="190">
        <f ca="1">IFERROR(VLOOKUP(A197,[1]Biogasudbytte!$A$2:$B$18,2,FALSE)*[1]Energiindhold!$C$10,0)*J197*IFERROR(VLOOKUP(A197,Biogasanlæg!$F$3:$G$8,2,FALSE),1)</f>
        <v>1.1527497812788994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94739.79023751487</v>
      </c>
      <c r="W197" s="190">
        <f ca="1">J197*IFERROR(VLOOKUP(A197,[1]Tørstofindhold!A$2:B$24,2,FALSE),0)</f>
        <v>94739.79023751487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111981103.64425051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111981103.64425051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111981103.64425051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2514947.1672980539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1820221.068051053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694726.09924700088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347777.4925402216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89768.678720521071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97674.765231743775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160334.04858795676</v>
      </c>
      <c r="O201" s="193">
        <f t="shared" si="59"/>
        <v>160334.04858795676</v>
      </c>
      <c r="P201" s="203">
        <f t="shared" si="49"/>
        <v>89768.678720521071</v>
      </c>
      <c r="Q201" s="190">
        <f>IFERROR(VLOOKUP(A201,[1]Energiindhold!$A$2:$C$11,3,FALSE),IFERROR(VLOOKUP(A201,[1]Biogasudbytte!$A$2:$B$18,2,FALSE)*[1]Energiindhold!$C$10,0))*O201</f>
        <v>0.34535954065845886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0.53872127462246122</v>
      </c>
      <c r="S201" s="190">
        <f>IFERROR(VLOOKUP(A201,[1]Biogasudbytte!$A$2:$B$18,2,FALSE)*[1]Energiindhold!$C$10,0)*J201*IFERROR(VLOOKUP(A201,Biogasanlæg!$F$3:$G$8,2,FALSE),1)</f>
        <v>0.19336173396400239</v>
      </c>
      <c r="T201" s="191">
        <f t="shared" si="50"/>
        <v>0.34535954065845886</v>
      </c>
      <c r="U201" s="189">
        <f>O201*IFERROR(VLOOKUP(A201,[1]Tørstofindhold!A$2:B$24,2,FALSE),0)</f>
        <v>48100.214576387029</v>
      </c>
      <c r="V201" s="190">
        <f>IF(D201=År1,P201,SUM(O201,P201))*IFERROR(VLOOKUP(A201,[1]Tørstofindhold!A$2:B$24,2,FALSE),0)</f>
        <v>75030.818192543346</v>
      </c>
      <c r="W201" s="190">
        <f>J201*IFERROR(VLOOKUP(A201,[1]Tørstofindhold!A$2:B$24,2,FALSE),0)</f>
        <v>26930.603616156321</v>
      </c>
      <c r="X201" s="191">
        <f t="shared" si="51"/>
        <v>48100.214576387021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687.81855383382072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343.90927691691036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343.90927691691041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343.90927691691036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1.6173709384125376E-4</v>
      </c>
      <c r="S203" s="190">
        <f>IFERROR(VLOOKUP(A203,[1]Biogasudbytte!$A$2:$B$18,2,FALSE)*[1]Energiindhold!$C$10,0)*J203*IFERROR(VLOOKUP(A203,Biogasanlæg!$F$3:$G$8,2,FALSE),1)</f>
        <v>1.6173709384125376E-4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21.666284445765353</v>
      </c>
      <c r="W203" s="190">
        <f>J203*IFERROR(VLOOKUP(A203,[1]Tørstofindhold!A$2:B$24,2,FALSE),0)</f>
        <v>21.666284445765353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hidden="1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15605.83144011804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-14954.287028229544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588878.01955714053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588878.01955714053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15582.71091846241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-207741.23173484689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1914540.1509540223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10658.458409024295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401813.61653328338</v>
      </c>
      <c r="O208" s="193">
        <f t="shared" si="59"/>
        <v>401813.61653328338</v>
      </c>
      <c r="P208" s="203">
        <f t="shared" si="49"/>
        <v>10658.458409024295</v>
      </c>
      <c r="Q208" s="190">
        <f>IFERROR(VLOOKUP(A208,[1]Energiindhold!$A$2:$C$11,3,FALSE),IFERROR(VLOOKUP(A208,[1]Biogasudbytte!$A$2:$B$18,2,FALSE)*[1]Energiindhold!$C$10,0))*O208</f>
        <v>0.73928682771917476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0.75889705888447834</v>
      </c>
      <c r="S208" s="190">
        <f>IFERROR(VLOOKUP(A208,[1]Biogasudbytte!$A$2:$B$18,2,FALSE)*[1]Energiindhold!$C$10,0)*J208*IFERROR(VLOOKUP(A208,Biogasanlæg!$F$3:$G$8,2,FALSE),1)</f>
        <v>1.9610231165303575E-2</v>
      </c>
      <c r="T208" s="191">
        <f t="shared" si="50"/>
        <v>0.73928682771917476</v>
      </c>
      <c r="U208" s="189">
        <f>O208*IFERROR(VLOOKUP(A208,[1]Tørstofindhold!A$2:B$24,2,FALSE),0)</f>
        <v>112507.81262931935</v>
      </c>
      <c r="V208" s="190">
        <f>IF(D208=År1,P208,SUM(O208,P208))*IFERROR(VLOOKUP(A208,[1]Tørstofindhold!A$2:B$24,2,FALSE),0)</f>
        <v>115492.18098384616</v>
      </c>
      <c r="W208" s="190">
        <f>J208*IFERROR(VLOOKUP(A208,[1]Tørstofindhold!A$2:B$24,2,FALSE),0)</f>
        <v>2984.3683545268032</v>
      </c>
      <c r="X208" s="191">
        <f t="shared" si="51"/>
        <v>112507.81262931936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95770.008322211143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-138132.43687783385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942884.75112836226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103768.80055910767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23174.608981989095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721051.89355285291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744226.502534842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7.5862668672984315</v>
      </c>
      <c r="S211" s="190">
        <f>IFERROR(VLOOKUP(A211,[1]Biogasudbytte!$A$2:$B$18,2,FALSE)*[1]Energiindhold!$C$10,0)*J211*IFERROR(VLOOKUP(A211,Biogasanlæg!$F$3:$G$8,2,FALSE),1)</f>
        <v>0.1336141350700174</v>
      </c>
      <c r="T211" s="191">
        <f t="shared" si="50"/>
        <v>7.4526527322284144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632592.52715461573</v>
      </c>
      <c r="W211" s="190">
        <f>J211*IFERROR(VLOOKUP(A211,[1]Tørstofindhold!A$2:B$24,2,FALSE),0)</f>
        <v>19698.41763469073</v>
      </c>
      <c r="X211" s="191">
        <f t="shared" si="51"/>
        <v>612894.10951992497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203043.60132106068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277863.15909117949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-74819.557770118816</v>
      </c>
      <c r="O214" s="193">
        <f t="shared" si="59"/>
        <v>0</v>
      </c>
      <c r="P214" s="203">
        <f t="shared" si="49"/>
        <v>277863.15909117949</v>
      </c>
      <c r="Q214" s="190">
        <f>IFERROR(VLOOKUP(A214,[1]Energiindhold!$A$2:$C$11,3,FALSE),IFERROR(VLOOKUP(A214,[1]Biogasudbytte!$A$2:$B$18,2,FALSE)*[1]Energiindhold!$C$10,0))*O214</f>
        <v>0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1.0234146119698484</v>
      </c>
      <c r="S214" s="190">
        <f>IFERROR(VLOOKUP(A214,[1]Biogasudbytte!$A$2:$B$18,2,FALSE)*[1]Energiindhold!$C$10,0)*J214*IFERROR(VLOOKUP(A214,Biogasanlæg!$F$3:$G$8,2,FALSE),1)</f>
        <v>1.0234146119698484</v>
      </c>
      <c r="T214" s="191">
        <f t="shared" si="50"/>
        <v>0</v>
      </c>
      <c r="U214" s="189">
        <f>O214*IFERROR(VLOOKUP(A214,[1]Tørstofindhold!A$2:B$24,2,FALSE),0)</f>
        <v>0</v>
      </c>
      <c r="V214" s="190">
        <f>IF(D214=År1,P214,SUM(O214,P214))*IFERROR(VLOOKUP(A214,[1]Tørstofindhold!A$2:B$24,2,FALSE),0)</f>
        <v>116702.52681829539</v>
      </c>
      <c r="W214" s="190">
        <f>J214*IFERROR(VLOOKUP(A214,[1]Tørstofindhold!A$2:B$24,2,FALSE),0)</f>
        <v>116702.52681829539</v>
      </c>
      <c r="X214" s="191">
        <f t="shared" si="51"/>
        <v>0</v>
      </c>
      <c r="Y214" s="171">
        <f t="shared" si="60"/>
        <v>1</v>
      </c>
      <c r="Z214" s="103">
        <f t="shared" si="61"/>
        <v>0</v>
      </c>
    </row>
    <row r="215" spans="1:26" hidden="1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143804.58971548834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143804.58971548834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114030.37702859532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7069.9623893787648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2250361.7332047778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956.10436953789804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1271549.1816643605</v>
      </c>
      <c r="O217" s="193">
        <f t="shared" si="59"/>
        <v>1271549.1816643605</v>
      </c>
      <c r="P217" s="203">
        <f t="shared" si="63"/>
        <v>956.10436953789804</v>
      </c>
      <c r="Q217" s="190">
        <f>IFERROR(VLOOKUP(A217,[1]Energiindhold!$A$2:$C$11,3,FALSE),IFERROR(VLOOKUP(A217,[1]Biogasudbytte!$A$2:$B$18,2,FALSE)*[1]Energiindhold!$C$10,0))*O217</f>
        <v>4.354877930315002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4.3581524539260572</v>
      </c>
      <c r="S217" s="190">
        <f>IFERROR(VLOOKUP(A217,[1]Biogasudbytte!$A$2:$B$18,2,FALSE)*[1]Energiindhold!$C$10,0)*J217*IFERROR(VLOOKUP(A217,Biogasanlæg!$F$3:$G$8,2,FALSE),1)</f>
        <v>3.2745236110555661E-3</v>
      </c>
      <c r="T217" s="191">
        <f t="shared" si="64"/>
        <v>4.354877930315002</v>
      </c>
      <c r="U217" s="189">
        <f>O217*IFERROR(VLOOKUP(A217,[1]Tørstofindhold!A$2:B$24,2,FALSE),0)</f>
        <v>394180.24631595175</v>
      </c>
      <c r="V217" s="190">
        <f>IF(D217=År1,P217,SUM(O217,P217))*IFERROR(VLOOKUP(A217,[1]Tørstofindhold!A$2:B$24,2,FALSE),0)</f>
        <v>394476.63867050852</v>
      </c>
      <c r="W217" s="190">
        <f>J217*IFERROR(VLOOKUP(A217,[1]Tørstofindhold!A$2:B$24,2,FALSE),0)</f>
        <v>296.39235455674839</v>
      </c>
      <c r="X217" s="191">
        <f t="shared" si="65"/>
        <v>394180.24631595175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372087.80038220529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-372087.80038220529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932325.71112863347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288888.89650394162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643436.81462469185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288888.89650394162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0.14623267052133024</v>
      </c>
      <c r="S219" s="190">
        <f>IFERROR(VLOOKUP(A219,[1]Biogasudbytte!$A$2:$B$18,2,FALSE)*[1]Energiindhold!$C$10,0)*J219*IFERROR(VLOOKUP(A219,Biogasanlæg!$F$3:$G$8,2,FALSE),1)</f>
        <v>0.14623267052133024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21955.556134299564</v>
      </c>
      <c r="W219" s="190">
        <f>J219*IFERROR(VLOOKUP(A219,[1]Tørstofindhold!A$2:B$24,2,FALSE),0)</f>
        <v>21955.556134299564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hidden="1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116367.97152159807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-69672.522191294222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362325.49106317805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15402.670098733543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-347430.44014484307</v>
      </c>
      <c r="O221" s="193">
        <f t="shared" si="59"/>
        <v>0</v>
      </c>
      <c r="P221" s="203">
        <f t="shared" si="63"/>
        <v>15402.670098733543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5.5295585654453423E-2</v>
      </c>
      <c r="S221" s="190">
        <f>IFERROR(VLOOKUP(A221,[1]Biogasudbytte!$A$2:$B$18,2,FALSE)*[1]Energiindhold!$C$10,0)*J221*IFERROR(VLOOKUP(A221,Biogasanlæg!$F$3:$G$8,2,FALSE),1)</f>
        <v>5.5295585654453423E-2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4620.8010296200628</v>
      </c>
      <c r="W221" s="190">
        <f>J221*IFERROR(VLOOKUP(A221,[1]Tørstofindhold!A$2:B$24,2,FALSE),0)</f>
        <v>4620.8010296200628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224529.79129963685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-184505.64050747702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1.1976865502381491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1.1976865502381491</v>
      </c>
      <c r="O223" s="193">
        <f t="shared" si="59"/>
        <v>1.1976865502381491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1.0749236788387388E-6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1.0749236788387388E-6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1.0749236788387388E-6</v>
      </c>
      <c r="U223" s="189">
        <f>O223*IFERROR(VLOOKUP(A223,[1]Tørstofindhold!A$2:B$24,2,FALSE),0)</f>
        <v>0.17965298253572234</v>
      </c>
      <c r="V223" s="190">
        <f>IF(D223=År1,P223,SUM(O223,P223))*IFERROR(VLOOKUP(A223,[1]Tørstofindhold!A$2:B$24,2,FALSE),0)</f>
        <v>0.17965298253572234</v>
      </c>
      <c r="W223" s="190">
        <f>J223*IFERROR(VLOOKUP(A223,[1]Tørstofindhold!A$2:B$24,2,FALSE),0)</f>
        <v>0</v>
      </c>
      <c r="X223" s="191">
        <f t="shared" si="65"/>
        <v>0.17965298253572234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7675.7227272754371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-44299.986452352641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390499.22634916333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390499.22634916333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34748.143170077739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34748.143170077739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34748.143170077739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0.63936583432943028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0.63936583432943028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14420.479415582264</v>
      </c>
      <c r="W226" s="190">
        <f>J226*IFERROR(VLOOKUP(A226,[1]Tørstofindhold!A$2:B$24,2,FALSE),0)</f>
        <v>0</v>
      </c>
      <c r="X226" s="191">
        <f t="shared" si="65"/>
        <v>14420.479415582264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349638.73109870247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349638.73109870247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192094.83489491633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192094.83489491633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96047.417447458167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69768.647945459787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61470.347166373227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61470.347166373227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61470.347166373227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2.1514621508230629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2.1514621508230629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2246451.1221419098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24557.500729054813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2118647.7445828277</v>
      </c>
      <c r="O233" s="193">
        <f t="shared" si="59"/>
        <v>1647305.568768583</v>
      </c>
      <c r="P233" s="203">
        <f t="shared" si="63"/>
        <v>24557.500729054813</v>
      </c>
      <c r="Q233" s="190">
        <f>IFERROR(VLOOKUP(A233,[1]Energiindhold!$A$2:$C$11,3,FALSE),IFERROR(VLOOKUP(A233,[1]Biogasudbytte!$A$2:$B$18,2,FALSE)*[1]Energiindhold!$C$10,0))*O233</f>
        <v>4.4708532058606849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4.5375032451393684</v>
      </c>
      <c r="S233" s="190">
        <f>IFERROR(VLOOKUP(A233,[1]Biogasudbytte!$A$2:$B$18,2,FALSE)*[1]Energiindhold!$C$10,0)*J233*IFERROR(VLOOKUP(A233,Biogasanlæg!$F$3:$G$8,2,FALSE),1)</f>
        <v>6.6650039278683931E-2</v>
      </c>
      <c r="T233" s="191">
        <f t="shared" si="64"/>
        <v>4.4708532058606849</v>
      </c>
      <c r="U233" s="189">
        <f>O233*IFERROR(VLOOKUP(A233,[1]Tørstofindhold!A$2:B$24,2,FALSE),0)</f>
        <v>329461.11375371664</v>
      </c>
      <c r="V233" s="190">
        <f>IF(D233=År1,P233,SUM(O233,P233))*IFERROR(VLOOKUP(A233,[1]Tørstofindhold!A$2:B$24,2,FALSE),0)</f>
        <v>334372.61389952758</v>
      </c>
      <c r="W233" s="190">
        <f>J233*IFERROR(VLOOKUP(A233,[1]Tørstofindhold!A$2:B$24,2,FALSE),0)</f>
        <v>4911.5001458109627</v>
      </c>
      <c r="X233" s="191">
        <f t="shared" si="65"/>
        <v>329461.11375371664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22882.418470138211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22882.418470138211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18563.363450936293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13725.430990317345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3344141.0315732658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1268261.6207501648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2075879.4108231009</v>
      </c>
      <c r="O236" s="193">
        <f t="shared" si="59"/>
        <v>2075879.4108231009</v>
      </c>
      <c r="P236" s="203">
        <f t="shared" si="63"/>
        <v>1268261.6207501648</v>
      </c>
      <c r="Q236" s="190">
        <f>IFERROR(VLOOKUP(A236,[1]Energiindhold!$A$2:$C$11,3,FALSE),IFERROR(VLOOKUP(A236,[1]Biogasudbytte!$A$2:$B$18,2,FALSE)*[1]Energiindhold!$C$10,0))*O236</f>
        <v>1.0358845847948357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1.6687598161653754</v>
      </c>
      <c r="S236" s="190">
        <f>IFERROR(VLOOKUP(A236,[1]Biogasudbytte!$A$2:$B$18,2,FALSE)*[1]Energiindhold!$C$10,0)*J236*IFERROR(VLOOKUP(A236,Biogasanlæg!$F$3:$G$8,2,FALSE),1)</f>
        <v>0.6328752313705398</v>
      </c>
      <c r="T236" s="191">
        <f t="shared" si="64"/>
        <v>1.0358845847948355</v>
      </c>
      <c r="U236" s="189">
        <f>O236*IFERROR(VLOOKUP(A236,[1]Tørstofindhold!A$2:B$24,2,FALSE),0)</f>
        <v>124552.76464938605</v>
      </c>
      <c r="V236" s="190">
        <f>IF(D236=År1,P236,SUM(O236,P236))*IFERROR(VLOOKUP(A236,[1]Tørstofindhold!A$2:B$24,2,FALSE),0)</f>
        <v>200648.46189439594</v>
      </c>
      <c r="W236" s="190">
        <f>J236*IFERROR(VLOOKUP(A236,[1]Tørstofindhold!A$2:B$24,2,FALSE),0)</f>
        <v>76095.697245009884</v>
      </c>
      <c r="X236" s="191">
        <f t="shared" si="65"/>
        <v>124552.76464938605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2234653.5141253849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368903.15449678036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1865750.3596286045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368903.15449678036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0.15892347895721301</v>
      </c>
      <c r="S237" s="190">
        <f>IFERROR(VLOOKUP(A237,[1]Biogasudbytte!$A$2:$B$18,2,FALSE)*[1]Energiindhold!$C$10,0)*J237*IFERROR(VLOOKUP(A237,Biogasanlæg!$F$3:$G$8,2,FALSE),1)</f>
        <v>0.15892347895721301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18445.15772483902</v>
      </c>
      <c r="W237" s="190">
        <f>J237*IFERROR(VLOOKUP(A237,[1]Tørstofindhold!A$2:B$24,2,FALSE),0)</f>
        <v>18445.15772483902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202637.2336137525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97110.793764204573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0</v>
      </c>
      <c r="O239" s="193">
        <f t="shared" si="59"/>
        <v>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0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0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0</v>
      </c>
      <c r="U239" s="189">
        <f>O239*IFERROR(VLOOKUP(A239,[1]Tørstofindhold!A$2:B$24,2,FALSE),0)</f>
        <v>0</v>
      </c>
      <c r="V239" s="190">
        <f>IF(D239=År1,P239,SUM(O239,P239))*IFERROR(VLOOKUP(A239,[1]Tørstofindhold!A$2:B$24,2,FALSE),0)</f>
        <v>0</v>
      </c>
      <c r="W239" s="190">
        <f>J239*IFERROR(VLOOKUP(A239,[1]Tørstofindhold!A$2:B$24,2,FALSE),0)</f>
        <v>0</v>
      </c>
      <c r="X239" s="191">
        <f t="shared" si="65"/>
        <v>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645672.88485303381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645672.88485303381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645672.88485303381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9.3581044439798156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9.3581044439798156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319339.04763356299</v>
      </c>
      <c r="W241" s="190">
        <f>J241*IFERROR(VLOOKUP(A241,[1]Tørstofindhold!A$2:B$24,2,FALSE),0)</f>
        <v>0</v>
      </c>
      <c r="X241" s="191">
        <f t="shared" si="65"/>
        <v>319339.04763356299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177572.60690670041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177572.60690670041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18196.258037931766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-11335.743982170188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26756.842840483081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18840.226086742983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183136.50029390544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339730.46992612339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-156593.96963221795</v>
      </c>
      <c r="O245" s="193">
        <f t="shared" ca="1" si="59"/>
        <v>0</v>
      </c>
      <c r="P245" s="203">
        <f t="shared" ca="1" si="63"/>
        <v>339730.46992612339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1.1574311352960092</v>
      </c>
      <c r="S245" s="190">
        <f ca="1">IFERROR(VLOOKUP(A245,[1]Biogasudbytte!$A$2:$B$18,2,FALSE)*[1]Energiindhold!$C$10,0)*J245*IFERROR(VLOOKUP(A245,Biogasanlæg!$F$3:$G$8,2,FALSE),1)</f>
        <v>1.1574311352960092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95124.531579314556</v>
      </c>
      <c r="W245" s="190">
        <f ca="1">J245*IFERROR(VLOOKUP(A245,[1]Tørstofindhold!A$2:B$24,2,FALSE),0)</f>
        <v>95124.531579314556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113029853.54922721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113029853.54922721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113029853.54922721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2571575.8886360126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1839918.144943662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731657.74369235057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347777.4925402216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89768.678720521071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97674.765231743775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160334.04858795676</v>
      </c>
      <c r="O249" s="193">
        <f t="shared" si="59"/>
        <v>160334.04858795676</v>
      </c>
      <c r="P249" s="203">
        <f t="shared" si="63"/>
        <v>89768.678720521071</v>
      </c>
      <c r="Q249" s="190">
        <f>IFERROR(VLOOKUP(A249,[1]Energiindhold!$A$2:$C$11,3,FALSE),IFERROR(VLOOKUP(A249,[1]Biogasudbytte!$A$2:$B$18,2,FALSE)*[1]Energiindhold!$C$10,0))*O249</f>
        <v>0.34535954065845886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0.53872127462246122</v>
      </c>
      <c r="S249" s="190">
        <f>IFERROR(VLOOKUP(A249,[1]Biogasudbytte!$A$2:$B$18,2,FALSE)*[1]Energiindhold!$C$10,0)*J249*IFERROR(VLOOKUP(A249,Biogasanlæg!$F$3:$G$8,2,FALSE),1)</f>
        <v>0.19336173396400239</v>
      </c>
      <c r="T249" s="191">
        <f t="shared" si="64"/>
        <v>0.34535954065845886</v>
      </c>
      <c r="U249" s="189">
        <f>O249*IFERROR(VLOOKUP(A249,[1]Tørstofindhold!A$2:B$24,2,FALSE),0)</f>
        <v>48100.214576387029</v>
      </c>
      <c r="V249" s="190">
        <f>IF(D249=År1,P249,SUM(O249,P249))*IFERROR(VLOOKUP(A249,[1]Tørstofindhold!A$2:B$24,2,FALSE),0)</f>
        <v>75030.818192543346</v>
      </c>
      <c r="W249" s="190">
        <f>J249*IFERROR(VLOOKUP(A249,[1]Tørstofindhold!A$2:B$24,2,FALSE),0)</f>
        <v>26930.603616156321</v>
      </c>
      <c r="X249" s="191">
        <f t="shared" si="65"/>
        <v>48100.214576387021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687.81855383382072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343.90927691691036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343.90927691691041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343.90927691691036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1.6173709384125376E-4</v>
      </c>
      <c r="S251" s="190">
        <f>IFERROR(VLOOKUP(A251,[1]Biogasudbytte!$A$2:$B$18,2,FALSE)*[1]Energiindhold!$C$10,0)*J251*IFERROR(VLOOKUP(A251,Biogasanlæg!$F$3:$G$8,2,FALSE),1)</f>
        <v>1.6173709384125376E-4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21.666284445765353</v>
      </c>
      <c r="W251" s="190">
        <f>J251*IFERROR(VLOOKUP(A251,[1]Tørstofindhold!A$2:B$24,2,FALSE),0)</f>
        <v>21.666284445765353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hidden="1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15605.83144011804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-16387.170748325745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588878.01955714053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588878.01955714053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15582.71091846241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-218212.30507401141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1914540.1509540223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1502068.0760117145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10658.458409024295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401813.61653328338</v>
      </c>
      <c r="O256" s="193">
        <f t="shared" si="59"/>
        <v>401813.61653328338</v>
      </c>
      <c r="P256" s="203">
        <f t="shared" si="63"/>
        <v>10658.458409024295</v>
      </c>
      <c r="Q256" s="190">
        <f>IFERROR(VLOOKUP(A256,[1]Energiindhold!$A$2:$C$11,3,FALSE),IFERROR(VLOOKUP(A256,[1]Biogasudbytte!$A$2:$B$18,2,FALSE)*[1]Energiindhold!$C$10,0))*O256</f>
        <v>0.73928682771917476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0.75889705888447834</v>
      </c>
      <c r="S256" s="190">
        <f>IFERROR(VLOOKUP(A256,[1]Biogasudbytte!$A$2:$B$18,2,FALSE)*[1]Energiindhold!$C$10,0)*J256*IFERROR(VLOOKUP(A256,Biogasanlæg!$F$3:$G$8,2,FALSE),1)</f>
        <v>1.9610231165303575E-2</v>
      </c>
      <c r="T256" s="191">
        <f t="shared" si="64"/>
        <v>0.73928682771917476</v>
      </c>
      <c r="U256" s="189">
        <f>O256*IFERROR(VLOOKUP(A256,[1]Tørstofindhold!A$2:B$24,2,FALSE),0)</f>
        <v>112507.81262931935</v>
      </c>
      <c r="V256" s="190">
        <f>IF(D256=År1,P256,SUM(O256,P256))*IFERROR(VLOOKUP(A256,[1]Tørstofindhold!A$2:B$24,2,FALSE),0)</f>
        <v>115492.18098384616</v>
      </c>
      <c r="W256" s="190">
        <f>J256*IFERROR(VLOOKUP(A256,[1]Tørstofindhold!A$2:B$24,2,FALSE),0)</f>
        <v>2984.3683545268032</v>
      </c>
      <c r="X256" s="191">
        <f t="shared" si="65"/>
        <v>112507.81262931936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95770.008322211143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-149099.5084278009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942884.75112836226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94889.448034412562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103768.80055910767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23174.608981989095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721051.89355285291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744226.502534842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7.5862668672984315</v>
      </c>
      <c r="S259" s="190">
        <f>IFERROR(VLOOKUP(A259,[1]Biogasudbytte!$A$2:$B$18,2,FALSE)*[1]Energiindhold!$C$10,0)*J259*IFERROR(VLOOKUP(A259,Biogasanlæg!$F$3:$G$8,2,FALSE),1)</f>
        <v>0.1336141350700174</v>
      </c>
      <c r="T259" s="191">
        <f t="shared" si="64"/>
        <v>7.4526527322284144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632592.52715461573</v>
      </c>
      <c r="W259" s="190">
        <f>J259*IFERROR(VLOOKUP(A259,[1]Tørstofindhold!A$2:B$24,2,FALSE),0)</f>
        <v>19698.41763469073</v>
      </c>
      <c r="X259" s="191">
        <f t="shared" si="65"/>
        <v>612894.10951992497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592646.72642582119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-592646.72642582119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203712.64403711172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278778.73742725787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-75066.093390146154</v>
      </c>
      <c r="O262" s="193">
        <f t="shared" si="75"/>
        <v>0</v>
      </c>
      <c r="P262" s="203">
        <f t="shared" si="63"/>
        <v>278778.73742725787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1.0267868339319479</v>
      </c>
      <c r="S262" s="190">
        <f>IFERROR(VLOOKUP(A262,[1]Biogasudbytte!$A$2:$B$18,2,FALSE)*[1]Energiindhold!$C$10,0)*J262*IFERROR(VLOOKUP(A262,Biogasanlæg!$F$3:$G$8,2,FALSE),1)</f>
        <v>1.0267868339319479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117087.06971944831</v>
      </c>
      <c r="W262" s="190">
        <f>J262*IFERROR(VLOOKUP(A262,[1]Tørstofindhold!A$2:B$24,2,FALSE),0)</f>
        <v>117087.06971944831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143804.58971548834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143804.58971548834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114030.37702859532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2054.8693690420769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2250361.7332047778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721621.60770550347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956.10436953789804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1259535.0027804771</v>
      </c>
      <c r="O265" s="193">
        <f t="shared" si="75"/>
        <v>1259535.0027804771</v>
      </c>
      <c r="P265" s="203">
        <f t="shared" si="63"/>
        <v>956.10436953789804</v>
      </c>
      <c r="Q265" s="190">
        <f>IFERROR(VLOOKUP(A265,[1]Energiindhold!$A$2:$C$11,3,FALSE),IFERROR(VLOOKUP(A265,[1]Biogasudbytte!$A$2:$B$18,2,FALSE)*[1]Energiindhold!$C$10,0))*O265</f>
        <v>4.3137310496227457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4.3170055732338009</v>
      </c>
      <c r="S265" s="190">
        <f>IFERROR(VLOOKUP(A265,[1]Biogasudbytte!$A$2:$B$18,2,FALSE)*[1]Energiindhold!$C$10,0)*J265*IFERROR(VLOOKUP(A265,Biogasanlæg!$F$3:$G$8,2,FALSE),1)</f>
        <v>3.2745236110555661E-3</v>
      </c>
      <c r="T265" s="191">
        <f t="shared" si="64"/>
        <v>4.3137310496227457</v>
      </c>
      <c r="U265" s="189">
        <f>O265*IFERROR(VLOOKUP(A265,[1]Tørstofindhold!A$2:B$24,2,FALSE),0)</f>
        <v>390455.85086194787</v>
      </c>
      <c r="V265" s="190">
        <f>IF(D265=År1,P265,SUM(O265,P265))*IFERROR(VLOOKUP(A265,[1]Tørstofindhold!A$2:B$24,2,FALSE),0)</f>
        <v>390752.24321650463</v>
      </c>
      <c r="W265" s="190">
        <f>J265*IFERROR(VLOOKUP(A265,[1]Tørstofindhold!A$2:B$24,2,FALSE),0)</f>
        <v>296.39235455674839</v>
      </c>
      <c r="X265" s="191">
        <f t="shared" si="65"/>
        <v>390455.85086194787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371226.05326815369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-371226.05326815369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932325.71112863347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288888.89650394162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643436.81462469185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288888.89650394162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0.14623267052133024</v>
      </c>
      <c r="S267" s="190">
        <f>IFERROR(VLOOKUP(A267,[1]Biogasudbytte!$A$2:$B$18,2,FALSE)*[1]Energiindhold!$C$10,0)*J267*IFERROR(VLOOKUP(A267,Biogasanlæg!$F$3:$G$8,2,FALSE),1)</f>
        <v>0.14623267052133024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21955.556134299564</v>
      </c>
      <c r="W267" s="190">
        <f>J267*IFERROR(VLOOKUP(A267,[1]Tørstofindhold!A$2:B$24,2,FALSE),0)</f>
        <v>21955.556134299564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hidden="1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116367.97152159807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186040.49371289229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-69672.522191294222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362325.49106317805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694353.26110928762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15402.670098733543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-347430.44014484307</v>
      </c>
      <c r="O269" s="193">
        <f t="shared" si="75"/>
        <v>0</v>
      </c>
      <c r="P269" s="203">
        <f t="shared" si="63"/>
        <v>15402.670098733543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5.5295585654453423E-2</v>
      </c>
      <c r="S269" s="190">
        <f>IFERROR(VLOOKUP(A269,[1]Biogasudbytte!$A$2:$B$18,2,FALSE)*[1]Energiindhold!$C$10,0)*J269*IFERROR(VLOOKUP(A269,Biogasanlæg!$F$3:$G$8,2,FALSE),1)</f>
        <v>5.5295585654453423E-2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4620.8010296200628</v>
      </c>
      <c r="W269" s="190">
        <f>J269*IFERROR(VLOOKUP(A269,[1]Tørstofindhold!A$2:B$24,2,FALSE),0)</f>
        <v>4620.8010296200628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224529.79129963685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-203684.23799184148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1.1976865502381491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1.1976865502381491</v>
      </c>
      <c r="O271" s="193">
        <f t="shared" si="75"/>
        <v>1.1976865502381491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1.0749236788387388E-6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1.0749236788387388E-6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1.0749236788387388E-6</v>
      </c>
      <c r="U271" s="189">
        <f>O271*IFERROR(VLOOKUP(A271,[1]Tørstofindhold!A$2:B$24,2,FALSE),0)</f>
        <v>0.17965298253572234</v>
      </c>
      <c r="V271" s="190">
        <f>IF(D271=År1,P271,SUM(O271,P271))*IFERROR(VLOOKUP(A271,[1]Tørstofindhold!A$2:B$24,2,FALSE),0)</f>
        <v>0.17965298253572234</v>
      </c>
      <c r="W271" s="190">
        <f>J271*IFERROR(VLOOKUP(A271,[1]Tørstofindhold!A$2:B$24,2,FALSE),0)</f>
        <v>0</v>
      </c>
      <c r="X271" s="191">
        <f t="shared" si="65"/>
        <v>0.17965298253572234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7675.7227272754371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-46736.990994762411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390499.22634916333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390499.22634916333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34748.143170077739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34748.143170077739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34748.143170077739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0.63936583432943028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0.63936583432943028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14420.479415582264</v>
      </c>
      <c r="W274" s="190">
        <f>J274*IFERROR(VLOOKUP(A274,[1]Tørstofindhold!A$2:B$24,2,FALSE),0)</f>
        <v>0</v>
      </c>
      <c r="X274" s="191">
        <f t="shared" si="65"/>
        <v>14420.479415582264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349638.73109870247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349638.73109870247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192094.83489491633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192094.83489491633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96047.417447458167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26278.769501998377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69768.647945459787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61470.347166373227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61470.347166373227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61470.347166373227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2.1514621508230629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2.1514621508230629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2246451.1221419098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103245.8768300271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24557.500729054813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2118647.7445828277</v>
      </c>
      <c r="O281" s="193">
        <f t="shared" si="89"/>
        <v>1647305.568768583</v>
      </c>
      <c r="P281" s="203">
        <f t="shared" si="63"/>
        <v>24557.500729054813</v>
      </c>
      <c r="Q281" s="190">
        <f>IFERROR(VLOOKUP(A281,[1]Energiindhold!$A$2:$C$11,3,FALSE),IFERROR(VLOOKUP(A281,[1]Biogasudbytte!$A$2:$B$18,2,FALSE)*[1]Energiindhold!$C$10,0))*O281</f>
        <v>4.4708532058606849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4.5375032451393684</v>
      </c>
      <c r="S281" s="190">
        <f>IFERROR(VLOOKUP(A281,[1]Biogasudbytte!$A$2:$B$18,2,FALSE)*[1]Energiindhold!$C$10,0)*J281*IFERROR(VLOOKUP(A281,Biogasanlæg!$F$3:$G$8,2,FALSE),1)</f>
        <v>6.6650039278683931E-2</v>
      </c>
      <c r="T281" s="191">
        <f t="shared" si="64"/>
        <v>4.4708532058606849</v>
      </c>
      <c r="U281" s="189">
        <f>O281*IFERROR(VLOOKUP(A281,[1]Tørstofindhold!A$2:B$24,2,FALSE),0)</f>
        <v>329461.11375371664</v>
      </c>
      <c r="V281" s="190">
        <f>IF(D281=År1,P281,SUM(O281,P281))*IFERROR(VLOOKUP(A281,[1]Tørstofindhold!A$2:B$24,2,FALSE),0)</f>
        <v>334372.61389952758</v>
      </c>
      <c r="W281" s="190">
        <f>J281*IFERROR(VLOOKUP(A281,[1]Tørstofindhold!A$2:B$24,2,FALSE),0)</f>
        <v>4911.5001458109627</v>
      </c>
      <c r="X281" s="191">
        <f t="shared" si="65"/>
        <v>329461.11375371664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22882.418470138211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22882.418470138211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18563.363450936293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4837.9324606189484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13725.430990317345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3500529.1835254394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1327571.6466098325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2172957.5369156068</v>
      </c>
      <c r="O284" s="193">
        <f t="shared" si="89"/>
        <v>2172957.5369156068</v>
      </c>
      <c r="P284" s="203">
        <f t="shared" si="94"/>
        <v>1327571.6466098325</v>
      </c>
      <c r="Q284" s="190">
        <f>IFERROR(VLOOKUP(A284,[1]Energiindhold!$A$2:$C$11,3,FALSE),IFERROR(VLOOKUP(A284,[1]Biogasudbytte!$A$2:$B$18,2,FALSE)*[1]Energiindhold!$C$10,0))*O284</f>
        <v>1.0843275404962571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1.7467990678710299</v>
      </c>
      <c r="S284" s="190">
        <f>IFERROR(VLOOKUP(A284,[1]Biogasudbytte!$A$2:$B$18,2,FALSE)*[1]Energiindhold!$C$10,0)*J284*IFERROR(VLOOKUP(A284,Biogasanlæg!$F$3:$G$8,2,FALSE),1)</f>
        <v>0.66247152737477266</v>
      </c>
      <c r="T284" s="191">
        <f t="shared" si="95"/>
        <v>1.0843275404962571</v>
      </c>
      <c r="U284" s="189">
        <f>O284*IFERROR(VLOOKUP(A284,[1]Tørstofindhold!A$2:B$24,2,FALSE),0)</f>
        <v>130377.45221493641</v>
      </c>
      <c r="V284" s="190">
        <f>IF(D284=År1,P284,SUM(O284,P284))*IFERROR(VLOOKUP(A284,[1]Tørstofindhold!A$2:B$24,2,FALSE),0)</f>
        <v>210031.75101152636</v>
      </c>
      <c r="W284" s="190">
        <f>J284*IFERROR(VLOOKUP(A284,[1]Tørstofindhold!A$2:B$24,2,FALSE),0)</f>
        <v>79654.298796589952</v>
      </c>
      <c r="X284" s="191">
        <f t="shared" si="96"/>
        <v>130377.45221493641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2234653.5141253849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368903.15449678036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1865750.3596286045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368903.15449678036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0.15892347895721301</v>
      </c>
      <c r="S285" s="190">
        <f>IFERROR(VLOOKUP(A285,[1]Biogasudbytte!$A$2:$B$18,2,FALSE)*[1]Energiindhold!$C$10,0)*J285*IFERROR(VLOOKUP(A285,Biogasanlæg!$F$3:$G$8,2,FALSE),1)</f>
        <v>0.15892347895721301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18445.15772483902</v>
      </c>
      <c r="W285" s="190">
        <f>J285*IFERROR(VLOOKUP(A285,[1]Tørstofindhold!A$2:B$24,2,FALSE),0)</f>
        <v>18445.15772483902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202637.2336137525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92162.936056887775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0</v>
      </c>
      <c r="O287" s="193">
        <f t="shared" si="89"/>
        <v>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0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0</v>
      </c>
      <c r="U287" s="189">
        <f>O287*IFERROR(VLOOKUP(A287,[1]Tørstofindhold!A$2:B$24,2,FALSE),0)</f>
        <v>0</v>
      </c>
      <c r="V287" s="190">
        <f>IF(D287=År1,P287,SUM(O287,P287))*IFERROR(VLOOKUP(A287,[1]Tørstofindhold!A$2:B$24,2,FALSE),0)</f>
        <v>0</v>
      </c>
      <c r="W287" s="190">
        <f>J287*IFERROR(VLOOKUP(A287,[1]Tørstofindhold!A$2:B$24,2,FALSE),0)</f>
        <v>0</v>
      </c>
      <c r="X287" s="191">
        <f t="shared" si="96"/>
        <v>0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595218.43002819875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595218.43002819875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595218.43002819875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8.6268393266250119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8.6268393266250119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294385.11518477998</v>
      </c>
      <c r="W289" s="190">
        <f>J289*IFERROR(VLOOKUP(A289,[1]Tørstofindhold!A$2:B$24,2,FALSE),0)</f>
        <v>0</v>
      </c>
      <c r="X289" s="191">
        <f t="shared" si="96"/>
        <v>294385.11518477998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165048.26189374441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165048.26189374441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Roer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9" t="s">
        <v>23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1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5" t="s">
        <v>7</v>
      </c>
      <c r="D3" s="376"/>
      <c r="E3" s="376"/>
      <c r="F3" s="376"/>
      <c r="G3" s="376"/>
      <c r="H3" s="376"/>
      <c r="I3" s="376"/>
      <c r="J3" s="376"/>
      <c r="K3" s="377"/>
      <c r="L3" s="375" t="s">
        <v>8</v>
      </c>
      <c r="M3" s="376"/>
      <c r="N3" s="376"/>
      <c r="O3" s="376"/>
      <c r="P3" s="376"/>
      <c r="Q3" s="376"/>
      <c r="R3" s="376"/>
      <c r="S3" s="376"/>
      <c r="T3" s="377"/>
      <c r="U3" s="71"/>
      <c r="W3" s="31" t="s">
        <v>281</v>
      </c>
      <c r="X3" s="35">
        <f>C24+C51</f>
        <v>11808068</v>
      </c>
      <c r="Y3" s="11">
        <f>D24+D51</f>
        <v>11854751.885301495</v>
      </c>
      <c r="Z3" s="23">
        <f>E24+E51</f>
        <v>11854751.885301495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1265458.2176968176</v>
      </c>
      <c r="Z4" s="23">
        <f t="shared" si="0"/>
        <v>1265458.2176968176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19821370.233686633</v>
      </c>
      <c r="Z5" s="24">
        <f t="shared" si="0"/>
        <v>19821370.233686633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853064.00210361299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18438.584695135654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0.30416845283755972</v>
      </c>
      <c r="I6" s="11">
        <f>IF(Landbrug!$E$47&gt;0,SUMIF(Landbrug!$B$32:$B$45,$B6,IF($I$4=År2,Landbrug!$D$32:$D$45,Landbrug!$E$32:$E$45)),'[1]Afgrødefordeling - jordtype'!$G4)*(1-Landbrug!$E$5)*Arealanvendelse!P$26</f>
        <v>853064.00210361299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18438.584695135654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0.30416845283755972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109074.05508995618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2357.5853603699165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3.8891438977167236E-2</v>
      </c>
      <c r="R6" s="11">
        <f>IF(Landbrug!$E$47&gt;0,SUMIF(Landbrug!$B$32:$B$45,$B6,IF($R$4=År2,Landbrug!$D$32:$D$45,Landbrug!$E$32:$E$45)),'[1]Afgrødefordeling - jordtype'!$G4)*(Landbrug!$E$5)*Arealanvendelse!P$26</f>
        <v>109074.05508995618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2357.5853603699165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3.8891438977167236E-2</v>
      </c>
      <c r="U6" s="94"/>
      <c r="W6" s="31" t="s">
        <v>284</v>
      </c>
      <c r="X6" s="34">
        <f t="shared" ref="X6:Z8" si="1">F24+F51</f>
        <v>490924</v>
      </c>
      <c r="Y6" s="11">
        <f t="shared" si="1"/>
        <v>444240.11469850544</v>
      </c>
      <c r="Z6" s="23">
        <f t="shared" si="1"/>
        <v>444240.11469850544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58939.484550716581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1580.6329773903628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1.7513782962418761E-2</v>
      </c>
      <c r="I7" s="11">
        <f>IF(Landbrug!$E$47&gt;0,SUMIF(Landbrug!$B$32:$B$45,$B7,IF($I$4=År2,Landbrug!$D$32:$D$45,Landbrug!$E$32:$E$45)),'[1]Afgrødefordeling - jordtype'!$G5)*(1-Landbrug!$E$5)*Arealanvendelse!P$26</f>
        <v>58939.484550716581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1580.6329773903628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1.7513782962418761E-2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7536.0917457605292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202.10212601602367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2.2393388104124633E-3</v>
      </c>
      <c r="R7" s="11">
        <f>IF(Landbrug!$E$47&gt;0,SUMIF(Landbrug!$B$32:$B$45,$B7,IF($R$4=År2,Landbrug!$D$32:$D$45,Landbrug!$E$32:$E$45)),'[1]Afgrødefordeling - jordtype'!$G5)*(Landbrug!$E$5)*Arealanvendelse!P$26</f>
        <v>7536.0917457605292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202.10212601602367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2.2393388104124633E-3</v>
      </c>
      <c r="U7" s="94"/>
      <c r="W7" s="31" t="s">
        <v>285</v>
      </c>
      <c r="X7" s="34">
        <f t="shared" si="1"/>
        <v>224348</v>
      </c>
      <c r="Y7" s="11">
        <f t="shared" si="1"/>
        <v>225973.78230318238</v>
      </c>
      <c r="Z7" s="23">
        <f t="shared" si="1"/>
        <v>225973.78230318238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99115.06241944003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1692.5149191501318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2.2679555872219294E-2</v>
      </c>
      <c r="I8" s="11">
        <f>IF(Landbrug!$E$47&gt;0,SUMIF(Landbrug!$B$32:$B$45,$B8,IF($I$4=År2,Landbrug!$D$32:$D$45,Landbrug!$E$32:$E$45)),'[1]Afgrødefordeling - jordtype'!$G6)*(1-Landbrug!$E$5)*Arealanvendelse!P$26</f>
        <v>99115.06241944003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1692.5149191501318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2.2679555872219294E-2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12673.001969281737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216.4075205104383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2.8998423571057279E-3</v>
      </c>
      <c r="R8" s="11">
        <f>IF(Landbrug!$E$47&gt;0,SUMIF(Landbrug!$B$32:$B$45,$B8,IF($R$4=År2,Landbrug!$D$32:$D$45,Landbrug!$E$32:$E$45)),'[1]Afgrødefordeling - jordtype'!$G6)*(Landbrug!$E$5)*Arealanvendelse!P$26</f>
        <v>12673.001969281737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216.4075205104383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2.8998423571057279E-3</v>
      </c>
      <c r="U8" s="94"/>
      <c r="W8" s="46" t="s">
        <v>286</v>
      </c>
      <c r="X8" s="47">
        <f t="shared" si="1"/>
        <v>3277287</v>
      </c>
      <c r="Y8" s="16">
        <f t="shared" si="1"/>
        <v>3238510.7663133652</v>
      </c>
      <c r="Z8" s="24">
        <f t="shared" si="1"/>
        <v>3238510.7663133652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188981.25083524975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15619.125095440719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0.52306215159126412</v>
      </c>
      <c r="I9" s="11">
        <f>IF(Landbrug!$E$47&gt;0,SUMIF(Landbrug!$B$32:$B$45,$B9,IF($I$4=År2,Landbrug!$D$32:$D$45,Landbrug!$E$32:$E$45)),'[1]Afgrødefordeling - jordtype'!$G7)*(1-Landbrug!$E$5)*Arealanvendelse!P$26</f>
        <v>188981.25083524975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15619.125095440719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0.52306215159126412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24163.428903039348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1997.0849864909596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6.6879518766995133E-2</v>
      </c>
      <c r="R9" s="11">
        <f>IF(Landbrug!$E$47&gt;0,SUMIF(Landbrug!$B$32:$B$45,$B9,IF($R$4=År2,Landbrug!$D$32:$D$45,Landbrug!$E$32:$E$45)),'[1]Afgrødefordeling - jordtype'!$G7)*(Landbrug!$E$5)*Arealanvendelse!P$26</f>
        <v>24163.428903039348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1997.0849864909596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6.6879518766995133E-2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7313.1446192208541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73.051235569092569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6.0796168101649132E-4</v>
      </c>
      <c r="I10" s="11">
        <f>IF(Landbrug!$E$47&gt;0,SUMIF(Landbrug!$B$32:$B$45,$B10,IF($I$4=År2,Landbrug!$D$32:$D$45,Landbrug!$E$32:$E$45)),'[1]Afgrødefordeling - jordtype'!$G8)*(1-Landbrug!$E$5)*Arealanvendelse!P$26</f>
        <v>7313.1446192208541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73.051235569092569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6.0796168101649132E-4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935.06974518991217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9.3404416001658657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7.7734901161285674E-5</v>
      </c>
      <c r="R10" s="11">
        <f>IF(Landbrug!$E$47&gt;0,SUMIF(Landbrug!$B$32:$B$45,$B10,IF($R$4=År2,Landbrug!$D$32:$D$45,Landbrug!$E$32:$E$45)),'[1]Afgrødefordeling - jordtype'!$G8)*(Landbrug!$E$5)*Arealanvendelse!P$26</f>
        <v>935.06974518991217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9.3404416001658657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7.7734901161285674E-5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43565.33101601588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1153.2896677317658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3.2179590057482679E-2</v>
      </c>
      <c r="I11" s="11">
        <f>IF(Landbrug!$E$47&gt;0,SUMIF(Landbrug!$B$32:$B$45,$B11,IF($I$4=År2,Landbrug!$D$32:$D$45,Landbrug!$E$32:$E$45)),'[1]Afgrødefordeling - jordtype'!$G9)*(1-Landbrug!$E$5)*Arealanvendelse!P$26</f>
        <v>43565.33101601588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1153.2896677317658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3.2179590057482679E-2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5570.3291939822529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147.46136332402992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4.1145311137812529E-3</v>
      </c>
      <c r="R11" s="11">
        <f>IF(Landbrug!$E$47&gt;0,SUMIF(Landbrug!$B$32:$B$45,$B11,IF($R$4=År2,Landbrug!$D$32:$D$45,Landbrug!$E$32:$E$45)),'[1]Afgrødefordeling - jordtype'!$G9)*(Landbrug!$E$5)*Arealanvendelse!P$26</f>
        <v>5570.3291939822529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147.46136332402992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4.1145311137812529E-3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4252.8843446697592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30.25692281705253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3.4799210435467126E-4</v>
      </c>
      <c r="I12" s="11">
        <f>IF(Landbrug!$E$47&gt;0,SUMIF(Landbrug!$B$32:$B$45,$B12,IF($I$4=År2,Landbrug!$D$32:$D$45,Landbrug!$E$32:$E$45)),'[1]Afgrødefordeling - jordtype'!$G10)*(1-Landbrug!$E$5)*Arealanvendelse!P$26</f>
        <v>4252.8843446697592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30.25692281705253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3.4799210435467126E-4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543.78023238328944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3.8686959689560227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4.4494797421590129E-5</v>
      </c>
      <c r="R12" s="11">
        <f>IF(Landbrug!$E$47&gt;0,SUMIF(Landbrug!$B$32:$B$45,$B12,IF($R$4=År2,Landbrug!$D$32:$D$45,Landbrug!$E$32:$E$45)),'[1]Afgrødefordeling - jordtype'!$G10)*(Landbrug!$E$5)*Arealanvendelse!P$26</f>
        <v>543.78023238328944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3.8686959689560227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4.4494797421590129E-5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145638.34626271055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3905.7140494222053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4.3276224875293617E-2</v>
      </c>
      <c r="I13" s="11">
        <f>IF(Landbrug!$E$47&gt;0,SUMIF(Landbrug!$B$32:$B$45,$B13,IF($I$4=År2,Landbrug!$D$32:$D$45,Landbrug!$E$32:$E$45)),'[1]Afgrødefordeling - jordtype'!$G11)*(1-Landbrug!$E$5)*Arealanvendelse!P$26</f>
        <v>145638.34626271055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3905.7140494222053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4.3276224875293617E-2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18621.539490936779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499.39051271858744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5.5333636450407616E-3</v>
      </c>
      <c r="R13" s="11">
        <f>IF(Landbrug!$E$47&gt;0,SUMIF(Landbrug!$B$32:$B$45,$B13,IF($R$4=År2,Landbrug!$D$32:$D$45,Landbrug!$E$32:$E$45)),'[1]Afgrødefordeling - jordtype'!$G11)*(Landbrug!$E$5)*Arealanvendelse!P$26</f>
        <v>18621.539490936779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499.39051271858744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5.5333636450407616E-3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2676.1448409922077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66.537196398441907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1.2401650971412253E-3</v>
      </c>
      <c r="I14" s="11">
        <f>IF(Landbrug!$E$47&gt;0,SUMIF(Landbrug!$B$32:$B$45,$B14,IF($I$4=År2,Landbrug!$D$32:$D$45,Landbrug!$E$32:$E$45)),'[1]Afgrødefordeling - jordtype'!$G12)*(1-Landbrug!$E$5)*Arealanvendelse!P$26</f>
        <v>2676.1448409922077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66.537196398441907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1.2401650971412253E-3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342.17593181200988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8.5075466877025647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1.5856938728237767E-4</v>
      </c>
      <c r="R14" s="11">
        <f>IF(Landbrug!$E$47&gt;0,SUMIF(Landbrug!$B$32:$B$45,$B14,IF($R$4=År2,Landbrug!$D$32:$D$45,Landbrug!$E$32:$E$45)),'[1]Afgrødefordeling - jordtype'!$G12)*(Landbrug!$E$5)*Arealanvendelse!P$26</f>
        <v>342.17593181200988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8.5075466877025647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1.5856938728237767E-4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47330.033772765404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1176.7702945090889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2.1933437619817524E-2</v>
      </c>
      <c r="I15" s="11">
        <f>IF(Landbrug!$E$47&gt;0,SUMIF(Landbrug!$B$32:$B$45,$B15,IF($I$4=År2,Landbrug!$D$32:$D$45,Landbrug!$E$32:$E$45)),'[1]Afgrødefordeling - jordtype'!$G13)*(1-Landbrug!$E$5)*Arealanvendelse!P$26</f>
        <v>47330.033772765404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1176.7702945090889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2.1933437619817524E-2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6051.6897892885954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150.46363182011089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2.8044425475188643E-3</v>
      </c>
      <c r="R15" s="11">
        <f>IF(Landbrug!$E$47&gt;0,SUMIF(Landbrug!$B$32:$B$45,$B15,IF($R$4=År2,Landbrug!$D$32:$D$45,Landbrug!$E$32:$E$45)),'[1]Afgrødefordeling - jordtype'!$G13)*(Landbrug!$E$5)*Arealanvendelse!P$26</f>
        <v>6051.6897892885954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150.46363182011089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2.8044425475188643E-3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49787.032963432102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2904.6161154278734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6.9784865361652376E-2</v>
      </c>
      <c r="I16" s="11">
        <f>IF(Landbrug!$E$47&gt;0,SUMIF(Landbrug!$B$32:$B$45,$B16,IF($I$4=År2,Landbrug!$D$32:$D$45,Landbrug!$E$32:$E$45)),'[1]Afgrødefordeling - jordtype'!$G14)*(1-Landbrug!$E$5)*Arealanvendelse!P$26</f>
        <v>49787.032963432102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2904.6161154278734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6.9784865361652376E-2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6365.8454264012817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371.38861493170089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8.9227985592311137E-3</v>
      </c>
      <c r="R16" s="11">
        <f>IF(Landbrug!$E$47&gt;0,SUMIF(Landbrug!$B$32:$B$45,$B16,IF($R$4=År2,Landbrug!$D$32:$D$45,Landbrug!$E$32:$E$45)),'[1]Afgrødefordeling - jordtype'!$G14)*(Landbrug!$E$5)*Arealanvendelse!P$26</f>
        <v>6365.8454264012817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371.38861493170089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8.9227985592311137E-3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13422.322311297707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333.7202389310454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6.2201026633818953E-3</v>
      </c>
      <c r="I17" s="11">
        <f>IF(Landbrug!$E$47&gt;0,SUMIF(Landbrug!$B$32:$B$45,$B17,IF($I$4=År2,Landbrug!$D$32:$D$45,Landbrug!$E$32:$E$45)),'[1]Afgrødefordeling - jordtype'!$G15)*(1-Landbrug!$E$5)*Arealanvendelse!P$26</f>
        <v>13422.322311297707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333.7202389310454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6.2201026633818953E-3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1716.1984559275936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42.6699750968709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7.9531174554062993E-4</v>
      </c>
      <c r="R17" s="11">
        <f>IF(Landbrug!$E$47&gt;0,SUMIF(Landbrug!$B$32:$B$45,$B17,IF($R$4=År2,Landbrug!$D$32:$D$45,Landbrug!$E$32:$E$45)),'[1]Afgrødefordeling - jordtype'!$G15)*(Landbrug!$E$5)*Arealanvendelse!P$26</f>
        <v>1716.1984559275936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42.6699750968709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7.9531174554062993E-4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4937.1607996010098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548.09168890611136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1.4682700657681706E-2</v>
      </c>
      <c r="I18" s="11">
        <f>IF(Landbrug!$E$47&gt;0,SUMIF(Landbrug!$B$32:$B$45,$B18,IF($I$4=År2,Landbrug!$D$32:$D$45,Landbrug!$E$32:$E$45)),'[1]Afgrødefordeling - jordtype'!$G16)*(1-Landbrug!$E$5)*Arealanvendelse!P$26</f>
        <v>4937.1607996010098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548.09168890611136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1.4682700657681706E-2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631.27285609954106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70.07983330989407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1.8773523398667479E-3</v>
      </c>
      <c r="R18" s="11">
        <f>IF(Landbrug!$E$47&gt;0,SUMIF(Landbrug!$B$32:$B$45,$B18,IF($R$4=År2,Landbrug!$D$32:$D$45,Landbrug!$E$32:$E$45)),'[1]Afgrødefordeling - jordtype'!$G16)*(Landbrug!$E$5)*Arealanvendelse!P$26</f>
        <v>631.27285609954106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70.07983330989407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1.8773523398667479E-3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119003.01274629038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15491.84722036339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0.54304356219035677</v>
      </c>
      <c r="I19" s="11">
        <f>IF(Landbrug!$E$47&gt;0,SUMIF(Landbrug!$B$32:$B$45,$B19,IF($I$4=År2,Landbrug!$D$32:$D$45,Landbrug!$E$32:$E$45)),'[1]Afgrødefordeling - jordtype'!$G17)*(1-Landbrug!$E$5)*Arealanvendelse!P$26</f>
        <v>119003.01274629038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15491.84722036339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0.54304356219035677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15215.905414073572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1980.8110446487499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6.9434372183721241E-2</v>
      </c>
      <c r="R19" s="11">
        <f>IF(Landbrug!$E$47&gt;0,SUMIF(Landbrug!$B$32:$B$45,$B19,IF($R$4=År2,Landbrug!$D$32:$D$45,Landbrug!$E$32:$E$45)),'[1]Afgrødefordeling - jordtype'!$G17)*(Landbrug!$E$5)*Arealanvendelse!P$26</f>
        <v>15215.905414073572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1980.8110446487499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6.9434372183721241E-2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1638025.2135860156</v>
      </c>
      <c r="G20" s="38">
        <f t="shared" si="2"/>
        <v>63014.752317192935</v>
      </c>
      <c r="H20" s="38">
        <f t="shared" si="2"/>
        <v>1.6007405455716408</v>
      </c>
      <c r="I20" s="38">
        <f t="shared" si="2"/>
        <v>1638025.2135860156</v>
      </c>
      <c r="J20" s="38">
        <f t="shared" si="2"/>
        <v>63014.752317192935</v>
      </c>
      <c r="K20" s="39">
        <f t="shared" si="2"/>
        <v>1.6007405455716408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209440.38424413261</v>
      </c>
      <c r="P20" s="38">
        <f t="shared" si="2"/>
        <v>8057.1616534941058</v>
      </c>
      <c r="Q20" s="38">
        <f t="shared" si="2"/>
        <v>0.20467311013224643</v>
      </c>
      <c r="R20" s="38">
        <f t="shared" si="2"/>
        <v>209440.38424413261</v>
      </c>
      <c r="S20" s="38">
        <f t="shared" si="2"/>
        <v>8057.1616534941058</v>
      </c>
      <c r="T20" s="39">
        <f t="shared" si="2"/>
        <v>0.20467311013224643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5" t="s">
        <v>7</v>
      </c>
      <c r="D22" s="376"/>
      <c r="E22" s="377"/>
      <c r="F22" s="381" t="s">
        <v>8</v>
      </c>
      <c r="G22" s="376"/>
      <c r="H22" s="377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10313649.885301495</v>
      </c>
      <c r="E24" s="23">
        <f>($F24+$C24)*Landbrug!E11*(1-Landbrug!E6)</f>
        <v>10313649.885301495</v>
      </c>
      <c r="F24" s="34">
        <f>SUM([1]Dyrehold!E58:G61)</f>
        <v>475477</v>
      </c>
      <c r="G24" s="11">
        <f>($F24+$C24)*Landbrug!D11*Landbrug!D6</f>
        <v>428793.11469850544</v>
      </c>
      <c r="H24" s="23">
        <f>($F24+$C24)*Landbrug!E11*Landbrug!E6</f>
        <v>428793.11469850544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1183003.2176968176</v>
      </c>
      <c r="E25" s="23">
        <f>($F25+$C25)*Landbrug!E12*(1-Landbrug!E7)</f>
        <v>1183003.2176968176</v>
      </c>
      <c r="F25" s="34">
        <f>SUM([1]Dyrehold!E36:G51)</f>
        <v>207835</v>
      </c>
      <c r="G25" s="11">
        <f>($F25+$C25)*Landbrug!D12*Landbrug!D7</f>
        <v>209460.78230318238</v>
      </c>
      <c r="H25" s="23">
        <f>($F25+$C25)*Landbrug!E12*Landbrug!E7</f>
        <v>209460.78230318238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18250810.233686633</v>
      </c>
      <c r="E26" s="24">
        <f>($F26+$C26)*Landbrug!E13*(1-Landbrug!E8)</f>
        <v>18250810.233686633</v>
      </c>
      <c r="F26" s="47">
        <f>SUM([1]Dyrehold!E65:G78)</f>
        <v>3062300</v>
      </c>
      <c r="G26" s="16">
        <f>($F26+$C26)*Landbrug!D13*Landbrug!D8</f>
        <v>3023523.7663133652</v>
      </c>
      <c r="H26" s="24">
        <f>($F26+$C26)*Landbrug!E13*Landbrug!E8</f>
        <v>3023523.7663133652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2" t="s">
        <v>24</v>
      </c>
      <c r="B29" s="373"/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4"/>
    </row>
    <row r="30" spans="1:21" x14ac:dyDescent="0.25">
      <c r="A30" s="56"/>
      <c r="B30" s="53"/>
      <c r="C30" s="378" t="s">
        <v>7</v>
      </c>
      <c r="D30" s="379"/>
      <c r="E30" s="379"/>
      <c r="F30" s="379"/>
      <c r="G30" s="379"/>
      <c r="H30" s="379"/>
      <c r="I30" s="379"/>
      <c r="J30" s="379"/>
      <c r="K30" s="380"/>
      <c r="L30" s="378" t="s">
        <v>8</v>
      </c>
      <c r="M30" s="379"/>
      <c r="N30" s="379"/>
      <c r="O30" s="379"/>
      <c r="P30" s="379"/>
      <c r="Q30" s="379"/>
      <c r="R30" s="379"/>
      <c r="S30" s="379"/>
      <c r="T30" s="380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292562.01681062597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2607.1402921123236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4.6899265874179821E-2</v>
      </c>
      <c r="I33" s="11">
        <f>IF(Landbrug!$E$47&gt;0,SUMIF(Landbrug!$B$32:$B$45,$B33,IF($I$31=År2,Landbrug!$D$32:$D$45,Landbrug!$E$32:$E$45)),'[1]Afgrødefordeling - jordtype'!$P4)*(1-Landbrug!$E$5)*Arealanvendelse!P$36</f>
        <v>292562.01681062597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2607.1402921123236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4.6899265874179821E-2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37407.422491325582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333.3529056997582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5.9966111534705989E-3</v>
      </c>
      <c r="R33" s="11">
        <f>IF(Landbrug!$E$47&gt;0,SUMIF(Landbrug!$B$32:$B$45,$B33,IF($R$31=År2,Landbrug!$D$32:$D$45,Landbrug!$E$32:$E$45)),'[1]Afgrødefordeling - jordtype'!$P4)*(Landbrug!$E$5)*Arealanvendelse!P$36</f>
        <v>37407.422491325582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333.3529056997582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5.9966111534705989E-3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6376.3414137528825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70.501240964925429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8.5184532315743273E-4</v>
      </c>
      <c r="I34" s="11">
        <f>IF(Landbrug!$E$47&gt;0,SUMIF(Landbrug!$B$32:$B$45,$B34,IF($I$31=År2,Landbrug!$D$32:$D$45,Landbrug!$E$32:$E$45)),'[1]Afgrødefordeling - jordtype'!$P5)*(1-Landbrug!$E$5)*Arealanvendelse!P$36</f>
        <v>6376.3414137528825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70.501240964925429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8.5184532315743273E-4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815.28866875287099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9.0143954286615706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1.0891823295447181E-4</v>
      </c>
      <c r="R34" s="11">
        <f>IF(Landbrug!$E$47&gt;0,SUMIF(Landbrug!$B$32:$B$45,$B34,IF($R$31=År2,Landbrug!$D$32:$D$45,Landbrug!$E$32:$E$45)),'[1]Afgrødefordeling - jordtype'!$P5)*(Landbrug!$E$5)*Arealanvendelse!P$36</f>
        <v>815.28866875287099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9.0143954286615706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1.0891823295447181E-4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40447.722327584328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284.76552549155969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4.1610650792287332E-3</v>
      </c>
      <c r="I35" s="11">
        <f>IF(Landbrug!$E$47&gt;0,SUMIF(Landbrug!$B$32:$B$45,$B35,IF($I$31=År2,Landbrug!$D$32:$D$45,Landbrug!$E$32:$E$45)),'[1]Afgrødefordeling - jordtype'!$P6)*(1-Landbrug!$E$5)*Arealanvendelse!P$36</f>
        <v>40447.722327584328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284.76552549155969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4.1610650792287332E-3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5171.7070261351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36.410551305169356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5.3204008206357469E-4</v>
      </c>
      <c r="R35" s="11">
        <f>IF(Landbrug!$E$47&gt;0,SUMIF(Landbrug!$B$32:$B$45,$B35,IF($R$31=År2,Landbrug!$D$32:$D$45,Landbrug!$E$32:$E$45)),'[1]Afgrødefordeling - jordtype'!$P6)*(Landbrug!$E$5)*Arealanvendelse!P$36</f>
        <v>5171.7070261351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36.410551305169356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5.3204008206357469E-4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24572.998517620537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837.32996270399724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3.057794405484629E-2</v>
      </c>
      <c r="I36" s="11">
        <f>IF(Landbrug!$E$47&gt;0,SUMIF(Landbrug!$B$32:$B$45,$B36,IF($I$31=År2,Landbrug!$D$32:$D$45,Landbrug!$E$32:$E$45)),'[1]Afgrødefordeling - jordtype'!$P7)*(1-Landbrug!$E$5)*Arealanvendelse!P$36</f>
        <v>24572.998517620537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837.32996270399724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3.057794405484629E-2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3141.9408009562312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107.06227698652053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3.9097422305375889E-3</v>
      </c>
      <c r="R36" s="11">
        <f>IF(Landbrug!$E$47&gt;0,SUMIF(Landbrug!$B$32:$B$45,$B36,IF($R$31=År2,Landbrug!$D$32:$D$45,Landbrug!$E$32:$E$45)),'[1]Afgrødefordeling - jordtype'!$P7)*(Landbrug!$E$5)*Arealanvendelse!P$36</f>
        <v>3141.9408009562312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107.06227698652053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3.9097422305375889E-3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3850.5952952805674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15.858122690552644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1.4391811820724449E-4</v>
      </c>
      <c r="I37" s="11">
        <f>IF(Landbrug!$E$47&gt;0,SUMIF(Landbrug!$B$32:$B$45,$B37,IF($I$31=År2,Landbrug!$D$32:$D$45,Landbrug!$E$32:$E$45)),'[1]Afgrødefordeling - jordtype'!$P8)*(1-Landbrug!$E$5)*Arealanvendelse!P$36</f>
        <v>3850.5952952805674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15.858122690552644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1.4391811820724449E-4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492.34294534860186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2.0276435809121542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1.8401588526851431E-5</v>
      </c>
      <c r="R37" s="11">
        <f>IF(Landbrug!$E$47&gt;0,SUMIF(Landbrug!$B$32:$B$45,$B37,IF($R$31=År2,Landbrug!$D$32:$D$45,Landbrug!$E$32:$E$45)),'[1]Afgrødefordeling - jordtype'!$P8)*(Landbrug!$E$5)*Arealanvendelse!P$36</f>
        <v>492.34294534860186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2.0276435809121542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1.8401588526851431E-5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2470.1663355738019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26.960259947487696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8.2031610546729307E-4</v>
      </c>
      <c r="I38" s="11">
        <f>IF(Landbrug!$E$47&gt;0,SUMIF(Landbrug!$B$32:$B$45,$B38,IF($I$31=År2,Landbrug!$D$32:$D$45,Landbrug!$E$32:$E$45)),'[1]Afgrødefordeling - jordtype'!$P9)*(1-Landbrug!$E$5)*Arealanvendelse!P$36</f>
        <v>2470.1663355738019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26.960259947487696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8.2031610546729307E-4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315.83920819930114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3.4471796623703264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1.0488685943642736E-4</v>
      </c>
      <c r="R38" s="11">
        <f>IF(Landbrug!$E$47&gt;0,SUMIF(Landbrug!$B$32:$B$45,$B38,IF($R$31=År2,Landbrug!$D$32:$D$45,Landbrug!$E$32:$E$45)),'[1]Afgrødefordeling - jordtype'!$P9)*(Landbrug!$E$5)*Arealanvendelse!P$36</f>
        <v>315.83920819930114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3.4471796623703264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1.0488685943642736E-4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25678.880997566026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75.321294136474407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9.4466421281650867E-4</v>
      </c>
      <c r="I39" s="11">
        <f>IF(Landbrug!$E$47&gt;0,SUMIF(Landbrug!$B$32:$B$45,$B39,IF($I$31=År2,Landbrug!$D$32:$D$45,Landbrug!$E$32:$E$45)),'[1]Afgrødefordeling - jordtype'!$P10)*(1-Landbrug!$E$5)*Arealanvendelse!P$36</f>
        <v>25678.880997566026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75.321294136474407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9.4466421281650867E-4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3283.3406094619722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9.6306947261041955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1.2078619674042107E-4</v>
      </c>
      <c r="R39" s="11">
        <f>IF(Landbrug!$E$47&gt;0,SUMIF(Landbrug!$B$32:$B$45,$B39,IF($R$31=År2,Landbrug!$D$32:$D$45,Landbrug!$E$32:$E$45)),'[1]Afgrødefordeling - jordtype'!$P10)*(Landbrug!$E$5)*Arealanvendelse!P$36</f>
        <v>3283.3406094619722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9.6306947261041955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1.2078619674042107E-4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7262.9431424427694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80.304122909023874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9.7029060189655577E-4</v>
      </c>
      <c r="I40" s="11">
        <f>IF(Landbrug!$E$47&gt;0,SUMIF(Landbrug!$B$32:$B$45,$B40,IF($I$31=År2,Landbrug!$D$32:$D$45,Landbrug!$E$32:$E$45)),'[1]Afgrødefordeling - jordtype'!$P11)*(1-Landbrug!$E$5)*Arealanvendelse!P$36</f>
        <v>7262.9431424427694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80.304122909023874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9.7029060189655577E-4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928.65090834978378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10.267806758379196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1.2406282565382139E-4</v>
      </c>
      <c r="R40" s="11">
        <f>IF(Landbrug!$E$47&gt;0,SUMIF(Landbrug!$B$32:$B$45,$B40,IF($R$31=År2,Landbrug!$D$32:$D$45,Landbrug!$E$32:$E$45)),'[1]Afgrødefordeling - jordtype'!$P11)*(Landbrug!$E$5)*Arealanvendelse!P$36</f>
        <v>928.65090834978378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10.267806758379196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1.2406282565382139E-4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1689.9505584470551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17.323250086121135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3.5209466045495685E-4</v>
      </c>
      <c r="I41" s="11">
        <f>IF(Landbrug!$E$47&gt;0,SUMIF(Landbrug!$B$32:$B$45,$B41,IF($I$31=År2,Landbrug!$D$32:$D$45,Landbrug!$E$32:$E$45)),'[1]Afgrødefordeling - jordtype'!$P12)*(1-Landbrug!$E$5)*Arealanvendelse!P$36</f>
        <v>1689.9505584470551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17.323250086121135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3.5209466045495685E-4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216.07963746777307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2.2149769883282029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4.5019356457006833E-5</v>
      </c>
      <c r="R41" s="11">
        <f>IF(Landbrug!$E$47&gt;0,SUMIF(Landbrug!$B$32:$B$45,$B41,IF($R$31=År2,Landbrug!$D$32:$D$45,Landbrug!$E$32:$E$45)),'[1]Afgrødefordeling - jordtype'!$P12)*(Landbrug!$E$5)*Arealanvendelse!P$36</f>
        <v>216.07963746777307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2.2149769883282029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4.5019356457006833E-5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12067.066633104925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123.69640759387546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2.5141266456781544E-3</v>
      </c>
      <c r="I42" s="11">
        <f>IF(Landbrug!$E$47&gt;0,SUMIF(Landbrug!$B$32:$B$45,$B42,IF($I$31=År2,Landbrug!$D$32:$D$45,Landbrug!$E$32:$E$45)),'[1]Afgrødefordeling - jordtype'!$P13)*(1-Landbrug!$E$5)*Arealanvendelse!P$36</f>
        <v>12067.066633104925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123.69640759387546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2.5141266456781544E-3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1542.9134126721628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15.816009986417528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3.2146004001762851E-4</v>
      </c>
      <c r="R42" s="11">
        <f>IF(Landbrug!$E$47&gt;0,SUMIF(Landbrug!$B$32:$B$45,$B42,IF($R$31=År2,Landbrug!$D$32:$D$45,Landbrug!$E$32:$E$45)),'[1]Afgrødefordeling - jordtype'!$P13)*(Landbrug!$E$5)*Arealanvendelse!P$36</f>
        <v>1542.9134126721628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15.816009986417528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3.2146004001762851E-4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37335.148248827281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898.0300532314609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2.3527643458140821E-2</v>
      </c>
      <c r="I43" s="11">
        <f>IF(Landbrug!$E$47&gt;0,SUMIF(Landbrug!$B$32:$B$45,$B43,IF($I$31=År2,Landbrug!$D$32:$D$45,Landbrug!$E$32:$E$45)),'[1]Afgrødefordeling - jordtype'!$P14)*(1-Landbrug!$E$5)*Arealanvendelse!P$36</f>
        <v>37335.148248827281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898.0300532314609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2.3527643458140821E-2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4773.7285911047593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114.82348247852502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3.0082801200869359E-3</v>
      </c>
      <c r="R43" s="11">
        <f>IF(Landbrug!$E$47&gt;0,SUMIF(Landbrug!$B$32:$B$45,$B43,IF($R$31=År2,Landbrug!$D$32:$D$45,Landbrug!$E$32:$E$45)),'[1]Afgrødefordeling - jordtype'!$P14)*(Landbrug!$E$5)*Arealanvendelse!P$36</f>
        <v>4773.7285911047593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114.82348247852502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3.0082801200869359E-3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2648.1429081925139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27.145434304635756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5.517303292902556E-4</v>
      </c>
      <c r="I44" s="11">
        <f>IF(Landbrug!$E$47&gt;0,SUMIF(Landbrug!$B$32:$B$45,$B44,IF($I$31=År2,Landbrug!$D$32:$D$45,Landbrug!$E$32:$E$45)),'[1]Afgrødefordeling - jordtype'!$P15)*(1-Landbrug!$E$5)*Arealanvendelse!P$36</f>
        <v>2648.1429081925139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27.145434304635756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5.517303292902556E-4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338.59556228136813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3.4708563360818045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7.0545075379344893E-5</v>
      </c>
      <c r="R44" s="11">
        <f>IF(Landbrug!$E$47&gt;0,SUMIF(Landbrug!$B$32:$B$45,$B44,IF($R$31=År2,Landbrug!$D$32:$D$45,Landbrug!$E$32:$E$45)),'[1]Afgrødefordeling - jordtype'!$P15)*(Landbrug!$E$5)*Arealanvendelse!P$36</f>
        <v>338.59556228136813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3.4708563360818045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7.0545075379344893E-5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1258.7577822820135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57.612750140016658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1.6830088194036976E-3</v>
      </c>
      <c r="I45" s="11">
        <f>IF(Landbrug!$E$47&gt;0,SUMIF(Landbrug!$B$32:$B$45,$B45,IF($I$31=År2,Landbrug!$D$32:$D$45,Landbrug!$E$32:$E$45)),'[1]Afgrødefordeling - jordtype'!$P16)*(1-Landbrug!$E$5)*Arealanvendelse!P$36</f>
        <v>1258.7577822820135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57.612750140016658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1.6830088194036976E-3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160.94667615908057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7.36645347495603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2.151920562019265E-4</v>
      </c>
      <c r="R45" s="11">
        <f>IF(Landbrug!$E$47&gt;0,SUMIF(Landbrug!$B$32:$B$45,$B45,IF($R$31=År2,Landbrug!$D$32:$D$45,Landbrug!$E$32:$E$45)),'[1]Afgrødefordeling - jordtype'!$P16)*(Landbrug!$E$5)*Arealanvendelse!P$36</f>
        <v>160.94667615908057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7.36645347495603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2.151920562019265E-4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31352.142273239417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1669.7015154242213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5.8528892380347711E-2</v>
      </c>
      <c r="I46" s="11">
        <f>IF(Landbrug!$E$47&gt;0,SUMIF(Landbrug!$B$32:$B$45,$B46,IF($I$31=År2,Landbrug!$D$32:$D$45,Landbrug!$E$32:$E$45)),'[1]Afgrødefordeling - jordtype'!$P17)*(1-Landbrug!$E$5)*Arealanvendelse!P$36</f>
        <v>31352.142273239417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1669.7015154242213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5.8528892380347711E-2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4008.7323870971445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213.49056416407598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7.4835928091041004E-3</v>
      </c>
      <c r="R46" s="11">
        <f>IF(Landbrug!$E$47&gt;0,SUMIF(Landbrug!$B$32:$B$45,$B46,IF($R$31=År2,Landbrug!$D$32:$D$45,Landbrug!$E$32:$E$45)),'[1]Afgrødefordeling - jordtype'!$P17)*(Landbrug!$E$5)*Arealanvendelse!P$36</f>
        <v>4008.7323870971445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213.49056416407598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7.4835928091041004E-3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489572.87324454018</v>
      </c>
      <c r="G47" s="38">
        <f t="shared" si="3"/>
        <v>6791.6902317366767</v>
      </c>
      <c r="H47" s="38">
        <f t="shared" si="3"/>
        <v>0.17252680566311548</v>
      </c>
      <c r="I47" s="38">
        <f t="shared" si="3"/>
        <v>489572.87324454018</v>
      </c>
      <c r="J47" s="38">
        <f t="shared" si="3"/>
        <v>6791.6902317366767</v>
      </c>
      <c r="K47" s="39">
        <f t="shared" si="3"/>
        <v>0.17252680566311548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62597.528925311737</v>
      </c>
      <c r="P47" s="38">
        <f t="shared" si="3"/>
        <v>868.39579757626018</v>
      </c>
      <c r="Q47" s="38">
        <f t="shared" si="3"/>
        <v>2.2059538626630695E-2</v>
      </c>
      <c r="R47" s="38">
        <f t="shared" si="3"/>
        <v>62597.528925311737</v>
      </c>
      <c r="S47" s="38">
        <f t="shared" si="3"/>
        <v>868.39579757626018</v>
      </c>
      <c r="T47" s="39">
        <f t="shared" si="3"/>
        <v>2.2059538626630695E-2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5" t="s">
        <v>7</v>
      </c>
      <c r="D49" s="376"/>
      <c r="E49" s="377"/>
      <c r="F49" s="381" t="s">
        <v>8</v>
      </c>
      <c r="G49" s="376"/>
      <c r="H49" s="377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1541102</v>
      </c>
      <c r="E51" s="23">
        <f>SUM([1]Dyrehold!$E$22:$E$23)-H51</f>
        <v>1541102</v>
      </c>
      <c r="F51" s="50">
        <f>SUM([1]Dyrehold!C58:D61)</f>
        <v>15447</v>
      </c>
      <c r="G51" s="11">
        <f>$F51/Landbrug!$C6*Landbrug!D6</f>
        <v>15447.000000000002</v>
      </c>
      <c r="H51" s="23">
        <f>$F51/Landbrug!$C6*Landbrug!E6</f>
        <v>15447.000000000002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82455</v>
      </c>
      <c r="E52" s="23">
        <f>SUM([1]Dyrehold!$D$22:$D$23)-H52</f>
        <v>82455</v>
      </c>
      <c r="F52" s="50">
        <f>SUM([1]Dyrehold!C36:D51)</f>
        <v>16513</v>
      </c>
      <c r="G52" s="11">
        <f>$F52/Landbrug!$C7*Landbrug!D7</f>
        <v>16512.999999999996</v>
      </c>
      <c r="H52" s="23">
        <f>$F52/Landbrug!$C7*Landbrug!E7</f>
        <v>16512.999999999996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1570560</v>
      </c>
      <c r="E53" s="24">
        <f>SUM([1]Dyrehold!$F$22:$F$23)-H53</f>
        <v>1570560</v>
      </c>
      <c r="F53" s="51">
        <f>SUM([1]Dyrehold!C65:D78)</f>
        <v>214987</v>
      </c>
      <c r="G53" s="16">
        <f>$F53/Landbrug!$C8*Landbrug!D8</f>
        <v>214987</v>
      </c>
      <c r="H53" s="24">
        <f>$F53/Landbrug!$C8*Landbrug!E8</f>
        <v>214987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C5" sqref="C5:D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2187402</v>
      </c>
      <c r="E5" s="240">
        <v>2271261.0000000009</v>
      </c>
      <c r="F5" s="240"/>
      <c r="G5" s="240">
        <v>13324.5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2986961.9999999991</v>
      </c>
      <c r="Q5" s="240"/>
      <c r="R5" s="240">
        <v>11357.999999999996</v>
      </c>
      <c r="S5" s="240">
        <v>13060528.999999998</v>
      </c>
      <c r="T5" s="240"/>
      <c r="U5" s="240">
        <v>990078</v>
      </c>
      <c r="V5" s="240"/>
      <c r="W5" s="240"/>
      <c r="X5" s="240"/>
      <c r="Y5" s="240">
        <v>85935.000000000015</v>
      </c>
      <c r="Z5" s="240"/>
      <c r="AA5" s="240">
        <v>8336754.2572932793</v>
      </c>
      <c r="AB5" s="240">
        <v>8744608</v>
      </c>
      <c r="AC5" s="240"/>
      <c r="AD5" s="240"/>
      <c r="AE5" s="240"/>
      <c r="AF5" s="240"/>
      <c r="AG5" s="240"/>
      <c r="AH5" s="240"/>
      <c r="AI5" s="240"/>
      <c r="AJ5" s="240"/>
      <c r="AK5" s="240">
        <v>39601504.757293276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729134</v>
      </c>
      <c r="E7" s="240">
        <v>757087.00000000023</v>
      </c>
      <c r="F7" s="240"/>
      <c r="G7" s="240">
        <v>4441.5</v>
      </c>
      <c r="H7" s="240"/>
      <c r="I7" s="240"/>
      <c r="J7" s="240">
        <v>142742</v>
      </c>
      <c r="K7" s="240">
        <v>85677.000000000015</v>
      </c>
      <c r="L7" s="240"/>
      <c r="M7" s="240">
        <v>75933.999999999985</v>
      </c>
      <c r="N7" s="240">
        <v>78</v>
      </c>
      <c r="O7" s="240"/>
      <c r="P7" s="240">
        <v>995653.99999999953</v>
      </c>
      <c r="Q7" s="240"/>
      <c r="R7" s="240">
        <v>3785.9999999999991</v>
      </c>
      <c r="S7" s="240">
        <v>4353509.666666666</v>
      </c>
      <c r="T7" s="240"/>
      <c r="U7" s="240">
        <v>330025.99999999994</v>
      </c>
      <c r="V7" s="240"/>
      <c r="W7" s="240"/>
      <c r="X7" s="240"/>
      <c r="Y7" s="240">
        <v>28645.000000000004</v>
      </c>
      <c r="Z7" s="240"/>
      <c r="AA7" s="240">
        <v>2775826.6867543533</v>
      </c>
      <c r="AB7" s="240">
        <v>2914869.333333333</v>
      </c>
      <c r="AC7" s="240"/>
      <c r="AD7" s="240"/>
      <c r="AE7" s="240"/>
      <c r="AF7" s="240"/>
      <c r="AG7" s="240"/>
      <c r="AH7" s="240"/>
      <c r="AI7" s="240"/>
      <c r="AJ7" s="240"/>
      <c r="AK7" s="240">
        <v>13197410.186754353</v>
      </c>
    </row>
    <row r="8" spans="1:37" x14ac:dyDescent="0.25">
      <c r="A8" s="79">
        <v>2050</v>
      </c>
      <c r="B8" s="240"/>
      <c r="C8" s="240"/>
      <c r="D8" s="240">
        <v>729134</v>
      </c>
      <c r="E8" s="240">
        <v>757087.00000000023</v>
      </c>
      <c r="F8" s="240"/>
      <c r="G8" s="240">
        <v>4441.5</v>
      </c>
      <c r="H8" s="240"/>
      <c r="I8" s="240"/>
      <c r="J8" s="240">
        <v>142742</v>
      </c>
      <c r="K8" s="240">
        <v>85677.000000000015</v>
      </c>
      <c r="L8" s="240"/>
      <c r="M8" s="240">
        <v>75933.999999999985</v>
      </c>
      <c r="N8" s="240">
        <v>78</v>
      </c>
      <c r="O8" s="240"/>
      <c r="P8" s="240">
        <v>995653.99999999953</v>
      </c>
      <c r="Q8" s="240"/>
      <c r="R8" s="240">
        <v>3785.9999999999991</v>
      </c>
      <c r="S8" s="240">
        <v>4353509.666666666</v>
      </c>
      <c r="T8" s="240"/>
      <c r="U8" s="240">
        <v>330025.99999999994</v>
      </c>
      <c r="V8" s="240"/>
      <c r="W8" s="240"/>
      <c r="X8" s="240"/>
      <c r="Y8" s="240">
        <v>28645.000000000004</v>
      </c>
      <c r="Z8" s="240"/>
      <c r="AA8" s="240">
        <v>2892093.5705389259</v>
      </c>
      <c r="AB8" s="240">
        <v>2914869.333333333</v>
      </c>
      <c r="AC8" s="240"/>
      <c r="AD8" s="240"/>
      <c r="AE8" s="240"/>
      <c r="AF8" s="240"/>
      <c r="AG8" s="240"/>
      <c r="AH8" s="240"/>
      <c r="AI8" s="240"/>
      <c r="AJ8" s="240"/>
      <c r="AK8" s="240">
        <v>13313677.070538923</v>
      </c>
    </row>
    <row r="9" spans="1:37" x14ac:dyDescent="0.25">
      <c r="A9" s="78" t="s">
        <v>113</v>
      </c>
      <c r="B9" s="240"/>
      <c r="C9" s="240">
        <v>217245.27668679628</v>
      </c>
      <c r="D9" s="240"/>
      <c r="E9" s="240"/>
      <c r="F9" s="240"/>
      <c r="G9" s="240"/>
      <c r="H9" s="240"/>
      <c r="I9" s="240"/>
      <c r="J9" s="240"/>
      <c r="K9" s="240">
        <v>41219273.955810048</v>
      </c>
      <c r="L9" s="240"/>
      <c r="M9" s="240">
        <v>2603926.024732016</v>
      </c>
      <c r="N9" s="240"/>
      <c r="O9" s="240">
        <v>16263222.796414334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721133.626779782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72415.092228932088</v>
      </c>
      <c r="D11" s="240"/>
      <c r="E11" s="240"/>
      <c r="F11" s="240"/>
      <c r="G11" s="240"/>
      <c r="H11" s="240"/>
      <c r="I11" s="240"/>
      <c r="J11" s="240"/>
      <c r="K11" s="240">
        <v>13739757.985270016</v>
      </c>
      <c r="L11" s="240"/>
      <c r="M11" s="240">
        <v>867975.34157733875</v>
      </c>
      <c r="N11" s="240"/>
      <c r="O11" s="240">
        <v>5421074.2654714445</v>
      </c>
      <c r="P11" s="240"/>
      <c r="Q11" s="240">
        <v>0</v>
      </c>
      <c r="R11" s="240">
        <v>6600836.8097011279</v>
      </c>
      <c r="S11" s="240"/>
      <c r="T11" s="240">
        <v>1701754.6673799041</v>
      </c>
      <c r="U11" s="240">
        <v>6351407.0475792512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240377.87559326066</v>
      </c>
      <c r="AG11" s="240"/>
      <c r="AH11" s="240"/>
      <c r="AI11" s="240"/>
      <c r="AJ11" s="240"/>
      <c r="AK11" s="240">
        <v>35984266.24676016</v>
      </c>
    </row>
    <row r="12" spans="1:37" x14ac:dyDescent="0.25">
      <c r="A12" s="79">
        <v>2050</v>
      </c>
      <c r="B12" s="240"/>
      <c r="C12" s="240">
        <v>72415.092228932088</v>
      </c>
      <c r="D12" s="240"/>
      <c r="E12" s="240"/>
      <c r="F12" s="240"/>
      <c r="G12" s="240"/>
      <c r="H12" s="240"/>
      <c r="I12" s="240"/>
      <c r="J12" s="240"/>
      <c r="K12" s="240">
        <v>13739757.985270016</v>
      </c>
      <c r="L12" s="240"/>
      <c r="M12" s="240">
        <v>867975.34157733875</v>
      </c>
      <c r="N12" s="240"/>
      <c r="O12" s="240">
        <v>5421074.2654714445</v>
      </c>
      <c r="P12" s="240"/>
      <c r="Q12" s="240">
        <v>0</v>
      </c>
      <c r="R12" s="240">
        <v>6600836.8097011279</v>
      </c>
      <c r="S12" s="240"/>
      <c r="T12" s="240">
        <v>1701754.6673799041</v>
      </c>
      <c r="U12" s="240">
        <v>6351407.0475792512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240377.87559326066</v>
      </c>
      <c r="AG12" s="240"/>
      <c r="AH12" s="240"/>
      <c r="AI12" s="240"/>
      <c r="AJ12" s="240"/>
      <c r="AK12" s="240">
        <v>35984266.24676016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5504846.6955106203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572091.0158891622</v>
      </c>
      <c r="AE17" s="240">
        <v>8490524.822842367</v>
      </c>
      <c r="AF17" s="240"/>
      <c r="AG17" s="240">
        <v>540685.36482682324</v>
      </c>
      <c r="AH17" s="240"/>
      <c r="AI17" s="240"/>
      <c r="AJ17" s="240"/>
      <c r="AK17" s="240">
        <v>18056340.899068974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1805540.7414875296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181154.31424708109</v>
      </c>
      <c r="AE19" s="240">
        <v>2851556.9755475889</v>
      </c>
      <c r="AF19" s="240"/>
      <c r="AG19" s="240">
        <v>213899.15201584619</v>
      </c>
      <c r="AH19" s="240"/>
      <c r="AI19" s="240"/>
      <c r="AJ19" s="240"/>
      <c r="AK19" s="240">
        <v>6034882.1832980458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1805540.7414875296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181154.31424708109</v>
      </c>
      <c r="AE20" s="240">
        <v>2628729.3549700924</v>
      </c>
      <c r="AF20" s="240"/>
      <c r="AG20" s="240">
        <v>213899.15201584619</v>
      </c>
      <c r="AH20" s="240"/>
      <c r="AI20" s="240"/>
      <c r="AJ20" s="240"/>
      <c r="AK20" s="240">
        <v>5812054.5627205493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2340847.8553896248</v>
      </c>
      <c r="AK21" s="240">
        <v>2445051.2961235922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784233.65417649108</v>
      </c>
      <c r="AK23" s="240">
        <v>784233.65417649108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728920.99629092962</v>
      </c>
      <c r="AK24" s="240">
        <v>728920.99629092962</v>
      </c>
    </row>
    <row r="25" spans="1:37" x14ac:dyDescent="0.25">
      <c r="A25" s="78" t="s">
        <v>115</v>
      </c>
      <c r="B25" s="240"/>
      <c r="C25" s="240"/>
      <c r="D25" s="240"/>
      <c r="E25" s="240">
        <v>2471294.9785714289</v>
      </c>
      <c r="F25" s="240"/>
      <c r="G25" s="240">
        <v>13324.5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29089470.999999996</v>
      </c>
      <c r="T25" s="240"/>
      <c r="U25" s="240"/>
      <c r="V25" s="240"/>
      <c r="W25" s="240"/>
      <c r="X25" s="240"/>
      <c r="Y25" s="240"/>
      <c r="Z25" s="240"/>
      <c r="AA25" s="240"/>
      <c r="AB25" s="240">
        <v>44226391.999999993</v>
      </c>
      <c r="AC25" s="240"/>
      <c r="AD25" s="240"/>
      <c r="AE25" s="240"/>
      <c r="AF25" s="240"/>
      <c r="AG25" s="240"/>
      <c r="AH25" s="240">
        <v>26341418.092322499</v>
      </c>
      <c r="AI25" s="240">
        <v>2726804.8666258845</v>
      </c>
      <c r="AJ25" s="240"/>
      <c r="AK25" s="240">
        <v>104868705.43751982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823764.99285714305</v>
      </c>
      <c r="F27" s="240"/>
      <c r="G27" s="240">
        <v>4441.5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9696490.3333333321</v>
      </c>
      <c r="T27" s="240"/>
      <c r="U27" s="240"/>
      <c r="V27" s="240"/>
      <c r="W27" s="240"/>
      <c r="X27" s="240"/>
      <c r="Y27" s="240"/>
      <c r="Z27" s="240"/>
      <c r="AA27" s="240"/>
      <c r="AB27" s="240">
        <v>14742130.666666666</v>
      </c>
      <c r="AC27" s="240"/>
      <c r="AD27" s="240"/>
      <c r="AE27" s="240"/>
      <c r="AF27" s="240"/>
      <c r="AG27" s="240"/>
      <c r="AH27" s="240">
        <v>8780944.7787605803</v>
      </c>
      <c r="AI27" s="240">
        <v>890470.69395743217</v>
      </c>
      <c r="AJ27" s="240"/>
      <c r="AK27" s="240">
        <v>34938242.965575159</v>
      </c>
    </row>
    <row r="28" spans="1:37" x14ac:dyDescent="0.25">
      <c r="A28" s="79">
        <v>2050</v>
      </c>
      <c r="B28" s="240"/>
      <c r="C28" s="240"/>
      <c r="D28" s="240"/>
      <c r="E28" s="240">
        <v>823764.99285714305</v>
      </c>
      <c r="F28" s="240"/>
      <c r="G28" s="240">
        <v>4441.5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9696490.3333333321</v>
      </c>
      <c r="T28" s="240"/>
      <c r="U28" s="240"/>
      <c r="V28" s="240"/>
      <c r="W28" s="240"/>
      <c r="X28" s="240"/>
      <c r="Y28" s="240"/>
      <c r="Z28" s="240"/>
      <c r="AA28" s="240"/>
      <c r="AB28" s="240">
        <v>14742130.666666666</v>
      </c>
      <c r="AC28" s="240"/>
      <c r="AD28" s="240"/>
      <c r="AE28" s="240"/>
      <c r="AF28" s="240"/>
      <c r="AG28" s="240"/>
      <c r="AH28" s="240">
        <v>8756981.5780534334</v>
      </c>
      <c r="AI28" s="240">
        <v>891519.08398836968</v>
      </c>
      <c r="AJ28" s="240"/>
      <c r="AK28" s="240">
        <v>34915328.154898942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2015277.5173774692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2015277.5173774692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668434.85004951945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668434.85004951945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668434.85004951945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668434.85004951945</v>
      </c>
    </row>
    <row r="33" spans="1:37" x14ac:dyDescent="0.25">
      <c r="A33" s="78" t="s">
        <v>61</v>
      </c>
      <c r="B33" s="240">
        <v>182574.19618217932</v>
      </c>
      <c r="C33" s="240">
        <v>217245.27668679628</v>
      </c>
      <c r="D33" s="240">
        <v>2187402</v>
      </c>
      <c r="E33" s="240">
        <v>4742555.9785714308</v>
      </c>
      <c r="F33" s="240">
        <v>281468.55244752642</v>
      </c>
      <c r="G33" s="240">
        <v>26649</v>
      </c>
      <c r="H33" s="240">
        <v>197788.71253069426</v>
      </c>
      <c r="I33" s="240">
        <v>1445379.0531089196</v>
      </c>
      <c r="J33" s="240">
        <v>428226</v>
      </c>
      <c r="K33" s="240">
        <v>41476304.955810048</v>
      </c>
      <c r="L33" s="240">
        <v>1513844.376677237</v>
      </c>
      <c r="M33" s="240">
        <v>8336574.7202426363</v>
      </c>
      <c r="N33" s="240">
        <v>2948427</v>
      </c>
      <c r="O33" s="240">
        <v>16263222.796414334</v>
      </c>
      <c r="P33" s="240">
        <v>2986961.9999999991</v>
      </c>
      <c r="Q33" s="240">
        <v>692260.49385742994</v>
      </c>
      <c r="R33" s="240">
        <v>21472250.711091511</v>
      </c>
      <c r="S33" s="240">
        <v>42150000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2015277.5173774692</v>
      </c>
      <c r="Y33" s="240">
        <v>2919175.4834569679</v>
      </c>
      <c r="Z33" s="240">
        <v>132761.00241970882</v>
      </c>
      <c r="AA33" s="240">
        <v>8336754.2572932793</v>
      </c>
      <c r="AB33" s="240">
        <v>52970999.999999993</v>
      </c>
      <c r="AC33" s="240">
        <v>682979.63888483576</v>
      </c>
      <c r="AD33" s="240">
        <v>572091.0158891622</v>
      </c>
      <c r="AE33" s="240">
        <v>8490524.822842367</v>
      </c>
      <c r="AF33" s="240">
        <v>721133.626779782</v>
      </c>
      <c r="AG33" s="240">
        <v>644888.80556079012</v>
      </c>
      <c r="AH33" s="240">
        <v>26341418.092322499</v>
      </c>
      <c r="AI33" s="240">
        <v>2726804.8666258845</v>
      </c>
      <c r="AJ33" s="240">
        <v>2340847.8553896248</v>
      </c>
      <c r="AK33" s="240">
        <v>284578074.75444782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14.5703125" bestFit="1" customWidth="1"/>
    <col min="12" max="13" width="11.28515625" bestFit="1" customWidth="1"/>
    <col min="14" max="14" width="8.85546875" bestFit="1" customWidth="1"/>
    <col min="15" max="15" width="14.5703125" bestFit="1" customWidth="1"/>
    <col min="16" max="19" width="11.28515625" bestFit="1" customWidth="1"/>
    <col min="20" max="20" width="9.28515625" bestFit="1" customWidth="1"/>
    <col min="21" max="21" width="11.28515625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287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365139.02825725608</v>
      </c>
      <c r="C7" s="76">
        <v>225131.82947161151</v>
      </c>
      <c r="D7" s="76">
        <v>268097.40526848647</v>
      </c>
      <c r="E7" s="76">
        <v>890470.69395743217</v>
      </c>
      <c r="F7" s="76">
        <v>0</v>
      </c>
      <c r="G7" s="76">
        <v>142742</v>
      </c>
      <c r="H7" s="76">
        <v>440560.86296927743</v>
      </c>
      <c r="I7" s="76">
        <v>5421074.2654714445</v>
      </c>
      <c r="J7" s="76">
        <v>7753216.0853955084</v>
      </c>
    </row>
    <row r="8" spans="1:10" x14ac:dyDescent="0.25">
      <c r="A8" s="78">
        <v>2050</v>
      </c>
      <c r="B8" s="76">
        <v>359357.1848904005</v>
      </c>
      <c r="C8" s="76">
        <v>246630.84611972622</v>
      </c>
      <c r="D8" s="76">
        <v>268097.40526848641</v>
      </c>
      <c r="E8" s="76">
        <v>891519.08398836968</v>
      </c>
      <c r="F8" s="76">
        <v>1109.3622033932334</v>
      </c>
      <c r="G8" s="76">
        <v>142742</v>
      </c>
      <c r="H8" s="76">
        <v>461087.56228154775</v>
      </c>
      <c r="I8" s="76">
        <v>5421074.2654714445</v>
      </c>
      <c r="J8" s="76">
        <v>7791617.7102233684</v>
      </c>
    </row>
    <row r="9" spans="1:10" x14ac:dyDescent="0.25">
      <c r="A9" s="78" t="s">
        <v>61</v>
      </c>
      <c r="B9" s="76">
        <v>1094955.8876291544</v>
      </c>
      <c r="C9" s="76">
        <v>675412.29659684387</v>
      </c>
      <c r="D9" s="76">
        <v>818526.84087807522</v>
      </c>
      <c r="E9" s="76">
        <v>2726804.8666258845</v>
      </c>
      <c r="F9" s="76">
        <v>1109.3622033932334</v>
      </c>
      <c r="G9" s="76">
        <v>428226</v>
      </c>
      <c r="H9" s="76">
        <v>1322278.4150922531</v>
      </c>
      <c r="I9" s="76">
        <v>16263222.796414334</v>
      </c>
      <c r="J9" s="76">
        <v>23330536.465439938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6" width="11" style="171" bestFit="1" customWidth="1"/>
    <col min="17" max="17" width="9.85546875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5.140625" style="171" bestFit="1" customWidth="1"/>
    <col min="22" max="22" width="16" style="171" bestFit="1" customWidth="1"/>
    <col min="23" max="24" width="9.85546875" style="171" bestFit="1" customWidth="1"/>
    <col min="25" max="25" width="9.28515625" style="171" bestFit="1" customWidth="1"/>
    <col min="26" max="26" width="11.28515625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1" width="11.28515625" style="171" bestFit="1" customWidth="1"/>
    <col min="32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141</v>
      </c>
      <c r="W5" s="171" t="s">
        <v>56</v>
      </c>
      <c r="X5" s="171" t="s">
        <v>55</v>
      </c>
      <c r="Y5" s="171" t="s">
        <v>239</v>
      </c>
      <c r="Z5" s="171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174210.87532237158</v>
      </c>
      <c r="C7" s="98">
        <v>206284.26164707771</v>
      </c>
      <c r="D7" s="98">
        <v>3351434.4059226979</v>
      </c>
      <c r="E7" s="98">
        <v>1352218.0071428574</v>
      </c>
      <c r="F7" s="98">
        <v>135690.42060930617</v>
      </c>
      <c r="G7" s="98">
        <v>1405561.2688290682</v>
      </c>
      <c r="H7" s="98">
        <v>1564413.1727342645</v>
      </c>
      <c r="I7" s="98">
        <v>1931709.2202029359</v>
      </c>
      <c r="J7" s="98">
        <v>1754233.8709876414</v>
      </c>
      <c r="K7" s="98">
        <v>51892.132620096454</v>
      </c>
      <c r="L7" s="98">
        <v>1081950.2974583334</v>
      </c>
      <c r="M7" s="98">
        <v>2502185.8921743883</v>
      </c>
      <c r="N7" s="98">
        <v>880.09999999999991</v>
      </c>
      <c r="O7" s="98">
        <v>3667.9569733888493</v>
      </c>
      <c r="P7" s="98">
        <v>5269000</v>
      </c>
      <c r="Q7" s="98">
        <v>1647305.568768583</v>
      </c>
      <c r="R7" s="98">
        <v>217010.36743552325</v>
      </c>
      <c r="S7" s="98">
        <v>105946.31157195523</v>
      </c>
      <c r="T7" s="98">
        <v>1373725.7127677121</v>
      </c>
      <c r="U7" s="98">
        <v>382.5</v>
      </c>
      <c r="V7" s="98">
        <v>4543448.5856619487</v>
      </c>
      <c r="W7" s="98">
        <v>885315.35589861078</v>
      </c>
      <c r="X7" s="98">
        <v>1948665.320823289</v>
      </c>
      <c r="Y7" s="98">
        <v>93839.549431499036</v>
      </c>
      <c r="Z7" s="98">
        <v>31600971.154983547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171618.02909345322</v>
      </c>
      <c r="C8" s="98">
        <v>206284.26164707771</v>
      </c>
      <c r="D8" s="98">
        <v>3482281.7528930027</v>
      </c>
      <c r="E8" s="98">
        <v>1352218.0071428574</v>
      </c>
      <c r="F8" s="98">
        <v>132881.50386131127</v>
      </c>
      <c r="G8" s="98">
        <v>1405561.2688290682</v>
      </c>
      <c r="H8" s="98">
        <v>1564413.1727342645</v>
      </c>
      <c r="I8" s="98">
        <v>1921878.0115849536</v>
      </c>
      <c r="J8" s="98">
        <v>1730682.1844083001</v>
      </c>
      <c r="K8" s="98">
        <v>51892.132620096454</v>
      </c>
      <c r="L8" s="98">
        <v>1081950.2974583334</v>
      </c>
      <c r="M8" s="98">
        <v>2464589.6218550717</v>
      </c>
      <c r="N8" s="98">
        <v>880.09999999999991</v>
      </c>
      <c r="O8" s="98"/>
      <c r="P8" s="98">
        <v>5269000</v>
      </c>
      <c r="Q8" s="98">
        <v>1647305.568768583</v>
      </c>
      <c r="R8" s="98">
        <v>217010.36743552325</v>
      </c>
      <c r="S8" s="98">
        <v>105946.31157195523</v>
      </c>
      <c r="T8" s="98">
        <v>1364026.3071663668</v>
      </c>
      <c r="U8" s="98">
        <v>382.5</v>
      </c>
      <c r="V8" s="98">
        <v>4733753.193370726</v>
      </c>
      <c r="W8" s="98">
        <v>885315.35589861078</v>
      </c>
      <c r="X8" s="98">
        <v>1948665.320823289</v>
      </c>
      <c r="Y8" s="98">
        <v>93839.549431499036</v>
      </c>
      <c r="Z8" s="98">
        <v>31832374.818594344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522425.80381782062</v>
      </c>
      <c r="C9" s="98">
        <v>625279.5330499023</v>
      </c>
      <c r="D9" s="98">
        <v>10064245.231057212</v>
      </c>
      <c r="E9" s="98">
        <v>4056654.021428572</v>
      </c>
      <c r="F9" s="98">
        <v>406847.20449951652</v>
      </c>
      <c r="G9" s="98">
        <v>4313680.5732663516</v>
      </c>
      <c r="H9" s="98">
        <v>7246830.0557686957</v>
      </c>
      <c r="I9" s="98">
        <v>5894460.9826540239</v>
      </c>
      <c r="J9" s="98">
        <v>5459586.3847073605</v>
      </c>
      <c r="K9" s="98">
        <v>155676.39786028923</v>
      </c>
      <c r="L9" s="98">
        <v>3430162.8411841593</v>
      </c>
      <c r="M9" s="98">
        <v>7503558.7553583998</v>
      </c>
      <c r="N9" s="98">
        <v>2640.2999999999997</v>
      </c>
      <c r="O9" s="98">
        <v>11732.163313485413</v>
      </c>
      <c r="P9" s="98">
        <v>15807000</v>
      </c>
      <c r="Q9" s="98">
        <v>4950975.7790380809</v>
      </c>
      <c r="R9" s="98">
        <v>651031.10230656969</v>
      </c>
      <c r="S9" s="98">
        <v>317838.9347158657</v>
      </c>
      <c r="T9" s="98">
        <v>4120403.4511129856</v>
      </c>
      <c r="U9" s="98">
        <v>841.5</v>
      </c>
      <c r="V9" s="98">
        <v>13645525.680711333</v>
      </c>
      <c r="W9" s="98">
        <v>2682205.3542822879</v>
      </c>
      <c r="X9" s="98">
        <v>5902432.813047355</v>
      </c>
      <c r="Y9" s="98">
        <v>286505.13190895261</v>
      </c>
      <c r="Z9" s="98">
        <v>98058539.995089233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AC202" sqref="AC202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19.81115680323347</v>
      </c>
      <c r="C7" s="238">
        <v>0</v>
      </c>
      <c r="D7" s="238">
        <v>11.233379459920556</v>
      </c>
      <c r="E7" s="238">
        <v>24.669724856822906</v>
      </c>
      <c r="F7" s="238">
        <v>1.1331835E-3</v>
      </c>
      <c r="G7" s="238">
        <v>2.9126775873857147</v>
      </c>
      <c r="H7" s="238">
        <v>7.4864703205546164</v>
      </c>
      <c r="I7" s="238">
        <v>44.662476881731756</v>
      </c>
      <c r="J7" s="238">
        <v>0</v>
      </c>
      <c r="K7" s="238">
        <v>110.77701909314902</v>
      </c>
    </row>
    <row r="8" spans="1:11" x14ac:dyDescent="0.25">
      <c r="A8" s="79">
        <v>2050</v>
      </c>
      <c r="B8" s="238">
        <v>19.906120705526224</v>
      </c>
      <c r="C8" s="238">
        <v>0</v>
      </c>
      <c r="D8" s="238">
        <v>11.233379459920556</v>
      </c>
      <c r="E8" s="238">
        <v>24.589063627524784</v>
      </c>
      <c r="F8" s="238">
        <v>1.1331835E-3</v>
      </c>
      <c r="G8" s="238">
        <v>2.9126775873857147</v>
      </c>
      <c r="H8" s="238">
        <v>7.4864703205546164</v>
      </c>
      <c r="I8" s="238">
        <v>41.432909409895991</v>
      </c>
      <c r="J8" s="238">
        <v>0</v>
      </c>
      <c r="K8" s="238">
        <v>107.56175429430789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7.5365451248242881</v>
      </c>
      <c r="C11" s="238">
        <v>2.1694819870080004</v>
      </c>
      <c r="D11" s="238">
        <v>1.420171986175</v>
      </c>
      <c r="E11" s="238">
        <v>0.45076703431999993</v>
      </c>
      <c r="F11" s="238">
        <v>0</v>
      </c>
      <c r="G11" s="238">
        <v>5.0922829580050006</v>
      </c>
      <c r="H11" s="238">
        <v>0</v>
      </c>
      <c r="I11" s="238">
        <v>0</v>
      </c>
      <c r="J11" s="238">
        <v>0</v>
      </c>
      <c r="K11" s="238">
        <v>16.669249090332286</v>
      </c>
    </row>
    <row r="12" spans="1:11" x14ac:dyDescent="0.25">
      <c r="A12" s="79">
        <v>2050</v>
      </c>
      <c r="B12" s="238">
        <v>7.5945634625016289</v>
      </c>
      <c r="C12" s="238">
        <v>2.1694819870080004</v>
      </c>
      <c r="D12" s="238">
        <v>1.420171986175</v>
      </c>
      <c r="E12" s="238">
        <v>0.45076703431999993</v>
      </c>
      <c r="F12" s="238">
        <v>0</v>
      </c>
      <c r="G12" s="238">
        <v>5.0922829580050006</v>
      </c>
      <c r="H12" s="238">
        <v>0</v>
      </c>
      <c r="I12" s="238">
        <v>0</v>
      </c>
      <c r="J12" s="238">
        <v>0</v>
      </c>
      <c r="K12" s="238">
        <v>16.727267428009629</v>
      </c>
    </row>
    <row r="13" spans="1:11" x14ac:dyDescent="0.25">
      <c r="A13" s="78" t="s">
        <v>295</v>
      </c>
      <c r="B13" s="238">
        <v>57.261208033261994</v>
      </c>
      <c r="C13" s="238">
        <v>0</v>
      </c>
      <c r="D13" s="238">
        <v>22.466758919841112</v>
      </c>
      <c r="E13" s="238">
        <v>68.832378972904877</v>
      </c>
      <c r="F13" s="238">
        <v>2.266367E-3</v>
      </c>
      <c r="G13" s="238">
        <v>5.8253551747714294</v>
      </c>
      <c r="H13" s="238">
        <v>18.923987768938812</v>
      </c>
      <c r="I13" s="238">
        <v>133.58448121596959</v>
      </c>
      <c r="J13" s="238">
        <v>0</v>
      </c>
      <c r="K13" s="238">
        <v>306.89643645268779</v>
      </c>
    </row>
    <row r="14" spans="1:11" x14ac:dyDescent="0.25">
      <c r="A14" s="78" t="s">
        <v>247</v>
      </c>
      <c r="B14" s="238">
        <v>22.614263291532918</v>
      </c>
      <c r="C14" s="238">
        <v>6.5084459610240017</v>
      </c>
      <c r="D14" s="238">
        <v>4.2605159585250005</v>
      </c>
      <c r="E14" s="238">
        <v>1.3523011029599998</v>
      </c>
      <c r="F14" s="238">
        <v>0</v>
      </c>
      <c r="G14" s="238">
        <v>15.276848874015004</v>
      </c>
      <c r="H14" s="238">
        <v>0</v>
      </c>
      <c r="I14" s="238">
        <v>0</v>
      </c>
      <c r="J14" s="238">
        <v>0</v>
      </c>
      <c r="K14" s="238">
        <v>50.012375188056922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1356331.4163449779</v>
      </c>
      <c r="C4" s="239">
        <v>128467.8</v>
      </c>
      <c r="D4" s="239">
        <v>1220808.2513568106</v>
      </c>
      <c r="E4" s="239">
        <v>2144239.6902705692</v>
      </c>
      <c r="F4" s="239">
        <v>189.39</v>
      </c>
      <c r="G4" s="239">
        <v>1109681.5179761907</v>
      </c>
      <c r="H4" s="239">
        <v>1485511.5945687837</v>
      </c>
      <c r="I4" s="239">
        <v>7445229.6605173321</v>
      </c>
    </row>
    <row r="5" spans="1:9" x14ac:dyDescent="0.25">
      <c r="A5" s="78">
        <v>2050</v>
      </c>
      <c r="B5" s="239">
        <v>1374725.705834579</v>
      </c>
      <c r="C5" s="239">
        <v>128467.8</v>
      </c>
      <c r="D5" s="239">
        <v>1220808.2513568108</v>
      </c>
      <c r="E5" s="239">
        <v>2136938.6674309736</v>
      </c>
      <c r="F5" s="239">
        <v>189.39</v>
      </c>
      <c r="G5" s="239">
        <v>1109681.5179761907</v>
      </c>
      <c r="H5" s="239">
        <v>1375304.7672248303</v>
      </c>
      <c r="I5" s="239">
        <v>7346116.0998233845</v>
      </c>
    </row>
    <row r="6" spans="1:9" x14ac:dyDescent="0.25">
      <c r="A6" s="78" t="s">
        <v>61</v>
      </c>
      <c r="B6" s="239">
        <v>3808362.062179557</v>
      </c>
      <c r="C6" s="239">
        <v>385403.4</v>
      </c>
      <c r="D6" s="239">
        <v>2570342.8627136215</v>
      </c>
      <c r="E6" s="239">
        <v>5956596.3483567704</v>
      </c>
      <c r="F6" s="239">
        <v>378.78</v>
      </c>
      <c r="G6" s="239">
        <v>2923379.1517857146</v>
      </c>
      <c r="H6" s="239">
        <v>4436689.8402247904</v>
      </c>
      <c r="I6" s="239">
        <v>20081152.445260454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11164025.44152257</v>
      </c>
      <c r="C4" s="98">
        <v>-158.43719999999996</v>
      </c>
      <c r="D4" s="98">
        <v>5519261.9007367166</v>
      </c>
      <c r="E4" s="98">
        <v>6549977.7837975938</v>
      </c>
      <c r="F4" s="98">
        <v>-739848.59491668525</v>
      </c>
      <c r="G4" s="98">
        <v>-165207.21089505975</v>
      </c>
      <c r="H4" s="98">
        <v>0</v>
      </c>
      <c r="I4" s="98">
        <v>22328050.883045129</v>
      </c>
    </row>
    <row r="5" spans="1:9" x14ac:dyDescent="0.25">
      <c r="A5" s="78">
        <v>2050</v>
      </c>
      <c r="B5" s="98">
        <v>10776813.115488859</v>
      </c>
      <c r="C5" s="98">
        <v>-158.43719999999996</v>
      </c>
      <c r="D5" s="98">
        <v>5519261.9007367166</v>
      </c>
      <c r="E5" s="98">
        <v>6549977.7837975938</v>
      </c>
      <c r="F5" s="98">
        <v>-1127060.9209503944</v>
      </c>
      <c r="G5" s="98">
        <v>-165207.21089505975</v>
      </c>
      <c r="H5" s="98">
        <v>0</v>
      </c>
      <c r="I5" s="98">
        <v>21553626.23097771</v>
      </c>
    </row>
    <row r="6" spans="1:9" x14ac:dyDescent="0.25">
      <c r="A6" s="78" t="s">
        <v>61</v>
      </c>
      <c r="B6" s="98">
        <v>36458300.999387272</v>
      </c>
      <c r="C6" s="98">
        <v>-475.31159999999988</v>
      </c>
      <c r="D6" s="98">
        <v>16557785.702210151</v>
      </c>
      <c r="E6" s="98">
        <v>22825421.757329367</v>
      </c>
      <c r="F6" s="98">
        <v>-2428809.5158670796</v>
      </c>
      <c r="G6" s="98">
        <v>-495621.63268517924</v>
      </c>
      <c r="H6" s="98">
        <v>0</v>
      </c>
      <c r="I6" s="98">
        <v>72916601.998774514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9538570.0866147242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5069555.7415848225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4155713.5630745986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1037730.055244103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65.998469138771299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-158.24317477886137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-572326.01664430613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-152011.01193885587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9239033.5467373915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5069555.7415848225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4155713.5630745986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1037730.055244103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65.998469138771299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-158.24317477886137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-871862.55652163725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-152011.01193885587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1625455.3549078461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449706.1591518941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1244614.3784581725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111846.67809052246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7.1104610596313274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-0.19402522113858015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-167522.57827237912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-13196.198956203871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1537779.5687514679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449706.1591518941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1244614.3784581725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111846.67809052246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7.1104610596313274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-0.19402522113858015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-255198.36442875714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-13196.198956203871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278699.35387600982</v>
      </c>
      <c r="C6" s="98">
        <v>1405561.2688290682</v>
      </c>
      <c r="D6" s="98">
        <v>40686.374061947514</v>
      </c>
      <c r="E6" s="98">
        <v>15389848.15800428</v>
      </c>
      <c r="F6" s="98">
        <v>278911.32931372407</v>
      </c>
      <c r="G6" s="98">
        <v>885315.35589861078</v>
      </c>
      <c r="H6" s="98">
        <v>2162201.3179389434</v>
      </c>
      <c r="I6" s="98">
        <v>8911024.563177228</v>
      </c>
      <c r="J6" s="98">
        <v>7763383.3450375833</v>
      </c>
      <c r="K6" s="98">
        <v>1948665.320823289</v>
      </c>
      <c r="L6" s="98">
        <v>181154.31424708109</v>
      </c>
      <c r="M6" s="98">
        <v>668434.85004951945</v>
      </c>
      <c r="N6" s="98">
        <v>2620364.063254239</v>
      </c>
      <c r="O6" s="98">
        <v>42534249.61451152</v>
      </c>
    </row>
    <row r="7" spans="1:15" x14ac:dyDescent="0.25">
      <c r="A7" s="78">
        <v>2050</v>
      </c>
      <c r="B7" s="98">
        <v>278699.35387600982</v>
      </c>
      <c r="C7" s="98">
        <v>1405561.2688290682</v>
      </c>
      <c r="D7" s="98">
        <v>40686.374061947514</v>
      </c>
      <c r="E7" s="98">
        <v>15389848.15800428</v>
      </c>
      <c r="F7" s="98">
        <v>278911.32931372407</v>
      </c>
      <c r="G7" s="98">
        <v>885315.35589861078</v>
      </c>
      <c r="H7" s="98">
        <v>2162201.3179389434</v>
      </c>
      <c r="I7" s="98">
        <v>8911024.563177228</v>
      </c>
      <c r="J7" s="98">
        <v>7763383.3450375833</v>
      </c>
      <c r="K7" s="98">
        <v>1948665.320823289</v>
      </c>
      <c r="L7" s="98">
        <v>181154.31424708109</v>
      </c>
      <c r="M7" s="98">
        <v>668434.85004951945</v>
      </c>
      <c r="N7" s="98">
        <v>2620364.063254239</v>
      </c>
      <c r="O7" s="98">
        <v>42534249.61451152</v>
      </c>
    </row>
    <row r="8" spans="1:15" x14ac:dyDescent="0.25">
      <c r="A8" s="78" t="s">
        <v>61</v>
      </c>
      <c r="B8" s="98">
        <v>842524.80973669852</v>
      </c>
      <c r="C8" s="98">
        <v>4313680.5732663516</v>
      </c>
      <c r="D8" s="98">
        <v>123100.63801666655</v>
      </c>
      <c r="E8" s="98">
        <v>48723135.011578739</v>
      </c>
      <c r="F8" s="98">
        <v>838432.080080393</v>
      </c>
      <c r="G8" s="98">
        <v>2682205.3542822879</v>
      </c>
      <c r="H8" s="98">
        <v>6586721.4765114533</v>
      </c>
      <c r="I8" s="98">
        <v>26931837.095798872</v>
      </c>
      <c r="J8" s="98">
        <v>23474461.983921908</v>
      </c>
      <c r="K8" s="98">
        <v>5902432.813047355</v>
      </c>
      <c r="L8" s="98">
        <v>572091.0158891622</v>
      </c>
      <c r="M8" s="98">
        <v>2015277.5173774692</v>
      </c>
      <c r="N8" s="98">
        <v>7870151.2624950483</v>
      </c>
      <c r="O8" s="98">
        <v>130876051.6320024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6660662.8299724497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251942.51103552672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476340.01515460305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13475308.007050257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183141.32099151294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2048170.9409103482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373912.94111232943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7401057.8539744057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25103.663143485108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1558166.0944741257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816683.24927192752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741510.76618312241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146406.17107700335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6660662.8299724497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251942.51103552672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476340.01515460305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13475308.007050257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183141.32099151294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2048170.9409103482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373912.94111232943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7401057.8539744057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25103.663143485108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1558166.0944741257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816683.24927192752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741510.76618312241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146406.17107700335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2250361.7332047778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26756.842840483081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192094.83489491633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1914540.1509540223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95770.008322211143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114030.37702859532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2246451.1221419098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362325.49106317805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15582.71091846241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390499.22634916333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588878.01955714053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143804.58971548834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34748.143170077739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2250361.7332047778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26756.842840483081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192094.83489491633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1914540.1509540223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95770.008322211143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114030.37702859532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2246451.1221419098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362325.49106317805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15582.71091846241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390499.22634916333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588878.01955714053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143804.58971548834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34748.143170077739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2851556.9755475889</v>
      </c>
      <c r="C7" s="239">
        <v>784233.65417649108</v>
      </c>
      <c r="D7" s="239">
        <v>3635790.6297240797</v>
      </c>
    </row>
    <row r="8" spans="1:4" x14ac:dyDescent="0.25">
      <c r="A8" s="78">
        <v>2050</v>
      </c>
      <c r="B8" s="239">
        <v>2628729.3549700924</v>
      </c>
      <c r="C8" s="239">
        <v>728920.99629092962</v>
      </c>
      <c r="D8" s="239">
        <v>3357650.351261022</v>
      </c>
    </row>
    <row r="9" spans="1:4" x14ac:dyDescent="0.25">
      <c r="A9" s="78" t="s">
        <v>61</v>
      </c>
      <c r="B9" s="239">
        <v>8490524.822842367</v>
      </c>
      <c r="C9" s="239">
        <v>2340847.8553896248</v>
      </c>
      <c r="D9" s="239">
        <v>10831372.678231992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880.09999999999991</v>
      </c>
      <c r="C7" s="239">
        <v>382.5</v>
      </c>
      <c r="D7" s="239">
        <v>1262.5999999999999</v>
      </c>
    </row>
    <row r="8" spans="1:4" x14ac:dyDescent="0.25">
      <c r="A8" s="78">
        <v>2050</v>
      </c>
      <c r="B8" s="239">
        <v>880.09999999999991</v>
      </c>
      <c r="C8" s="239">
        <v>382.5</v>
      </c>
      <c r="D8" s="239">
        <v>1262.5999999999999</v>
      </c>
    </row>
    <row r="9" spans="1:4" x14ac:dyDescent="0.25">
      <c r="A9" s="78" t="s">
        <v>61</v>
      </c>
      <c r="B9" s="239">
        <v>2640.2999999999997</v>
      </c>
      <c r="C9" s="239">
        <v>841.5</v>
      </c>
      <c r="D9" s="239">
        <v>3481.7999999999997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2478369.9999999995</v>
      </c>
      <c r="E6" s="239">
        <v>572920</v>
      </c>
      <c r="F6" s="239">
        <v>561900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2478369.9999999995</v>
      </c>
      <c r="E7" s="239">
        <v>572920</v>
      </c>
      <c r="F7" s="239">
        <v>561900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7535110</v>
      </c>
      <c r="E8" s="239">
        <v>1618760</v>
      </c>
      <c r="F8" s="239">
        <v>1685700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75529.477832668155</v>
      </c>
      <c r="C7" s="239">
        <v>5018.9357347281402</v>
      </c>
      <c r="D7" s="239">
        <v>259420.84580784471</v>
      </c>
      <c r="E7" s="239">
        <v>12691.43089649695</v>
      </c>
      <c r="F7" s="239">
        <v>18532.273380057628</v>
      </c>
      <c r="G7" s="239">
        <v>53252.861443761023</v>
      </c>
      <c r="H7" s="239">
        <v>1315844.5557046072</v>
      </c>
      <c r="I7" s="239">
        <v>176947.20620019</v>
      </c>
      <c r="J7" s="239">
        <v>68458.477525207447</v>
      </c>
      <c r="K7" s="239">
        <v>159637.62253140187</v>
      </c>
      <c r="L7" s="239">
        <v>33877.965249666944</v>
      </c>
      <c r="M7" s="239">
        <v>188936.32165572047</v>
      </c>
      <c r="N7" s="239">
        <v>7671.3072982264957</v>
      </c>
      <c r="O7" s="239">
        <v>102550.71873942249</v>
      </c>
      <c r="P7" s="239">
        <v>2478369.9999999991</v>
      </c>
    </row>
    <row r="8" spans="1:16" x14ac:dyDescent="0.25">
      <c r="A8" s="78">
        <v>2050</v>
      </c>
      <c r="B8" s="239">
        <v>75529.477832668155</v>
      </c>
      <c r="C8" s="239">
        <v>5018.9357347281402</v>
      </c>
      <c r="D8" s="239">
        <v>259420.84580784471</v>
      </c>
      <c r="E8" s="239">
        <v>12691.43089649695</v>
      </c>
      <c r="F8" s="239">
        <v>18532.273380057628</v>
      </c>
      <c r="G8" s="239">
        <v>53252.861443761023</v>
      </c>
      <c r="H8" s="239">
        <v>1315844.5557046072</v>
      </c>
      <c r="I8" s="239">
        <v>176947.20620019</v>
      </c>
      <c r="J8" s="239">
        <v>68458.477525207447</v>
      </c>
      <c r="K8" s="239">
        <v>159637.62253140187</v>
      </c>
      <c r="L8" s="239">
        <v>33877.965249666944</v>
      </c>
      <c r="M8" s="239">
        <v>188936.32165572047</v>
      </c>
      <c r="N8" s="239">
        <v>7671.3072982264957</v>
      </c>
      <c r="O8" s="239">
        <v>102550.71873942249</v>
      </c>
      <c r="P8" s="239">
        <v>2478369.9999999991</v>
      </c>
    </row>
    <row r="9" spans="1:16" x14ac:dyDescent="0.25">
      <c r="A9" s="78" t="s">
        <v>61</v>
      </c>
      <c r="B9" s="239">
        <v>227912.16853175865</v>
      </c>
      <c r="C9" s="239">
        <v>15152.652362562189</v>
      </c>
      <c r="D9" s="239">
        <v>807773.10727133742</v>
      </c>
      <c r="E9" s="239">
        <v>38134.940361821893</v>
      </c>
      <c r="F9" s="239">
        <v>56007.243226861479</v>
      </c>
      <c r="G9" s="239">
        <v>161581.24368950352</v>
      </c>
      <c r="H9" s="239">
        <v>3969510.4440922155</v>
      </c>
      <c r="I9" s="239">
        <v>534035.08828348445</v>
      </c>
      <c r="J9" s="239">
        <v>206855.59111955529</v>
      </c>
      <c r="K9" s="239">
        <v>480706.86739549699</v>
      </c>
      <c r="L9" s="239">
        <v>101722.28736305292</v>
      </c>
      <c r="M9" s="239">
        <v>598877.65838774701</v>
      </c>
      <c r="N9" s="239">
        <v>23922.241983027401</v>
      </c>
      <c r="O9" s="239">
        <v>312918.46593157388</v>
      </c>
      <c r="P9" s="239">
        <v>7535109.9999999981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1847465.5978301479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434670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1847465.5978301479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434670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71071.913970687048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75166.592141837755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552170.40216985194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127230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552170.40216985194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127230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7660.0860293129354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8101.4078581622398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10313649.885301495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1183003.2176968176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10313649.885301495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1183003.2176968176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428793.11469850544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209460.78230318238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853064.00210361299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5979978.6547463275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1951850.0829625644</v>
      </c>
      <c r="J16" s="76">
        <f t="shared" si="2"/>
        <v>1951850.0829625644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58939.484550716581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227506.41036576603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67541.817252888548</v>
      </c>
      <c r="J17" s="76">
        <f t="shared" si="2"/>
        <v>67541.817252888548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428793.11469850544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99115.06241944003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436106.27464553615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232926.54181955411</v>
      </c>
      <c r="J18" s="76">
        <f t="shared" si="2"/>
        <v>232926.54181955411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209460.78230318238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188981.25083524975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9377249.6664450932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9377249.6664450932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7313.1446192208541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151747.75084883274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151747.75084883274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43565.33101601588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1850258.7939976689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1850258.7939976689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4252.8843446697592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345562.72197585326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345562.72197585326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145638.34626271055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6482362.7921532467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6482362.7921532467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2676.1448409922077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22720.469700023848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22720.469700023848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47330.033772765404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1410243.012533868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1410243.012533868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49787.032963432102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711399.98164280283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118184.45884859514</v>
      </c>
      <c r="J26" s="76">
        <f t="shared" si="2"/>
        <v>118184.45884859514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13422.322311297707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671116.11556488543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671116.11556488543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4937.1607996010098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120418.55608782951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120418.55608782951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119003.01274629038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1641051.5457713446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1641051.5457713446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853064.00210361299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5979978.6547463275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1951850.0829625644</v>
      </c>
      <c r="J30" s="76">
        <f t="shared" si="2"/>
        <v>1951850.0829625644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58939.484550716581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227506.41036576603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67541.817252888548</v>
      </c>
      <c r="J31" s="76">
        <f t="shared" si="2"/>
        <v>67541.817252888548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99115.06241944003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436106.27464553615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232926.54181955411</v>
      </c>
      <c r="J32" s="76">
        <f t="shared" si="2"/>
        <v>232926.54181955411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15447.000000000002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188981.25083524975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9377249.6664450932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9377249.6664450932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16512.999999999996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7313.1446192208541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151747.75084883274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151747.75084883274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43565.33101601588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1850258.7939976689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1850258.7939976689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15447.000000000002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4252.8843446697592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345562.72197585326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345562.72197585326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16512.999999999996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145638.34626271055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6482362.7921532467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6482362.7921532467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2676.1448409922077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22720.469700023848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22720.469700023848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47330.033772765404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1410243.012533868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1410243.012533868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49787.032963432102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711399.98164280283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118184.45884859514</v>
      </c>
      <c r="J40" s="76">
        <f t="shared" si="2"/>
        <v>118184.45884859514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13422.322311297707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671116.11556488543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671116.11556488543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4937.1607996010098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120418.55608782951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120418.55608782951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119003.01274629038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1641051.5457713446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1641051.5457713446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109074.05508995618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512288.11454099719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167209.55986589516</v>
      </c>
      <c r="J58" s="76">
        <f t="shared" si="2"/>
        <v>167209.55986589516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7536.0917457605292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16580.909059022317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4922.5194479169131</v>
      </c>
      <c r="J59" s="76">
        <f t="shared" si="2"/>
        <v>4922.5194479169131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12673.001969281737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30668.664765661812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16380.287194663799</v>
      </c>
      <c r="J60" s="76">
        <f t="shared" si="2"/>
        <v>16380.287194663799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24163.428903039348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935211.68689167371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935211.68689167371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935.06974518991217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11059.537411233687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11059.537411233687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5570.3291939822529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134848.82799393893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134848.82799393893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543.78023238328944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25184.978559760264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25184.978559760264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18621.539490936779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687941.11987552466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687941.11987552466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342.17593181200988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1655.8919868178593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1655.8919868178593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6051.6897892885954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102780.0100417052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102780.0100417052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6365.8454264012817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51847.586981155291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8613.4090077190758</v>
      </c>
      <c r="J68" s="76">
        <f t="shared" si="2"/>
        <v>8613.4090077190758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1716.1984559275936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48911.655993936416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48911.655993936416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631.27285609954106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8776.2323896765465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8776.2323896765465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15215.905414073572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209827.33566007458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209827.33566007458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109074.05508995618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512288.11454099719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167209.55986589516</v>
      </c>
      <c r="J72" s="76">
        <f t="shared" ref="J72:J139" si="15">IF(I72&lt;&gt;0,I72,H72)</f>
        <v>167209.55986589516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7536.0917457605292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16580.909059022317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4922.5194479169131</v>
      </c>
      <c r="J73" s="76">
        <f t="shared" si="15"/>
        <v>4922.5194479169131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12673.001969281737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30668.664765661812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16380.287194663799</v>
      </c>
      <c r="J74" s="76">
        <f t="shared" si="15"/>
        <v>16380.287194663799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24163.428903039348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935211.68689167371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935211.68689167371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935.06974518991217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11059.537411233687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11059.537411233687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5570.3291939822529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134848.82799393893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134848.82799393893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543.78023238328944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25184.978559760264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25184.978559760264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18621.539490936779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687941.11987552466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687941.11987552466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342.17593181200988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1655.8919868178593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1655.8919868178593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6051.6897892885954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102780.0100417052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102780.0100417052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6365.8454264012817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51847.586981155291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8613.4090077190758</v>
      </c>
      <c r="J82" s="76">
        <f t="shared" si="15"/>
        <v>8613.4090077190758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1716.1984559275936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48911.655993936416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48911.655993936416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631.27285609954106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8776.2323896765465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8776.2323896765465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15215.905414073572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209827.33566007458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209827.33566007458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18438.584695135654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155105.37445548113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50626.006458832911</v>
      </c>
      <c r="J100" s="76">
        <f t="shared" si="15"/>
        <v>50626.006458832911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1580.6329773903628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7321.4919512721608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2173.5953312097508</v>
      </c>
      <c r="J101" s="76">
        <f t="shared" si="15"/>
        <v>2173.5953312097508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1692.5149191501318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8936.4787731126962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4773.0179951133568</v>
      </c>
      <c r="J102" s="76">
        <f t="shared" si="15"/>
        <v>4773.0179951133568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15619.125095440719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930025.18468292209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930025.18468292209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73.051235569092569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1818.9757656704051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1818.9757656704051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1153.2896677317658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58777.499446875452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58777.499446875452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30.25692281705253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2950.1854534215036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2950.1854534215036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3905.7140494222053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208611.99880773883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208611.99880773883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66.537196398441907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677.88095690732621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677.88095690732621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1176.7702945090889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42075.577460765489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42075.577460765489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2904.6161154278734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49804.386279756334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8273.9732817632248</v>
      </c>
      <c r="J110" s="76">
        <f t="shared" si="15"/>
        <v>8273.9732817632248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333.7202389310454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20023.214335862725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20023.214335862725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548.09168890611136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16041.707967983748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16041.707967983748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15491.84722036339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256359.0878025734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256359.0878025734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18438.584695135654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155105.37445548113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50626.006458832911</v>
      </c>
      <c r="J114" s="76">
        <f t="shared" si="15"/>
        <v>50626.006458832911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1580.6329773903628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7321.4919512721608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2173.5953312097508</v>
      </c>
      <c r="J115" s="76">
        <f t="shared" si="15"/>
        <v>2173.5953312097508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1692.5149191501318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8936.4787731126962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4773.0179951133568</v>
      </c>
      <c r="J116" s="76">
        <f t="shared" si="15"/>
        <v>4773.0179951133568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15619.125095440719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930025.18468292209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930025.18468292209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73.051235569092569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1818.9757656704051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1818.9757656704051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1153.2896677317658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58777.499446875452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58777.499446875452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30.25692281705253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2950.1854534215036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2950.1854534215036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3905.7140494222053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208611.99880773883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208611.99880773883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66.537196398441907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677.88095690732621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677.88095690732621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1176.7702945090889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42075.577460765489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42075.577460765489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2904.6161154278734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49804.386279756334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8273.9732817632248</v>
      </c>
      <c r="J124" s="76">
        <f t="shared" si="15"/>
        <v>8273.9732817632248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333.7202389310454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20023.214335862725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20023.214335862725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548.09168890611136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16041.707967983748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16041.707967983748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15491.84722036339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256359.0878025734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256359.0878025734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2357.5853603699165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13287.445394459262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4336.9889581380185</v>
      </c>
      <c r="J142" s="76">
        <f t="shared" si="29"/>
        <v>4336.9889581380185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202.10212601602367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533.59811719254628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158.41393857853032</v>
      </c>
      <c r="J143" s="76">
        <f t="shared" si="29"/>
        <v>158.41393857853032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216.4075205104383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628.44743956231298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335.65691970742921</v>
      </c>
      <c r="J144" s="76">
        <f t="shared" si="29"/>
        <v>335.65691970742921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1997.0849864909596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92753.254179781812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92753.254179781812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9.3404416001658657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132.56888763115413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132.56888763115413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147.46136332402992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4283.7666485024329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4283.7666485024329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3.8686959689560227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215.01265231071139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215.01265231071139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499.39051271858744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22138.96023421991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22138.96023421991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8.5075466877025647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49.404684822958828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49.404684822958828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150.46363182011089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3066.5128176440194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3066.5128176440194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371.38861493170089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3629.796621191475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603.01596918141229</v>
      </c>
      <c r="J152" s="76">
        <f t="shared" si="29"/>
        <v>603.01596918141229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42.6699750968709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1459.3131483129846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1459.3131483129846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70.07983330989407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1169.1367313162814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1169.1367313162814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1980.8110446487499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32778.461166847512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32778.461166847512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2357.5853603699165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13287.445394459262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4336.9889581380185</v>
      </c>
      <c r="J156" s="76">
        <f t="shared" si="29"/>
        <v>4336.9889581380185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202.10212601602367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533.59811719254628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158.41393857853032</v>
      </c>
      <c r="J157" s="76">
        <f t="shared" si="29"/>
        <v>158.41393857853032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216.4075205104383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628.44743956231298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335.65691970742921</v>
      </c>
      <c r="J158" s="76">
        <f t="shared" si="29"/>
        <v>335.65691970742921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1997.0849864909596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92753.254179781812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92753.254179781812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9.3404416001658657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132.56888763115413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132.56888763115413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147.46136332402992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4283.7666485024329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4283.7666485024329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3.8686959689560227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215.01265231071139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215.01265231071139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499.39051271858744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22138.96023421991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22138.96023421991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8.5075466877025647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49.404684822958828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49.404684822958828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150.46363182011089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3066.5128176440194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3066.5128176440194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371.38861493170089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3629.796621191475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603.01596918141229</v>
      </c>
      <c r="J166" s="76">
        <f t="shared" si="29"/>
        <v>603.01596918141229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42.6699750968709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1459.3131483129846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1459.3131483129846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70.07983330989407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1169.1367313162814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1169.1367313162814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1980.8110446487499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32778.461166847512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32778.461166847512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0.30416845283755972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2.9851091961478109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0.97433217884965517</v>
      </c>
      <c r="J184" s="76">
        <f t="shared" si="29"/>
        <v>0.97433217884965517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1.7513782962418761E-2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9.4644483128910994E-2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2.8097935232724774E-2</v>
      </c>
      <c r="J185" s="76">
        <f t="shared" si="29"/>
        <v>2.8097935232724774E-2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2.2679555872219294E-2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0.13970606417287085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7.4617707405051192E-2</v>
      </c>
      <c r="J186" s="76">
        <f t="shared" si="29"/>
        <v>7.4617707405051192E-2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0.52306215159126412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36.33608154674193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36.33608154674193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6.0796168101649132E-4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1.7661286833529074E-2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1.7661286833529074E-2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3.2179590057482679E-2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1.9133745880845439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1.9133745880845439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3.4799210435467126E-4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3.9585919739545707E-2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3.9585919739545707E-2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4.3276224875293617E-2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2.6967146768790466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2.6967146768790466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1.2401650971412253E-3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1.4740602344620605E-2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1.4740602344620605E-2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2.1933437619817524E-2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0.91493845556457565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0.91493845556457565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6.9784865361652376E-2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1.3960047139817293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0.23191743875368662</v>
      </c>
      <c r="J194" s="76">
        <f t="shared" si="29"/>
        <v>0.23191743875368662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6.2201026633818953E-3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0.43540718643673265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0.43540718643673265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1.4682700657681706E-2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0.50136051026230211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0.50136051026230211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0.54304356219035677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10.483999011647029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10.483999011647029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0.30416845283755972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2.9851091961478109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0.97433217884965517</v>
      </c>
      <c r="J198" s="76">
        <f t="shared" si="29"/>
        <v>0.97433217884965517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1.7513782962418761E-2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9.4644483128910994E-2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2.8097935232724774E-2</v>
      </c>
      <c r="J199" s="76">
        <f t="shared" si="29"/>
        <v>2.8097935232724774E-2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2.2679555872219294E-2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0.13970606417287085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7.4617707405051192E-2</v>
      </c>
      <c r="J200" s="76">
        <f t="shared" si="29"/>
        <v>7.4617707405051192E-2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0.52306215159126412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36.33608154674193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36.33608154674193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6.0796168101649132E-4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1.7661286833529074E-2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1.7661286833529074E-2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3.2179590057482679E-2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1.9133745880845439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1.9133745880845439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3.4799210435467126E-4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3.9585919739545707E-2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3.9585919739545707E-2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4.3276224875293617E-2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2.6967146768790466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2.6967146768790466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1.2401650971412253E-3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1.4740602344620605E-2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1.4740602344620605E-2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2.1933437619817524E-2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0.91493845556457565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0.91493845556457565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6.9784865361652376E-2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1.3960047139817293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0.23191743875368662</v>
      </c>
      <c r="J208" s="76">
        <f t="shared" si="29"/>
        <v>0.23191743875368662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6.2201026633818953E-3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0.43540718643673265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0.43540718643673265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1.4682700657681706E-2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0.50136051026230211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0.50136051026230211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0.54304356219035677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10.483999011647029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10.483999011647029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3.8891438977167236E-2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0.25572599002168589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8.346832382810325E-2</v>
      </c>
      <c r="J226" s="76">
        <f t="shared" si="42"/>
        <v>8.346832382810325E-2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2.2393388104124633E-3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6.8977905509373027E-3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2.0478073918492683E-3</v>
      </c>
      <c r="J227" s="76">
        <f t="shared" si="42"/>
        <v>2.0478073918492683E-3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2.8998423571057279E-3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9.824665905874207E-3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5.2474031836569441E-3</v>
      </c>
      <c r="J228" s="76">
        <f t="shared" si="42"/>
        <v>5.2474031836569441E-3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6.6879518766995133E-2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3.6238693995703812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3.6238693995703812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7.7734901161285674E-5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1.2871733608791488E-3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1.2871733608791488E-3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4.1145311137812529E-3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0.1394487741680267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0.1394487741680267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4.4494797421590129E-5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2.8850639160624332E-3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2.8850639160624332E-3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5.5333636450407616E-3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0.28618899840696815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0.28618899840696815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1.5856938728237767E-4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1.0743107702258544E-3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1.0743107702258544E-3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2.8044425475188643E-3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6.6681687350825275E-2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6.6681687350825275E-2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8.9227985592311137E-3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0.10174230770589557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1.6902389497482448E-2</v>
      </c>
      <c r="J236" s="76">
        <f t="shared" si="42"/>
        <v>1.6902389497482448E-2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7.9531174554062993E-4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3.1732938647071128E-2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3.1732938647071128E-2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1.8773523398667479E-3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3.6539687005211333E-2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3.6539687005211333E-2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6.9434372183721241E-2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1.3404999893789222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1.3404999893789222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3.8891438977167236E-2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0.25572599002168589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8.346832382810325E-2</v>
      </c>
      <c r="J240" s="76">
        <f t="shared" si="42"/>
        <v>8.346832382810325E-2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2.2393388104124633E-3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6.8977905509373027E-3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2.0478073918492683E-3</v>
      </c>
      <c r="J241" s="76">
        <f t="shared" si="42"/>
        <v>2.0478073918492683E-3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2.8998423571057279E-3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9.824665905874207E-3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5.2474031836569441E-3</v>
      </c>
      <c r="J242" s="76">
        <f t="shared" si="42"/>
        <v>5.2474031836569441E-3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6.6879518766995133E-2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3.6238693995703812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3.6238693995703812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7.7734901161285674E-5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1.2871733608791488E-3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1.2871733608791488E-3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4.1145311137812529E-3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0.1394487741680267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0.1394487741680267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4.4494797421590129E-5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2.8850639160624332E-3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2.8850639160624332E-3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5.5333636450407616E-3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0.28618899840696815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0.28618899840696815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1.5856938728237767E-4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1.0743107702258544E-3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1.0743107702258544E-3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2.8044425475188643E-3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6.6681687350825275E-2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6.6681687350825275E-2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8.9227985592311137E-3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0.10174230770589557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1.6902389497482448E-2</v>
      </c>
      <c r="J250" s="76">
        <f t="shared" si="42"/>
        <v>1.6902389497482448E-2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7.9531174554062993E-4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3.1732938647071128E-2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3.1732938647071128E-2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1.8773523398667479E-3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3.6539687005211333E-2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3.6539687005211333E-2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6.9434372183721241E-2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1.3404999893789222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1.3404999893789222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292562.01681062597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2050859.7378424881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669395.49128244352</v>
      </c>
      <c r="J268" s="76">
        <f t="shared" si="42"/>
        <v>669395.49128244352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6376.3414137528825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24612.677857086128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7306.9808769558722</v>
      </c>
      <c r="J269" s="76">
        <f t="shared" si="42"/>
        <v>7306.9808769558722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40447.722327584328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177969.97824137105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95054.655228607488</v>
      </c>
      <c r="J270" s="76">
        <f t="shared" si="42"/>
        <v>95054.655228607488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24572.998517620537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1219312.186444331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1219312.186444331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3850.5952952805674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79899.852377071773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79899.852377071773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2470.1663355738019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104910.18611455506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104910.18611455506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25678.880997566026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2086504.8977723797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2086504.8977723797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7262.9431424427694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323273.59927012771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323273.59927012771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1689.9505584470551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14347.680241215501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14347.680241215501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12067.066633104925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359549.63570951426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359549.63570951426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37335.148248827281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533476.73476254696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88626.174913066206</v>
      </c>
      <c r="J278" s="76">
        <f t="shared" si="55"/>
        <v>88626.174913066206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2648.1429081925139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132407.14540962569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132407.14540962569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1258.7577822820135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30701.40932395155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30701.40932395155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31352.142273239417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432346.04194797156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432346.04194797156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292562.01681062597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2050859.7378424881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669395.49128244352</v>
      </c>
      <c r="J282" s="76">
        <f t="shared" si="55"/>
        <v>669395.49128244352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6376.3414137528825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24612.677857086128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7306.9808769558722</v>
      </c>
      <c r="J283" s="76">
        <f t="shared" si="55"/>
        <v>7306.9808769558722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40447.722327584328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177969.97824137105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95054.655228607488</v>
      </c>
      <c r="J284" s="76">
        <f t="shared" si="55"/>
        <v>95054.655228607488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24572.998517620537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1219312.186444331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1219312.186444331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3850.5952952805674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79899.852377071773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79899.852377071773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2470.1663355738019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104910.18611455506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104910.18611455506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25678.880997566026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2086504.8977723797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2086504.8977723797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7262.9431424427694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323273.59927012771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323273.59927012771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1689.9505584470551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14347.680241215501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14347.680241215501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12067.066633104925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359549.63570951426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359549.63570951426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37335.148248827281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533476.73476254696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88626.174913066206</v>
      </c>
      <c r="J292" s="76">
        <f t="shared" si="55"/>
        <v>88626.174913066206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2648.1429081925139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132407.14540962569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132407.14540962569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1258.7577822820135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30701.40932395155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30701.40932395155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31352.142273239417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432346.04194797156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432346.04194797156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37407.422491325582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175691.44121500885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57345.247183975873</v>
      </c>
      <c r="J310" s="76">
        <f t="shared" si="55"/>
        <v>57345.247183975873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815.28866875287099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1793.798128990067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532.54053466904622</v>
      </c>
      <c r="J311" s="76">
        <f t="shared" si="55"/>
        <v>532.54053466904622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5171.7070261351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12515.531003246942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6684.6076864892093</v>
      </c>
      <c r="J312" s="76">
        <f t="shared" si="55"/>
        <v>6684.6076864892093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3141.9408009562312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121604.41998388959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121604.41998388959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492.34294534860186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5823.1861861105881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5823.1861861105881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315.83920819930114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7645.9658984285725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7645.9658984285725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3283.3406094619722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152066.69520013814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152066.69520013814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928.65090834978378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34307.429102438567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34307.429102438567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216.07963746777307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1045.6741895977943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1045.6741895977943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1542.9134126721628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26204.359702741538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26204.359702741538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4773.7285911047593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38880.351590888582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6459.1698498517526</v>
      </c>
      <c r="J320" s="76">
        <f t="shared" si="55"/>
        <v>6459.1698498517526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338.59556228136813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9649.9735250189897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9649.9735250189897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160.94667615908057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2237.5513514799004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2237.5513514799004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4008.7323870971445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55280.419618069631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55280.419618069631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37407.422491325582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175691.44121500885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57345.247183975873</v>
      </c>
      <c r="J324" s="76">
        <f t="shared" si="55"/>
        <v>57345.247183975873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815.28866875287099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1793.798128990067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532.54053466904622</v>
      </c>
      <c r="J325" s="76">
        <f t="shared" si="55"/>
        <v>532.54053466904622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5171.7070261351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12515.531003246942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6684.6076864892093</v>
      </c>
      <c r="J326" s="76">
        <f t="shared" si="55"/>
        <v>6684.6076864892093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3141.9408009562312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121604.41998388959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121604.41998388959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492.34294534860186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5823.1861861105881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5823.1861861105881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315.83920819930114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7645.9658984285725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7645.9658984285725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3283.3406094619722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152066.69520013814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152066.69520013814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928.65090834978378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34307.429102438567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34307.429102438567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216.07963746777307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1045.6741895977943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1045.6741895977943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1542.9134126721628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26204.359702741538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26204.359702741538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4773.7285911047593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38880.351590888582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6459.1698498517526</v>
      </c>
      <c r="J334" s="76">
        <f t="shared" si="55"/>
        <v>6459.1698498517526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338.59556228136813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9649.9735250189897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9649.9735250189897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160.94667615908057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2237.5513514799004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2237.5513514799004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4008.7323870971445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55280.419618069631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55280.419618069631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2607.1402921123236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21931.264137248865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7158.3097862376862</v>
      </c>
      <c r="J352" s="76">
        <f t="shared" si="60"/>
        <v>7158.3097862376862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70.501240964925429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326.56174814953465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96.949241473411405</v>
      </c>
      <c r="J353" s="76">
        <f t="shared" si="60"/>
        <v>96.949241473411405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284.76552549155969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1503.5619745954352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803.05996844129504</v>
      </c>
      <c r="J354" s="76">
        <f t="shared" si="60"/>
        <v>803.05996844129504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837.32996270399724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49857.975299246813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49857.975299246813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15.858122690552644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394.8672549947608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394.8672549947608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26.960259947487696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1374.0317879268807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1374.0317879268807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75.321294136474407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7344.1634378322387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7344.1634378322387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80.304122909023874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4289.2038128167833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4289.2038128167833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17.323250086121135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176.48927187740213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176.48927187740213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123.69640759387546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4422.7814073992404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4422.7814073992404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898.0300532314609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15398.191666158042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2558.0924884330107</v>
      </c>
      <c r="J362" s="76">
        <f t="shared" si="60"/>
        <v>2558.0924884330107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27.145434304635756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1628.7260582781455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1628.7260582781455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57.612750140016658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1686.2268333663412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1686.2268333663412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1669.7015154242213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27630.220677240013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27630.220677240013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2607.1402921123236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21931.264137248865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7158.3097862376862</v>
      </c>
      <c r="J366" s="76">
        <f t="shared" si="60"/>
        <v>7158.3097862376862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70.501240964925429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326.56174814953465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96.949241473411405</v>
      </c>
      <c r="J367" s="76">
        <f t="shared" si="60"/>
        <v>96.949241473411405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284.76552549155969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1503.5619745954352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803.05996844129504</v>
      </c>
      <c r="J368" s="76">
        <f t="shared" si="60"/>
        <v>803.05996844129504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837.32996270399724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49857.975299246813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49857.975299246813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15.858122690552644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394.8672549947608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394.8672549947608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26.960259947487696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1374.0317879268807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1374.0317879268807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75.321294136474407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7344.1634378322387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7344.1634378322387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80.304122909023874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4289.2038128167833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4289.2038128167833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17.323250086121135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176.48927187740213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176.48927187740213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123.69640759387546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4422.7814073992404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4422.7814073992404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898.0300532314609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15398.191666158042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2558.0924884330107</v>
      </c>
      <c r="J376" s="76">
        <f t="shared" si="60"/>
        <v>2558.0924884330107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27.145434304635756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1628.7260582781455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1628.7260582781455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57.612750140016658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1686.2268333663412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1686.2268333663412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1669.7015154242213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27630.220677240013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27630.220677240013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333.3529056997582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1878.7903106400649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613.23246041714071</v>
      </c>
      <c r="J394" s="76">
        <f t="shared" si="60"/>
        <v>613.23246041714071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9.0143954286615706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23.800167386569427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7.0657637893693348</v>
      </c>
      <c r="J395" s="76">
        <f t="shared" si="60"/>
        <v>7.0657637893693348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36.410551305169356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105.73624099021181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56.474254994077086</v>
      </c>
      <c r="J396" s="76">
        <f t="shared" si="60"/>
        <v>56.474254994077086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107.06227698652053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4972.4346522905962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4972.4346522905962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2.0276435809121542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28.778345343886201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28.778345343886201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3.4471796623703264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100.14089749468296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100.14089749468296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9.6306947261041955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535.25043923604903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535.25043923604903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10.267806758379196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455.19199850019618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455.19199850019618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2.2149769883282029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12.862725767540008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12.862725767540008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15.816009986417528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322.33701101486167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322.33701101486167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114.82348247852502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1122.2365790901708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186.43650017194551</v>
      </c>
      <c r="J404" s="76">
        <f t="shared" si="60"/>
        <v>186.43650017194551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3.4708563360818045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118.7032866939977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118.7032866939977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7.36645347495603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122.8940043139006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122.8940043139006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213.49056416407598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3532.8418557871296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3532.8418557871296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333.3529056997582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1878.7903106400649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613.23246041714071</v>
      </c>
      <c r="J408" s="76">
        <f t="shared" si="64"/>
        <v>613.23246041714071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9.0143954286615706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23.800167386569427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7.0657637893693348</v>
      </c>
      <c r="J409" s="76">
        <f t="shared" si="64"/>
        <v>7.0657637893693348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36.410551305169356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105.73624099021181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56.474254994077086</v>
      </c>
      <c r="J410" s="76">
        <f t="shared" si="64"/>
        <v>56.474254994077086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107.06227698652053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4972.4346522905962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4972.4346522905962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2.0276435809121542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28.778345343886201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28.778345343886201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3.4471796623703264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100.14089749468296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100.14089749468296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9.6306947261041955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535.25043923604903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535.25043923604903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10.267806758379196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455.19199850019618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455.19199850019618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2.2149769883282029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12.862725767540008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12.862725767540008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15.816009986417528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322.33701101486167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322.33701101486167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114.82348247852502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1122.2365790901708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186.43650017194551</v>
      </c>
      <c r="J418" s="76">
        <f t="shared" si="64"/>
        <v>186.43650017194551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3.4708563360818045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118.7032866939977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118.7032866939977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7.36645347495603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122.8940043139006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122.8940043139006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213.49056416407598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3532.8418557871296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3532.8418557871296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4.6899265874179821E-2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0.46026939528920074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0.15023077994890691</v>
      </c>
      <c r="J436" s="76">
        <f t="shared" si="64"/>
        <v>0.15023077994890691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8.5184532315743273E-4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4.6033721263427667E-3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1.3666433328388961E-3</v>
      </c>
      <c r="J437" s="76">
        <f t="shared" si="64"/>
        <v>1.3666433328388961E-3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4.1610650792287332E-3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2.5632160888048997E-2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1.3690265291111413E-2</v>
      </c>
      <c r="J438" s="76">
        <f t="shared" si="64"/>
        <v>1.3690265291111413E-2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3.057794405484629E-2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2.1241886176020621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2.1241886176020621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1.4391811820724449E-4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4.1808213339204524E-3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4.1808213339204524E-3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8.2031610546729307E-4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4.8775387989525638E-2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4.8775387989525638E-2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9.4466421281650867E-4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0.10746048902092986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0.10746048902092986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9.7029060189655577E-4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6.0462688566581983E-2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6.0462688566581983E-2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3.5209466045495685E-4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4.1849971341676173E-3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4.1849971341676173E-3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2.5141266456781544E-3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0.1048750857098731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0.1048750857098731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2.3527643458140821E-2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0.47065650992134089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7.8189888057308546E-2</v>
      </c>
      <c r="J446" s="76">
        <f t="shared" si="64"/>
        <v>7.8189888057308546E-2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5.517303292902556E-4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3.8621123050317889E-2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3.8621123050317889E-2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1.6830088194036976E-3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5.7468593833296992E-2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5.7468593833296992E-2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5.8528892380347711E-2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1.1299587962949931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1.1299587962949931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4.6899265874179821E-2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0.46026939528920074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0.15023077994890691</v>
      </c>
      <c r="J450" s="76">
        <f t="shared" si="64"/>
        <v>0.15023077994890691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8.5184532315743273E-4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4.6033721263427667E-3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1.3666433328388961E-3</v>
      </c>
      <c r="J451" s="76">
        <f t="shared" si="64"/>
        <v>1.3666433328388961E-3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4.1610650792287332E-3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2.5632160888048997E-2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1.3690265291111413E-2</v>
      </c>
      <c r="J452" s="76">
        <f t="shared" si="64"/>
        <v>1.3690265291111413E-2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3.057794405484629E-2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2.1241886176020621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2.1241886176020621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1.4391811820724449E-4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4.1808213339204524E-3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4.1808213339204524E-3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8.2031610546729307E-4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4.8775387989525638E-2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4.8775387989525638E-2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9.4466421281650867E-4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0.10746048902092986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0.10746048902092986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9.7029060189655577E-4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6.0462688566581983E-2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6.0462688566581983E-2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3.5209466045495685E-4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4.1849971341676173E-3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4.1849971341676173E-3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2.5141266456781544E-3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0.1048750857098731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0.1048750857098731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2.3527643458140821E-2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0.47065650992134089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7.8189888057308546E-2</v>
      </c>
      <c r="J460" s="76">
        <f t="shared" si="64"/>
        <v>7.8189888057308546E-2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5.517303292902556E-4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3.8621123050317889E-2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3.8621123050317889E-2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1.6830088194036976E-3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5.7468593833296992E-2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5.7468593833296992E-2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5.8528892380347711E-2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1.1299587962949931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1.1299587962949931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5.9966111534705989E-3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3.9429997046307508E-2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1.2869852460922156E-2</v>
      </c>
      <c r="J478" s="76">
        <f t="shared" si="68"/>
        <v>1.2869852460922156E-2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1.0891823295447181E-4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3.3549865460500041E-4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9.9602419032895499E-5</v>
      </c>
      <c r="J479" s="76">
        <f t="shared" si="68"/>
        <v>9.9602419032895499E-5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5.3204008206357469E-4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1.8025517980313913E-3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9.6275192808755621E-4</v>
      </c>
      <c r="J480" s="76">
        <f t="shared" si="68"/>
        <v>9.6275192808755621E-4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3.9097422305375889E-3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0.21184953915136845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0.21184953915136845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1.8401588526851431E-5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3.0470270362186938E-4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3.0470270362186938E-4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1.0488685943642736E-4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3.5548021318284103E-3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3.5548021318284103E-3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1.2078619674042107E-4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7.8318346855786869E-3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7.8318346855786869E-3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1.2406282565382139E-4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6.4166062617675478E-3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6.4166062617675478E-3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4.5019356457006833E-5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3.0500704038335041E-4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3.0500704038335041E-4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3.2146004001762851E-4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7.6434077436186437E-3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7.6434077436186437E-3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3.0082801200869359E-3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3.430194681765715E-2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5.6985621685517697E-3</v>
      </c>
      <c r="J488" s="76">
        <f t="shared" ref="J488:J505" si="70">IF(I488&lt;&gt;0,I488,H488)</f>
        <v>5.6985621685517697E-3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7.0545075379344893E-5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2.814748507635861E-3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2.814748507635861E-3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2.151920562019265E-4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4.1883722158326175E-3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4.1883722158326175E-3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7.4835928091041004E-3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0.14447824277256377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0.14447824277256377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5.9966111534705989E-3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3.9429997046307508E-2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1.2869852460922156E-2</v>
      </c>
      <c r="J492" s="76">
        <f t="shared" si="70"/>
        <v>1.2869852460922156E-2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1.0891823295447181E-4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3.3549865460500041E-4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9.9602419032895499E-5</v>
      </c>
      <c r="J493" s="76">
        <f t="shared" si="70"/>
        <v>9.9602419032895499E-5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5.3204008206357469E-4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1.8025517980313913E-3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9.6275192808755621E-4</v>
      </c>
      <c r="J494" s="76">
        <f t="shared" si="70"/>
        <v>9.6275192808755621E-4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3.9097422305375889E-3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0.21184953915136845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0.21184953915136845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1.8401588526851431E-5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3.0470270362186938E-4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3.0470270362186938E-4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1.0488685943642736E-4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3.5548021318284103E-3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3.5548021318284103E-3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1.2078619674042107E-4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7.8318346855786869E-3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7.8318346855786869E-3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1.2406282565382139E-4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6.4166062617675478E-3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6.4166062617675478E-3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4.5019356457006833E-5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3.0500704038335041E-4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3.0500704038335041E-4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3.2146004001762851E-4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7.6434077436186437E-3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7.6434077436186437E-3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3.0082801200869359E-3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3.430194681765715E-2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5.6985621685517697E-3</v>
      </c>
      <c r="J502" s="76">
        <f t="shared" si="70"/>
        <v>5.6985621685517697E-3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7.0545075379344893E-5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2.814748507635861E-3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2.814748507635861E-3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2.151920562019265E-4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4.1883722158326175E-3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4.1883722158326175E-3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7.4835928091041004E-3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0.14447824277256377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0.14447824277256377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2021-09-21T15:40:06Z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484502136707305</vt:r8>
  </property>
</Properties>
</file>