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omments3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0.xml" ContentType="application/vnd.openxmlformats-officedocument.drawing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1.xml" ContentType="application/vnd.openxmlformats-officedocument.drawing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1C127E83-BB47-410A-94BD-09CE63F5204F}" xr6:coauthVersionLast="47" xr6:coauthVersionMax="47" xr10:uidLastSave="{00000000-0000-0000-0000-000000000000}"/>
  <bookViews>
    <workbookView xWindow="-120" yWindow="-120" windowWidth="29040" windowHeight="15840" tabRatio="945" xr2:uid="{86D0E40E-C8C7-410E-B314-8472CCF1C330}"/>
  </bookViews>
  <sheets>
    <sheet name="Overblik" sheetId="1" r:id="rId1"/>
    <sheet name="Resume" sheetId="70" r:id="rId2"/>
    <sheet name="Arealanvendelse" sheetId="9" r:id="rId3"/>
    <sheet name="Landbrug" sheetId="17" r:id="rId4"/>
    <sheet name="Fodersammensætning" sheetId="34" r:id="rId5"/>
    <sheet name="Skovbrug" sheetId="26" r:id="rId6"/>
    <sheet name="Havbrug" sheetId="32" r:id="rId7"/>
    <sheet name="Adfærd" sheetId="6" r:id="rId8"/>
    <sheet name="Biogasanlæg" sheetId="39" r:id="rId9"/>
    <sheet name="Forbrug til andet" sheetId="8" r:id="rId10"/>
    <sheet name="Avanceret" sheetId="69" r:id="rId11"/>
    <sheet name="Direkte input" sheetId="35" r:id="rId12"/>
    <sheet name="Forbrug af biomasse" sheetId="38" r:id="rId13"/>
    <sheet name="Restprodukter" sheetId="53" r:id="rId14"/>
    <sheet name="Resultater - Vestdanmark" sheetId="37" r:id="rId15"/>
    <sheet name="Resultater - Østdanmark" sheetId="58" r:id="rId16"/>
    <sheet name="Resultater - Danmark" sheetId="41" r:id="rId17"/>
    <sheet name="Resultat-Produktion &amp; forbrug" sheetId="66" r:id="rId18"/>
    <sheet name="Landbrugsareal - resultat" sheetId="20" state="hidden" r:id="rId19"/>
    <sheet name="Pivot tabeller og data" sheetId="68" state="hidden" r:id="rId20"/>
    <sheet name="Resultat-Forbrug af biomasse" sheetId="56" state="hidden" r:id="rId21"/>
    <sheet name="Resultat-Import" sheetId="51" state="hidden" r:id="rId22"/>
    <sheet name="Resultat-Eksport" sheetId="71" state="hidden" r:id="rId23"/>
    <sheet name="Resultat-Potentiale til energi" sheetId="50" state="hidden" r:id="rId24"/>
    <sheet name="Resultat-Tørstof til energi" sheetId="67" state="hidden" r:id="rId25"/>
    <sheet name="CO2-pivot" sheetId="64" state="hidden" r:id="rId26"/>
    <sheet name="CO2-udledning" sheetId="63" state="hidden" r:id="rId27"/>
    <sheet name="Produktion afgrøder-pivot" sheetId="60" state="hidden" r:id="rId28"/>
    <sheet name="Produktion af afgrøder" sheetId="57" state="hidden" r:id="rId29"/>
    <sheet name="Produkt skovbrug" sheetId="62" state="hidden" r:id="rId30"/>
    <sheet name="Produkt havbrug" sheetId="61" state="hidden" r:id="rId31"/>
    <sheet name="Arealanvendelse - pivot" sheetId="23" state="hidden" r:id="rId32"/>
    <sheet name="Pivot chart - landbrug" sheetId="19" state="hidden" r:id="rId33"/>
    <sheet name="Arealanvendelsesresultater-big" sheetId="22" state="hidden" r:id="rId34"/>
    <sheet name="Landbrugsresultater - pivot" sheetId="18" state="hidden" r:id="rId35"/>
  </sheets>
  <externalReferences>
    <externalReference r:id="rId36"/>
  </externalReferences>
  <definedNames>
    <definedName name="_xlnm._FilterDatabase" localSheetId="11" hidden="1">'Direkte input'!$A$2:$I$230</definedName>
    <definedName name="_xlnm._FilterDatabase" localSheetId="12" hidden="1">'Forbrug af biomasse'!$A$1:$G$415</definedName>
    <definedName name="_xlnm._FilterDatabase" localSheetId="16" hidden="1">'Resultater - Danmark'!$A$2:$O$475</definedName>
    <definedName name="_xlnm._FilterDatabase" localSheetId="14" hidden="1">'Resultater - Vestdanmark'!$A$2:$U$475</definedName>
    <definedName name="_xlnm._FilterDatabase" localSheetId="17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136" r:id="rId37"/>
    <pivotCache cacheId="137" r:id="rId38"/>
    <pivotCache cacheId="138" r:id="rId39"/>
    <pivotCache cacheId="139" r:id="rId40"/>
    <pivotCache cacheId="140" r:id="rId41"/>
    <pivotCache cacheId="141" r:id="rId42"/>
    <pivotCache cacheId="142" r:id="rId43"/>
    <pivotCache cacheId="143" r:id="rId4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7" i="39" l="1"/>
  <c r="D5" i="39"/>
  <c r="D4" i="39"/>
  <c r="D3" i="39"/>
  <c r="E35" i="17"/>
  <c r="D17" i="17" l="1"/>
  <c r="E17" i="17" s="1"/>
  <c r="C5" i="9"/>
  <c r="D5" i="9" s="1"/>
  <c r="C33" i="17" l="1"/>
  <c r="D33" i="17" s="1"/>
  <c r="E33" i="17" s="1"/>
  <c r="C34" i="17"/>
  <c r="D34" i="17" s="1"/>
  <c r="C35" i="17"/>
  <c r="C36" i="17"/>
  <c r="D36" i="17" s="1"/>
  <c r="E36" i="17" s="1"/>
  <c r="C37" i="17"/>
  <c r="D37" i="17" s="1"/>
  <c r="E37" i="17" s="1"/>
  <c r="C38" i="17"/>
  <c r="C39" i="17"/>
  <c r="C40" i="17"/>
  <c r="D40" i="17" s="1"/>
  <c r="E40" i="17" s="1"/>
  <c r="C41" i="17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G228" i="35"/>
  <c r="H228" i="35"/>
  <c r="I228" i="35"/>
  <c r="G229" i="35"/>
  <c r="H229" i="35"/>
  <c r="I229" i="35"/>
  <c r="G230" i="35"/>
  <c r="H230" i="35"/>
  <c r="I230" i="35"/>
  <c r="I227" i="35"/>
  <c r="G227" i="35"/>
  <c r="F13" i="32"/>
  <c r="G13" i="32"/>
  <c r="C13" i="32"/>
  <c r="D13" i="32"/>
  <c r="D41" i="17" l="1"/>
  <c r="E41" i="17" s="1"/>
  <c r="D39" i="17"/>
  <c r="E39" i="17" s="1"/>
  <c r="D38" i="17"/>
  <c r="E38" i="17" s="1"/>
  <c r="E34" i="17"/>
  <c r="E32" i="17"/>
  <c r="D46" i="17"/>
  <c r="E46" i="17" l="1"/>
  <c r="C6" i="32"/>
  <c r="B13" i="32" s="1"/>
  <c r="C7" i="32"/>
  <c r="E13" i="32" s="1"/>
  <c r="F5" i="32"/>
  <c r="F4" i="32"/>
  <c r="D12" i="32" l="1"/>
  <c r="C12" i="32"/>
  <c r="C5" i="32"/>
  <c r="E12" i="32" s="1"/>
  <c r="G12" i="32"/>
  <c r="F12" i="32"/>
  <c r="C4" i="32"/>
  <c r="B12" i="32" s="1"/>
  <c r="A17" i="34" l="1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D15" i="34" s="1"/>
  <c r="A16" i="34"/>
  <c r="C201" i="38" s="1"/>
  <c r="B26" i="6"/>
  <c r="C198" i="38" l="1"/>
  <c r="C197" i="38"/>
  <c r="E15" i="34"/>
  <c r="E14" i="34" s="1"/>
  <c r="D14" i="34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2" i="63"/>
  <c r="E12" i="63"/>
  <c r="F12" i="63"/>
  <c r="F21" i="63" s="1"/>
  <c r="F30" i="63" s="1"/>
  <c r="F39" i="63" s="1"/>
  <c r="F48" i="63" s="1"/>
  <c r="G12" i="63"/>
  <c r="H12" i="63"/>
  <c r="I12" i="63"/>
  <c r="D13" i="63"/>
  <c r="E13" i="63"/>
  <c r="G13" i="63"/>
  <c r="H13" i="63"/>
  <c r="I13" i="63"/>
  <c r="I22" i="63" s="1"/>
  <c r="I31" i="63" s="1"/>
  <c r="I40" i="63" s="1"/>
  <c r="I49" i="63" s="1"/>
  <c r="D14" i="63"/>
  <c r="E14" i="63"/>
  <c r="G14" i="63"/>
  <c r="H14" i="63"/>
  <c r="I14" i="63"/>
  <c r="D15" i="63"/>
  <c r="E15" i="63"/>
  <c r="G15" i="63"/>
  <c r="H15" i="63"/>
  <c r="I15" i="63"/>
  <c r="I24" i="63" s="1"/>
  <c r="I33" i="63" s="1"/>
  <c r="I42" i="63" s="1"/>
  <c r="I51" i="63" s="1"/>
  <c r="D16" i="63"/>
  <c r="E16" i="63"/>
  <c r="F16" i="63"/>
  <c r="F25" i="63" s="1"/>
  <c r="F34" i="63" s="1"/>
  <c r="F43" i="63" s="1"/>
  <c r="F52" i="63" s="1"/>
  <c r="G16" i="63"/>
  <c r="H16" i="63"/>
  <c r="I16" i="63"/>
  <c r="D17" i="63"/>
  <c r="E17" i="63"/>
  <c r="F17" i="63"/>
  <c r="G17" i="63"/>
  <c r="H17" i="63"/>
  <c r="I17" i="63"/>
  <c r="I26" i="63" s="1"/>
  <c r="I35" i="63" s="1"/>
  <c r="I44" i="63" s="1"/>
  <c r="I53" i="63" s="1"/>
  <c r="D18" i="63"/>
  <c r="E18" i="63"/>
  <c r="F18" i="63"/>
  <c r="F27" i="63" s="1"/>
  <c r="F36" i="63" s="1"/>
  <c r="F45" i="63" s="1"/>
  <c r="F54" i="63" s="1"/>
  <c r="G18" i="63"/>
  <c r="H18" i="63"/>
  <c r="I18" i="63"/>
  <c r="D19" i="63"/>
  <c r="E19" i="63"/>
  <c r="F19" i="63"/>
  <c r="G19" i="63"/>
  <c r="H19" i="63"/>
  <c r="I19" i="63"/>
  <c r="I28" i="63" s="1"/>
  <c r="I37" i="63" s="1"/>
  <c r="I46" i="63" s="1"/>
  <c r="I55" i="63" s="1"/>
  <c r="D20" i="63"/>
  <c r="E20" i="63"/>
  <c r="F20" i="63"/>
  <c r="F29" i="63" s="1"/>
  <c r="F38" i="63" s="1"/>
  <c r="F47" i="63" s="1"/>
  <c r="G20" i="63"/>
  <c r="H20" i="63"/>
  <c r="I20" i="63"/>
  <c r="D21" i="63"/>
  <c r="E21" i="63"/>
  <c r="G21" i="63"/>
  <c r="H21" i="63"/>
  <c r="I21" i="63"/>
  <c r="I30" i="63" s="1"/>
  <c r="I39" i="63" s="1"/>
  <c r="I48" i="63" s="1"/>
  <c r="D22" i="63"/>
  <c r="E22" i="63"/>
  <c r="G22" i="63"/>
  <c r="G31" i="63" s="1"/>
  <c r="G40" i="63" s="1"/>
  <c r="G49" i="63" s="1"/>
  <c r="H22" i="63"/>
  <c r="D23" i="63"/>
  <c r="E23" i="63"/>
  <c r="G23" i="63"/>
  <c r="H23" i="63"/>
  <c r="I23" i="63"/>
  <c r="I32" i="63" s="1"/>
  <c r="I41" i="63" s="1"/>
  <c r="I50" i="63" s="1"/>
  <c r="D24" i="63"/>
  <c r="E24" i="63"/>
  <c r="G24" i="63"/>
  <c r="G33" i="63" s="1"/>
  <c r="G42" i="63" s="1"/>
  <c r="G51" i="63" s="1"/>
  <c r="H24" i="63"/>
  <c r="D25" i="63"/>
  <c r="E25" i="63"/>
  <c r="G25" i="63"/>
  <c r="H25" i="63"/>
  <c r="I25" i="63"/>
  <c r="I34" i="63" s="1"/>
  <c r="I43" i="63" s="1"/>
  <c r="I52" i="63" s="1"/>
  <c r="D26" i="63"/>
  <c r="E26" i="63"/>
  <c r="F26" i="63"/>
  <c r="F35" i="63" s="1"/>
  <c r="F44" i="63" s="1"/>
  <c r="F53" i="63" s="1"/>
  <c r="G26" i="63"/>
  <c r="G35" i="63" s="1"/>
  <c r="G44" i="63" s="1"/>
  <c r="G53" i="63" s="1"/>
  <c r="H26" i="63"/>
  <c r="D27" i="63"/>
  <c r="E27" i="63"/>
  <c r="G27" i="63"/>
  <c r="H27" i="63"/>
  <c r="I27" i="63"/>
  <c r="I36" i="63" s="1"/>
  <c r="I45" i="63" s="1"/>
  <c r="I54" i="63" s="1"/>
  <c r="D28" i="63"/>
  <c r="E28" i="63"/>
  <c r="F28" i="63"/>
  <c r="F37" i="63" s="1"/>
  <c r="F46" i="63" s="1"/>
  <c r="F55" i="63" s="1"/>
  <c r="G28" i="63"/>
  <c r="G37" i="63" s="1"/>
  <c r="G46" i="63" s="1"/>
  <c r="G55" i="63" s="1"/>
  <c r="H28" i="63"/>
  <c r="D29" i="63"/>
  <c r="E29" i="63"/>
  <c r="G29" i="63"/>
  <c r="H29" i="63"/>
  <c r="I29" i="63"/>
  <c r="I38" i="63" s="1"/>
  <c r="I47" i="63" s="1"/>
  <c r="D30" i="63"/>
  <c r="E30" i="63"/>
  <c r="G30" i="63"/>
  <c r="G39" i="63" s="1"/>
  <c r="G48" i="63" s="1"/>
  <c r="H30" i="63"/>
  <c r="D31" i="63"/>
  <c r="E31" i="63"/>
  <c r="H31" i="63"/>
  <c r="D32" i="63"/>
  <c r="E32" i="63"/>
  <c r="G32" i="63"/>
  <c r="G41" i="63" s="1"/>
  <c r="G50" i="63" s="1"/>
  <c r="H32" i="63"/>
  <c r="D33" i="63"/>
  <c r="E33" i="63"/>
  <c r="H33" i="63"/>
  <c r="D34" i="63"/>
  <c r="E34" i="63"/>
  <c r="G34" i="63"/>
  <c r="G43" i="63" s="1"/>
  <c r="G52" i="63" s="1"/>
  <c r="H34" i="63"/>
  <c r="D35" i="63"/>
  <c r="E35" i="63"/>
  <c r="H35" i="63"/>
  <c r="D36" i="63"/>
  <c r="E36" i="63"/>
  <c r="G36" i="63"/>
  <c r="G45" i="63" s="1"/>
  <c r="G54" i="63" s="1"/>
  <c r="H36" i="63"/>
  <c r="D37" i="63"/>
  <c r="E37" i="63"/>
  <c r="H37" i="63"/>
  <c r="D38" i="63"/>
  <c r="E38" i="63"/>
  <c r="G38" i="63"/>
  <c r="G47" i="63" s="1"/>
  <c r="H38" i="63"/>
  <c r="D39" i="63"/>
  <c r="E39" i="63"/>
  <c r="H39" i="63"/>
  <c r="D40" i="63"/>
  <c r="E40" i="63"/>
  <c r="H40" i="63"/>
  <c r="D41" i="63"/>
  <c r="E41" i="63"/>
  <c r="H41" i="63"/>
  <c r="D42" i="63"/>
  <c r="E42" i="63"/>
  <c r="H42" i="63"/>
  <c r="D43" i="63"/>
  <c r="E43" i="63"/>
  <c r="H43" i="63"/>
  <c r="D44" i="63"/>
  <c r="E44" i="63"/>
  <c r="H44" i="63"/>
  <c r="D45" i="63"/>
  <c r="E45" i="63"/>
  <c r="H45" i="63"/>
  <c r="D46" i="63"/>
  <c r="E46" i="63"/>
  <c r="H46" i="63"/>
  <c r="D47" i="63"/>
  <c r="E47" i="63"/>
  <c r="H47" i="63"/>
  <c r="D48" i="63"/>
  <c r="E48" i="63"/>
  <c r="H48" i="63"/>
  <c r="D49" i="63"/>
  <c r="E49" i="63"/>
  <c r="H49" i="63"/>
  <c r="D50" i="63"/>
  <c r="E50" i="63"/>
  <c r="H50" i="63"/>
  <c r="D51" i="63"/>
  <c r="E51" i="63"/>
  <c r="H51" i="63"/>
  <c r="D52" i="63"/>
  <c r="E52" i="63"/>
  <c r="H52" i="63"/>
  <c r="D53" i="63"/>
  <c r="E53" i="63"/>
  <c r="H53" i="63"/>
  <c r="D54" i="63"/>
  <c r="E54" i="63"/>
  <c r="H54" i="63"/>
  <c r="D55" i="63"/>
  <c r="E55" i="63"/>
  <c r="H55" i="63"/>
  <c r="E11" i="63"/>
  <c r="F11" i="63"/>
  <c r="G11" i="63"/>
  <c r="H11" i="63"/>
  <c r="I11" i="63"/>
  <c r="D11" i="63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73" i="58"/>
  <c r="B473" i="58"/>
  <c r="C473" i="58"/>
  <c r="D473" i="58"/>
  <c r="F473" i="58"/>
  <c r="A474" i="58"/>
  <c r="B474" i="58"/>
  <c r="C474" i="58"/>
  <c r="D474" i="58"/>
  <c r="F474" i="58"/>
  <c r="A475" i="58"/>
  <c r="B475" i="58"/>
  <c r="C475" i="58"/>
  <c r="D475" i="58"/>
  <c r="F475" i="58"/>
  <c r="A473" i="37"/>
  <c r="A473" i="41" s="1"/>
  <c r="B473" i="37"/>
  <c r="B473" i="41" s="1"/>
  <c r="C473" i="37"/>
  <c r="C473" i="41" s="1"/>
  <c r="D473" i="37"/>
  <c r="D473" i="41" s="1"/>
  <c r="F473" i="37"/>
  <c r="F473" i="41" s="1"/>
  <c r="A474" i="37"/>
  <c r="B474" i="37"/>
  <c r="B474" i="41" s="1"/>
  <c r="C474" i="37"/>
  <c r="C474" i="41" s="1"/>
  <c r="D474" i="37"/>
  <c r="D474" i="41" s="1"/>
  <c r="F474" i="37"/>
  <c r="F474" i="41" s="1"/>
  <c r="A475" i="37"/>
  <c r="B475" i="37"/>
  <c r="B475" i="41" s="1"/>
  <c r="C475" i="37"/>
  <c r="C475" i="41" s="1"/>
  <c r="D475" i="37"/>
  <c r="D475" i="41" s="1"/>
  <c r="F475" i="37"/>
  <c r="F475" i="41" s="1"/>
  <c r="A465" i="58"/>
  <c r="B465" i="58"/>
  <c r="C465" i="58"/>
  <c r="D465" i="58"/>
  <c r="F465" i="58"/>
  <c r="A466" i="58"/>
  <c r="B466" i="58"/>
  <c r="C466" i="58"/>
  <c r="D466" i="58"/>
  <c r="F466" i="58"/>
  <c r="A465" i="37"/>
  <c r="A465" i="41" s="1"/>
  <c r="B465" i="37"/>
  <c r="B465" i="41" s="1"/>
  <c r="C465" i="37"/>
  <c r="C465" i="41" s="1"/>
  <c r="D465" i="37"/>
  <c r="D465" i="41" s="1"/>
  <c r="F465" i="37"/>
  <c r="A466" i="37"/>
  <c r="A466" i="41" s="1"/>
  <c r="B466" i="37"/>
  <c r="B466" i="41" s="1"/>
  <c r="C466" i="37"/>
  <c r="C466" i="41" s="1"/>
  <c r="D466" i="37"/>
  <c r="D466" i="41" s="1"/>
  <c r="F466" i="37"/>
  <c r="F466" i="41" s="1"/>
  <c r="A275" i="66" l="1"/>
  <c r="H275" i="66" s="1"/>
  <c r="A475" i="41"/>
  <c r="A474" i="41"/>
  <c r="H276" i="66"/>
  <c r="H228" i="66"/>
  <c r="H84" i="66"/>
  <c r="A131" i="66"/>
  <c r="H132" i="66"/>
  <c r="F465" i="41"/>
  <c r="H131" i="66" l="1"/>
  <c r="K5" i="9" l="1"/>
  <c r="L5" i="9"/>
  <c r="K7" i="9"/>
  <c r="L7" i="9"/>
  <c r="K9" i="9"/>
  <c r="L9" i="9"/>
  <c r="A437" i="58" l="1"/>
  <c r="B437" i="58"/>
  <c r="C437" i="58"/>
  <c r="D437" i="58"/>
  <c r="F437" i="58"/>
  <c r="A438" i="58"/>
  <c r="B438" i="58"/>
  <c r="C438" i="58"/>
  <c r="D438" i="58"/>
  <c r="F438" i="58"/>
  <c r="A439" i="58"/>
  <c r="B439" i="58"/>
  <c r="C439" i="58"/>
  <c r="D439" i="58"/>
  <c r="F439" i="58"/>
  <c r="A437" i="37"/>
  <c r="A437" i="41" s="1"/>
  <c r="B437" i="37"/>
  <c r="B437" i="41" s="1"/>
  <c r="C437" i="37"/>
  <c r="C437" i="41" s="1"/>
  <c r="D437" i="37"/>
  <c r="D437" i="41" s="1"/>
  <c r="F437" i="37"/>
  <c r="F437" i="41" s="1"/>
  <c r="A438" i="37"/>
  <c r="A438" i="41" s="1"/>
  <c r="B438" i="37"/>
  <c r="B438" i="41" s="1"/>
  <c r="C438" i="37"/>
  <c r="C438" i="41" s="1"/>
  <c r="D438" i="37"/>
  <c r="D438" i="41" s="1"/>
  <c r="F438" i="37"/>
  <c r="F438" i="41" s="1"/>
  <c r="A439" i="37"/>
  <c r="A439" i="41" s="1"/>
  <c r="B439" i="37"/>
  <c r="B439" i="41" s="1"/>
  <c r="C439" i="37"/>
  <c r="C439" i="41" s="1"/>
  <c r="D439" i="37"/>
  <c r="D439" i="41" s="1"/>
  <c r="F439" i="37"/>
  <c r="F439" i="41" s="1"/>
  <c r="N19" i="39" l="1"/>
  <c r="N18" i="39"/>
  <c r="A406" i="58"/>
  <c r="B406" i="58"/>
  <c r="C406" i="58"/>
  <c r="D406" i="58"/>
  <c r="F406" i="58"/>
  <c r="A406" i="37"/>
  <c r="B406" i="37"/>
  <c r="B406" i="41" s="1"/>
  <c r="C406" i="37"/>
  <c r="C406" i="41" s="1"/>
  <c r="D406" i="37"/>
  <c r="D406" i="41" s="1"/>
  <c r="F406" i="37"/>
  <c r="F406" i="41" s="1"/>
  <c r="A6" i="37"/>
  <c r="A6" i="41" s="1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406" i="41" l="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D19" i="1" a="1"/>
  <c r="D19" i="1" s="1"/>
  <c r="C22" i="17"/>
  <c r="C23" i="17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14" i="58"/>
  <c r="D14" i="58"/>
  <c r="B14" i="58"/>
  <c r="C14" i="58"/>
  <c r="F14" i="58"/>
  <c r="A15" i="58"/>
  <c r="D15" i="58"/>
  <c r="B15" i="58"/>
  <c r="C15" i="58"/>
  <c r="F15" i="58"/>
  <c r="A16" i="58"/>
  <c r="D16" i="58"/>
  <c r="B16" i="58"/>
  <c r="C16" i="58"/>
  <c r="F16" i="58"/>
  <c r="A17" i="58"/>
  <c r="D17" i="58"/>
  <c r="B17" i="58"/>
  <c r="C17" i="58"/>
  <c r="F17" i="58"/>
  <c r="A18" i="58"/>
  <c r="D18" i="58"/>
  <c r="B18" i="58"/>
  <c r="C18" i="58"/>
  <c r="F18" i="58"/>
  <c r="A19" i="58"/>
  <c r="D19" i="58"/>
  <c r="B19" i="58"/>
  <c r="C19" i="58"/>
  <c r="F19" i="58"/>
  <c r="A20" i="58"/>
  <c r="D20" i="58"/>
  <c r="B20" i="58"/>
  <c r="C20" i="58"/>
  <c r="F20" i="58"/>
  <c r="A21" i="58"/>
  <c r="D21" i="58"/>
  <c r="B21" i="58"/>
  <c r="C21" i="58"/>
  <c r="F21" i="58"/>
  <c r="A22" i="58"/>
  <c r="D22" i="58"/>
  <c r="B22" i="58"/>
  <c r="C22" i="58"/>
  <c r="F22" i="58"/>
  <c r="A23" i="58"/>
  <c r="D23" i="58"/>
  <c r="B23" i="58"/>
  <c r="C23" i="58"/>
  <c r="F23" i="58"/>
  <c r="A24" i="58"/>
  <c r="D24" i="58"/>
  <c r="B24" i="58"/>
  <c r="C24" i="58"/>
  <c r="F24" i="58"/>
  <c r="A25" i="58"/>
  <c r="D25" i="58"/>
  <c r="B25" i="58"/>
  <c r="C25" i="58"/>
  <c r="F25" i="58"/>
  <c r="A26" i="58"/>
  <c r="D26" i="58"/>
  <c r="B26" i="58"/>
  <c r="C26" i="58"/>
  <c r="F26" i="58"/>
  <c r="A27" i="58"/>
  <c r="D27" i="58"/>
  <c r="B27" i="58"/>
  <c r="C27" i="58"/>
  <c r="F27" i="58"/>
  <c r="A28" i="58"/>
  <c r="D28" i="58"/>
  <c r="B28" i="58"/>
  <c r="C28" i="58"/>
  <c r="F28" i="58"/>
  <c r="A29" i="58"/>
  <c r="D29" i="58"/>
  <c r="B29" i="58"/>
  <c r="C29" i="58"/>
  <c r="F29" i="58"/>
  <c r="A30" i="58"/>
  <c r="D30" i="58"/>
  <c r="B30" i="58"/>
  <c r="C30" i="58"/>
  <c r="F30" i="58"/>
  <c r="A31" i="58"/>
  <c r="D31" i="58"/>
  <c r="B31" i="58"/>
  <c r="C31" i="58"/>
  <c r="F31" i="58"/>
  <c r="A32" i="58"/>
  <c r="D32" i="58"/>
  <c r="B32" i="58"/>
  <c r="C32" i="58"/>
  <c r="F32" i="58"/>
  <c r="A33" i="58"/>
  <c r="D33" i="58"/>
  <c r="B33" i="58"/>
  <c r="C33" i="58"/>
  <c r="F33" i="58"/>
  <c r="A34" i="58"/>
  <c r="D34" i="58"/>
  <c r="B34" i="58"/>
  <c r="C34" i="58"/>
  <c r="F34" i="58"/>
  <c r="A35" i="58"/>
  <c r="D35" i="58"/>
  <c r="B35" i="58"/>
  <c r="C35" i="58"/>
  <c r="F35" i="58"/>
  <c r="A36" i="58"/>
  <c r="D36" i="58"/>
  <c r="B36" i="58"/>
  <c r="C36" i="58"/>
  <c r="F36" i="58"/>
  <c r="A37" i="58"/>
  <c r="D37" i="58"/>
  <c r="B37" i="58"/>
  <c r="C37" i="58"/>
  <c r="F37" i="58"/>
  <c r="A38" i="58"/>
  <c r="D38" i="58"/>
  <c r="B38" i="58"/>
  <c r="C38" i="58"/>
  <c r="F38" i="58"/>
  <c r="A39" i="58"/>
  <c r="D39" i="58"/>
  <c r="B39" i="58"/>
  <c r="C39" i="58"/>
  <c r="F39" i="58"/>
  <c r="A40" i="58"/>
  <c r="D40" i="58"/>
  <c r="B40" i="58"/>
  <c r="C40" i="58"/>
  <c r="F40" i="58"/>
  <c r="A41" i="58"/>
  <c r="D41" i="58"/>
  <c r="B41" i="58"/>
  <c r="C41" i="58"/>
  <c r="F41" i="58"/>
  <c r="A42" i="58"/>
  <c r="D42" i="58"/>
  <c r="B42" i="58"/>
  <c r="C42" i="58"/>
  <c r="F42" i="58"/>
  <c r="A43" i="58"/>
  <c r="D43" i="58"/>
  <c r="B43" i="58"/>
  <c r="C43" i="58"/>
  <c r="F43" i="58"/>
  <c r="A44" i="58"/>
  <c r="D44" i="58"/>
  <c r="B44" i="58"/>
  <c r="C44" i="58"/>
  <c r="F44" i="58"/>
  <c r="A45" i="58"/>
  <c r="D45" i="58"/>
  <c r="B45" i="58"/>
  <c r="C45" i="58"/>
  <c r="F45" i="58"/>
  <c r="A46" i="58"/>
  <c r="D46" i="58"/>
  <c r="B46" i="58"/>
  <c r="C46" i="58"/>
  <c r="F46" i="58"/>
  <c r="A47" i="58"/>
  <c r="D47" i="58"/>
  <c r="B47" i="58"/>
  <c r="C47" i="58"/>
  <c r="F47" i="58"/>
  <c r="A48" i="58"/>
  <c r="D48" i="58"/>
  <c r="B48" i="58"/>
  <c r="C48" i="58"/>
  <c r="F48" i="58"/>
  <c r="A49" i="58"/>
  <c r="D49" i="58"/>
  <c r="B49" i="58"/>
  <c r="C49" i="58"/>
  <c r="F49" i="58"/>
  <c r="A50" i="58"/>
  <c r="D50" i="58"/>
  <c r="B50" i="58"/>
  <c r="C50" i="58"/>
  <c r="F50" i="58"/>
  <c r="A51" i="58"/>
  <c r="D51" i="58"/>
  <c r="B51" i="58"/>
  <c r="C51" i="58"/>
  <c r="F51" i="58"/>
  <c r="A52" i="58"/>
  <c r="D52" i="58"/>
  <c r="B52" i="58"/>
  <c r="C52" i="58"/>
  <c r="F52" i="58"/>
  <c r="A53" i="58"/>
  <c r="D53" i="58"/>
  <c r="B53" i="58"/>
  <c r="C53" i="58"/>
  <c r="F53" i="58"/>
  <c r="A54" i="58"/>
  <c r="D54" i="58"/>
  <c r="B54" i="58"/>
  <c r="C54" i="58"/>
  <c r="F54" i="58"/>
  <c r="A55" i="58"/>
  <c r="D55" i="58"/>
  <c r="B55" i="58"/>
  <c r="C55" i="58"/>
  <c r="F55" i="58"/>
  <c r="A56" i="58"/>
  <c r="D56" i="58"/>
  <c r="B56" i="58"/>
  <c r="C56" i="58"/>
  <c r="F56" i="58"/>
  <c r="A57" i="58"/>
  <c r="D57" i="58"/>
  <c r="B57" i="58"/>
  <c r="C57" i="58"/>
  <c r="F57" i="58"/>
  <c r="A58" i="58"/>
  <c r="D58" i="58"/>
  <c r="B58" i="58"/>
  <c r="C58" i="58"/>
  <c r="F58" i="58"/>
  <c r="A59" i="58"/>
  <c r="D59" i="58"/>
  <c r="B59" i="58"/>
  <c r="C59" i="58"/>
  <c r="F59" i="58"/>
  <c r="A60" i="58"/>
  <c r="D60" i="58"/>
  <c r="B60" i="58"/>
  <c r="C60" i="58"/>
  <c r="F60" i="58"/>
  <c r="A61" i="58"/>
  <c r="D61" i="58"/>
  <c r="B61" i="58"/>
  <c r="C61" i="58"/>
  <c r="F61" i="58"/>
  <c r="A62" i="58"/>
  <c r="D62" i="58"/>
  <c r="B62" i="58"/>
  <c r="C62" i="58"/>
  <c r="F62" i="58"/>
  <c r="A63" i="58"/>
  <c r="D63" i="58"/>
  <c r="B63" i="58"/>
  <c r="C63" i="58"/>
  <c r="F63" i="58"/>
  <c r="A64" i="58"/>
  <c r="D64" i="58"/>
  <c r="B64" i="58"/>
  <c r="C64" i="58"/>
  <c r="F64" i="58"/>
  <c r="A65" i="58"/>
  <c r="D65" i="58"/>
  <c r="B65" i="58"/>
  <c r="C65" i="58"/>
  <c r="F65" i="58"/>
  <c r="A66" i="58"/>
  <c r="D66" i="58"/>
  <c r="B66" i="58"/>
  <c r="C66" i="58"/>
  <c r="F66" i="58"/>
  <c r="A67" i="58"/>
  <c r="D67" i="58"/>
  <c r="B67" i="58"/>
  <c r="C67" i="58"/>
  <c r="F67" i="58"/>
  <c r="A68" i="58"/>
  <c r="D68" i="58"/>
  <c r="B68" i="58"/>
  <c r="C68" i="58"/>
  <c r="F68" i="58"/>
  <c r="A69" i="58"/>
  <c r="D69" i="58"/>
  <c r="B69" i="58"/>
  <c r="C69" i="58"/>
  <c r="F69" i="58"/>
  <c r="A70" i="58"/>
  <c r="D70" i="58"/>
  <c r="B70" i="58"/>
  <c r="C70" i="58"/>
  <c r="F70" i="58"/>
  <c r="A71" i="58"/>
  <c r="D71" i="58"/>
  <c r="B71" i="58"/>
  <c r="C71" i="58"/>
  <c r="F71" i="58"/>
  <c r="A72" i="58"/>
  <c r="D72" i="58"/>
  <c r="B72" i="58"/>
  <c r="C72" i="58"/>
  <c r="F72" i="58"/>
  <c r="A73" i="58"/>
  <c r="D73" i="58"/>
  <c r="B73" i="58"/>
  <c r="C73" i="58"/>
  <c r="F73" i="58"/>
  <c r="A74" i="58"/>
  <c r="D74" i="58"/>
  <c r="B74" i="58"/>
  <c r="C74" i="58"/>
  <c r="F74" i="58"/>
  <c r="A75" i="58"/>
  <c r="D75" i="58"/>
  <c r="B75" i="58"/>
  <c r="C75" i="58"/>
  <c r="F75" i="58"/>
  <c r="A76" i="58"/>
  <c r="D76" i="58"/>
  <c r="B76" i="58"/>
  <c r="C76" i="58"/>
  <c r="F76" i="58"/>
  <c r="A77" i="58"/>
  <c r="D77" i="58"/>
  <c r="B77" i="58"/>
  <c r="C77" i="58"/>
  <c r="F77" i="58"/>
  <c r="A78" i="58"/>
  <c r="D78" i="58"/>
  <c r="B78" i="58"/>
  <c r="C78" i="58"/>
  <c r="F78" i="58"/>
  <c r="A79" i="58"/>
  <c r="D79" i="58"/>
  <c r="B79" i="58"/>
  <c r="C79" i="58"/>
  <c r="F79" i="58"/>
  <c r="A80" i="58"/>
  <c r="D80" i="58"/>
  <c r="B80" i="58"/>
  <c r="C80" i="58"/>
  <c r="F80" i="58"/>
  <c r="A81" i="58"/>
  <c r="D81" i="58"/>
  <c r="B81" i="58"/>
  <c r="C81" i="58"/>
  <c r="F81" i="58"/>
  <c r="A82" i="58"/>
  <c r="D82" i="58"/>
  <c r="B82" i="58"/>
  <c r="C82" i="58"/>
  <c r="F82" i="58"/>
  <c r="A83" i="58"/>
  <c r="D83" i="58"/>
  <c r="B83" i="58"/>
  <c r="C83" i="58"/>
  <c r="F83" i="58"/>
  <c r="A84" i="58"/>
  <c r="D84" i="58"/>
  <c r="B84" i="58"/>
  <c r="C84" i="58"/>
  <c r="F84" i="58"/>
  <c r="A85" i="58"/>
  <c r="D85" i="58"/>
  <c r="B85" i="58"/>
  <c r="C85" i="58"/>
  <c r="F85" i="58"/>
  <c r="A86" i="58"/>
  <c r="D86" i="58"/>
  <c r="B86" i="58"/>
  <c r="C86" i="58"/>
  <c r="F86" i="58"/>
  <c r="A87" i="58"/>
  <c r="D87" i="58"/>
  <c r="B87" i="58"/>
  <c r="C87" i="58"/>
  <c r="F87" i="58"/>
  <c r="A88" i="58"/>
  <c r="D88" i="58"/>
  <c r="B88" i="58"/>
  <c r="C88" i="58"/>
  <c r="F88" i="58"/>
  <c r="A89" i="58"/>
  <c r="D89" i="58"/>
  <c r="B89" i="58"/>
  <c r="C89" i="58"/>
  <c r="F89" i="58"/>
  <c r="A90" i="58"/>
  <c r="D90" i="58"/>
  <c r="B90" i="58"/>
  <c r="C90" i="58"/>
  <c r="F90" i="58"/>
  <c r="A91" i="58"/>
  <c r="D91" i="58"/>
  <c r="B91" i="58"/>
  <c r="C91" i="58"/>
  <c r="F91" i="58"/>
  <c r="A92" i="58"/>
  <c r="D92" i="58"/>
  <c r="B92" i="58"/>
  <c r="C92" i="58"/>
  <c r="F92" i="58"/>
  <c r="A93" i="58"/>
  <c r="D93" i="58"/>
  <c r="B93" i="58"/>
  <c r="C93" i="58"/>
  <c r="F93" i="58"/>
  <c r="A94" i="58"/>
  <c r="D94" i="58"/>
  <c r="B94" i="58"/>
  <c r="C94" i="58"/>
  <c r="F94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F120" i="58"/>
  <c r="A121" i="58"/>
  <c r="D121" i="58"/>
  <c r="B121" i="58"/>
  <c r="F121" i="58"/>
  <c r="A122" i="58"/>
  <c r="D122" i="58"/>
  <c r="B122" i="58"/>
  <c r="F122" i="58"/>
  <c r="A123" i="58"/>
  <c r="D123" i="58"/>
  <c r="B123" i="58"/>
  <c r="F123" i="58"/>
  <c r="A124" i="58"/>
  <c r="D124" i="58"/>
  <c r="B124" i="58"/>
  <c r="F124" i="58"/>
  <c r="A125" i="58"/>
  <c r="D125" i="58"/>
  <c r="B125" i="58"/>
  <c r="F125" i="58"/>
  <c r="A126" i="58"/>
  <c r="D126" i="58"/>
  <c r="B126" i="58"/>
  <c r="F126" i="58"/>
  <c r="A127" i="58"/>
  <c r="D127" i="58"/>
  <c r="B127" i="58"/>
  <c r="F127" i="58"/>
  <c r="A128" i="58"/>
  <c r="D128" i="58"/>
  <c r="B128" i="58"/>
  <c r="F128" i="58"/>
  <c r="A129" i="58"/>
  <c r="D129" i="58"/>
  <c r="B129" i="58"/>
  <c r="F129" i="58"/>
  <c r="A130" i="58"/>
  <c r="D130" i="58"/>
  <c r="B130" i="58"/>
  <c r="F130" i="58"/>
  <c r="A131" i="58"/>
  <c r="D131" i="58"/>
  <c r="B131" i="58"/>
  <c r="F131" i="58"/>
  <c r="A132" i="58"/>
  <c r="D132" i="58"/>
  <c r="B132" i="58"/>
  <c r="F132" i="58"/>
  <c r="A133" i="58"/>
  <c r="D133" i="58"/>
  <c r="B133" i="58"/>
  <c r="F133" i="58"/>
  <c r="A134" i="58"/>
  <c r="D134" i="58"/>
  <c r="B134" i="58"/>
  <c r="F134" i="58"/>
  <c r="A135" i="58"/>
  <c r="D135" i="58"/>
  <c r="B135" i="58"/>
  <c r="F135" i="58"/>
  <c r="A136" i="58"/>
  <c r="D136" i="58"/>
  <c r="B136" i="58"/>
  <c r="F136" i="58"/>
  <c r="A137" i="58"/>
  <c r="D137" i="58"/>
  <c r="B137" i="58"/>
  <c r="F137" i="58"/>
  <c r="A138" i="58"/>
  <c r="D138" i="58"/>
  <c r="B138" i="58"/>
  <c r="F138" i="58"/>
  <c r="A139" i="58"/>
  <c r="D139" i="58"/>
  <c r="B139" i="58"/>
  <c r="F139" i="58"/>
  <c r="A140" i="58"/>
  <c r="D140" i="58"/>
  <c r="B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C162" i="58"/>
  <c r="F162" i="58"/>
  <c r="A163" i="58"/>
  <c r="D163" i="58"/>
  <c r="B163" i="58"/>
  <c r="C163" i="58"/>
  <c r="F163" i="58"/>
  <c r="A164" i="58"/>
  <c r="D164" i="58"/>
  <c r="B164" i="58"/>
  <c r="C164" i="58"/>
  <c r="F164" i="58"/>
  <c r="A165" i="58"/>
  <c r="D165" i="58"/>
  <c r="B165" i="58"/>
  <c r="C165" i="58"/>
  <c r="F165" i="58"/>
  <c r="A166" i="58"/>
  <c r="D166" i="58"/>
  <c r="B166" i="58"/>
  <c r="C166" i="58"/>
  <c r="F166" i="58"/>
  <c r="A167" i="58"/>
  <c r="D167" i="58"/>
  <c r="B167" i="58"/>
  <c r="C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F183" i="58"/>
  <c r="A184" i="58"/>
  <c r="D184" i="58"/>
  <c r="B184" i="58"/>
  <c r="F184" i="58"/>
  <c r="A185" i="58"/>
  <c r="D185" i="58"/>
  <c r="B185" i="58"/>
  <c r="F185" i="58"/>
  <c r="A186" i="58"/>
  <c r="D186" i="58"/>
  <c r="B186" i="58"/>
  <c r="F186" i="58"/>
  <c r="A187" i="58"/>
  <c r="D187" i="58"/>
  <c r="B187" i="58"/>
  <c r="F187" i="58"/>
  <c r="A188" i="58"/>
  <c r="D188" i="58"/>
  <c r="B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F1" i="58"/>
  <c r="F2" i="58"/>
  <c r="F403" i="58"/>
  <c r="F404" i="58"/>
  <c r="F405" i="58"/>
  <c r="F407" i="58"/>
  <c r="F408" i="58"/>
  <c r="F409" i="58"/>
  <c r="F410" i="58"/>
  <c r="F411" i="58"/>
  <c r="F412" i="58"/>
  <c r="F413" i="58"/>
  <c r="F414" i="58"/>
  <c r="F415" i="58"/>
  <c r="F416" i="58"/>
  <c r="F417" i="58"/>
  <c r="F418" i="58"/>
  <c r="F419" i="58"/>
  <c r="F420" i="58"/>
  <c r="F421" i="58"/>
  <c r="F422" i="58"/>
  <c r="F423" i="58"/>
  <c r="F424" i="58"/>
  <c r="F425" i="58"/>
  <c r="F426" i="58"/>
  <c r="F427" i="58"/>
  <c r="F428" i="58"/>
  <c r="F429" i="58"/>
  <c r="F430" i="58"/>
  <c r="F431" i="58"/>
  <c r="F432" i="58"/>
  <c r="F433" i="58"/>
  <c r="F434" i="58"/>
  <c r="F435" i="58"/>
  <c r="F436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59" i="58"/>
  <c r="F460" i="58"/>
  <c r="F461" i="58"/>
  <c r="F462" i="58"/>
  <c r="F463" i="58"/>
  <c r="F464" i="58"/>
  <c r="F467" i="58"/>
  <c r="F468" i="58"/>
  <c r="F469" i="58"/>
  <c r="F470" i="58"/>
  <c r="F471" i="58"/>
  <c r="F472" i="58"/>
  <c r="A403" i="58"/>
  <c r="D403" i="58"/>
  <c r="F402" i="58"/>
  <c r="C403" i="58"/>
  <c r="A404" i="58"/>
  <c r="D404" i="58"/>
  <c r="C404" i="58"/>
  <c r="A405" i="58"/>
  <c r="D405" i="58"/>
  <c r="C405" i="58"/>
  <c r="A407" i="58"/>
  <c r="D407" i="58"/>
  <c r="C407" i="58"/>
  <c r="A408" i="58"/>
  <c r="D408" i="58"/>
  <c r="C408" i="58"/>
  <c r="A409" i="58"/>
  <c r="D409" i="58"/>
  <c r="C409" i="58"/>
  <c r="A410" i="58"/>
  <c r="D410" i="58"/>
  <c r="C410" i="58"/>
  <c r="A411" i="58"/>
  <c r="D411" i="58"/>
  <c r="C411" i="58"/>
  <c r="A412" i="58"/>
  <c r="D412" i="58"/>
  <c r="C412" i="58"/>
  <c r="A413" i="58"/>
  <c r="D413" i="58"/>
  <c r="C413" i="58"/>
  <c r="A414" i="58"/>
  <c r="D414" i="58"/>
  <c r="C414" i="58"/>
  <c r="A415" i="58"/>
  <c r="D415" i="58"/>
  <c r="C415" i="58"/>
  <c r="A416" i="58"/>
  <c r="D416" i="58"/>
  <c r="C416" i="58"/>
  <c r="A417" i="58"/>
  <c r="D417" i="58"/>
  <c r="C417" i="58"/>
  <c r="D418" i="58"/>
  <c r="C204" i="38"/>
  <c r="C219" i="38" s="1"/>
  <c r="C234" i="38" s="1"/>
  <c r="C249" i="38" s="1"/>
  <c r="C264" i="38" s="1"/>
  <c r="D62" i="38"/>
  <c r="D67" i="38"/>
  <c r="F3" i="37"/>
  <c r="F5" i="37"/>
  <c r="F5" i="41" s="1"/>
  <c r="F7" i="37"/>
  <c r="F7" i="41" s="1"/>
  <c r="F8" i="37"/>
  <c r="A3" i="37"/>
  <c r="A3" i="41" s="1"/>
  <c r="D3" i="37"/>
  <c r="D3" i="41" s="1"/>
  <c r="B3" i="37"/>
  <c r="B3" i="41" s="1"/>
  <c r="C3" i="37"/>
  <c r="C3" i="41" s="1"/>
  <c r="G183" i="35"/>
  <c r="G184" i="35"/>
  <c r="A5" i="37"/>
  <c r="A5" i="41" s="1"/>
  <c r="D5" i="37"/>
  <c r="D5" i="41" s="1"/>
  <c r="B5" i="37"/>
  <c r="B5" i="41" s="1"/>
  <c r="C5" i="37"/>
  <c r="C5" i="41" s="1"/>
  <c r="A7" i="37"/>
  <c r="A7" i="41" s="1"/>
  <c r="D7" i="37"/>
  <c r="D7" i="41" s="1"/>
  <c r="B7" i="37"/>
  <c r="B7" i="41" s="1"/>
  <c r="C7" i="37"/>
  <c r="C7" i="41" s="1"/>
  <c r="A8" i="37"/>
  <c r="A8" i="41" s="1"/>
  <c r="D8" i="37"/>
  <c r="D8" i="41" s="1"/>
  <c r="B8" i="37"/>
  <c r="B8" i="41" s="1"/>
  <c r="C8" i="37"/>
  <c r="C8" i="41" s="1"/>
  <c r="A9" i="37"/>
  <c r="A9" i="41" s="1"/>
  <c r="D9" i="37"/>
  <c r="D9" i="41" s="1"/>
  <c r="B9" i="37"/>
  <c r="B9" i="41" s="1"/>
  <c r="C9" i="37"/>
  <c r="C9" i="41" s="1"/>
  <c r="F9" i="37"/>
  <c r="F9" i="41" s="1"/>
  <c r="A10" i="37"/>
  <c r="A10" i="41" s="1"/>
  <c r="D10" i="37"/>
  <c r="D10" i="41" s="1"/>
  <c r="B10" i="37"/>
  <c r="B10" i="41" s="1"/>
  <c r="C10" i="37"/>
  <c r="C10" i="41" s="1"/>
  <c r="F10" i="37"/>
  <c r="F10" i="41" s="1"/>
  <c r="A11" i="37"/>
  <c r="A11" i="41" s="1"/>
  <c r="D11" i="37"/>
  <c r="D11" i="41" s="1"/>
  <c r="B11" i="37"/>
  <c r="B11" i="41" s="1"/>
  <c r="C11" i="37"/>
  <c r="C11" i="41" s="1"/>
  <c r="F11" i="37"/>
  <c r="F11" i="41" s="1"/>
  <c r="A12" i="37"/>
  <c r="A12" i="41" s="1"/>
  <c r="D12" i="37"/>
  <c r="D12" i="41" s="1"/>
  <c r="B12" i="37"/>
  <c r="B12" i="41" s="1"/>
  <c r="C12" i="37"/>
  <c r="C12" i="41" s="1"/>
  <c r="F12" i="37"/>
  <c r="F12" i="41" s="1"/>
  <c r="A13" i="37"/>
  <c r="A13" i="41" s="1"/>
  <c r="D13" i="37"/>
  <c r="D13" i="41" s="1"/>
  <c r="B13" i="37"/>
  <c r="B13" i="41" s="1"/>
  <c r="C13" i="37"/>
  <c r="C13" i="41" s="1"/>
  <c r="F13" i="37"/>
  <c r="F13" i="41" s="1"/>
  <c r="A14" i="37"/>
  <c r="A14" i="41" s="1"/>
  <c r="D14" i="37"/>
  <c r="D14" i="41" s="1"/>
  <c r="B14" i="37"/>
  <c r="B14" i="41" s="1"/>
  <c r="C14" i="37"/>
  <c r="C14" i="41" s="1"/>
  <c r="F14" i="37"/>
  <c r="F14" i="41" s="1"/>
  <c r="A15" i="37"/>
  <c r="A15" i="41" s="1"/>
  <c r="D15" i="37"/>
  <c r="D15" i="41" s="1"/>
  <c r="B15" i="37"/>
  <c r="B15" i="41" s="1"/>
  <c r="C15" i="37"/>
  <c r="C15" i="41" s="1"/>
  <c r="F15" i="37"/>
  <c r="F15" i="41" s="1"/>
  <c r="A16" i="37"/>
  <c r="A16" i="41" s="1"/>
  <c r="D16" i="37"/>
  <c r="D16" i="41" s="1"/>
  <c r="B16" i="37"/>
  <c r="B16" i="41" s="1"/>
  <c r="C16" i="37"/>
  <c r="C16" i="41" s="1"/>
  <c r="F16" i="37"/>
  <c r="F16" i="41" s="1"/>
  <c r="A17" i="37"/>
  <c r="A17" i="41" s="1"/>
  <c r="D17" i="37"/>
  <c r="D17" i="41" s="1"/>
  <c r="B17" i="37"/>
  <c r="B17" i="41" s="1"/>
  <c r="C17" i="37"/>
  <c r="C17" i="41" s="1"/>
  <c r="F17" i="37"/>
  <c r="F17" i="41" s="1"/>
  <c r="A18" i="37"/>
  <c r="A18" i="41" s="1"/>
  <c r="D18" i="37"/>
  <c r="D18" i="41" s="1"/>
  <c r="B18" i="37"/>
  <c r="B18" i="41" s="1"/>
  <c r="C18" i="37"/>
  <c r="C18" i="41" s="1"/>
  <c r="F18" i="37"/>
  <c r="F18" i="41" s="1"/>
  <c r="A19" i="37"/>
  <c r="A19" i="41" s="1"/>
  <c r="D19" i="37"/>
  <c r="D19" i="41" s="1"/>
  <c r="B19" i="37"/>
  <c r="B19" i="41" s="1"/>
  <c r="C19" i="37"/>
  <c r="C19" i="41" s="1"/>
  <c r="F19" i="37"/>
  <c r="F19" i="41" s="1"/>
  <c r="A20" i="37"/>
  <c r="A20" i="41" s="1"/>
  <c r="D20" i="37"/>
  <c r="D20" i="41" s="1"/>
  <c r="B20" i="37"/>
  <c r="B20" i="41" s="1"/>
  <c r="C20" i="37"/>
  <c r="C20" i="41" s="1"/>
  <c r="F20" i="37"/>
  <c r="F20" i="41" s="1"/>
  <c r="A21" i="37"/>
  <c r="A21" i="41" s="1"/>
  <c r="D21" i="37"/>
  <c r="D21" i="41" s="1"/>
  <c r="B21" i="37"/>
  <c r="B21" i="41" s="1"/>
  <c r="C21" i="37"/>
  <c r="C21" i="41" s="1"/>
  <c r="F21" i="37"/>
  <c r="F21" i="41" s="1"/>
  <c r="A22" i="37"/>
  <c r="A22" i="41" s="1"/>
  <c r="D22" i="37"/>
  <c r="D22" i="41" s="1"/>
  <c r="B22" i="37"/>
  <c r="B22" i="41" s="1"/>
  <c r="C22" i="37"/>
  <c r="C22" i="41" s="1"/>
  <c r="F22" i="37"/>
  <c r="F22" i="41" s="1"/>
  <c r="A23" i="37"/>
  <c r="A23" i="41" s="1"/>
  <c r="D23" i="37"/>
  <c r="D23" i="41" s="1"/>
  <c r="B23" i="37"/>
  <c r="B23" i="41" s="1"/>
  <c r="C23" i="37"/>
  <c r="C23" i="41" s="1"/>
  <c r="F23" i="37"/>
  <c r="F23" i="41" s="1"/>
  <c r="A24" i="37"/>
  <c r="A24" i="41" s="1"/>
  <c r="D24" i="37"/>
  <c r="D24" i="41" s="1"/>
  <c r="B24" i="37"/>
  <c r="B24" i="41" s="1"/>
  <c r="C24" i="37"/>
  <c r="C24" i="41" s="1"/>
  <c r="F24" i="37"/>
  <c r="F24" i="41" s="1"/>
  <c r="A25" i="37"/>
  <c r="A25" i="41" s="1"/>
  <c r="D25" i="37"/>
  <c r="D25" i="41" s="1"/>
  <c r="B25" i="37"/>
  <c r="B25" i="41" s="1"/>
  <c r="C25" i="37"/>
  <c r="C25" i="41" s="1"/>
  <c r="F25" i="37"/>
  <c r="F25" i="41" s="1"/>
  <c r="A26" i="37"/>
  <c r="A26" i="41" s="1"/>
  <c r="D26" i="37"/>
  <c r="D26" i="41" s="1"/>
  <c r="B26" i="37"/>
  <c r="B26" i="41" s="1"/>
  <c r="C26" i="37"/>
  <c r="C26" i="41" s="1"/>
  <c r="F26" i="37"/>
  <c r="F26" i="41" s="1"/>
  <c r="A27" i="37"/>
  <c r="A27" i="41" s="1"/>
  <c r="D27" i="37"/>
  <c r="D27" i="41" s="1"/>
  <c r="B27" i="37"/>
  <c r="B27" i="41" s="1"/>
  <c r="C27" i="37"/>
  <c r="C27" i="41" s="1"/>
  <c r="F27" i="37"/>
  <c r="F27" i="41" s="1"/>
  <c r="A28" i="37"/>
  <c r="A28" i="41" s="1"/>
  <c r="D28" i="37"/>
  <c r="D28" i="41" s="1"/>
  <c r="B28" i="37"/>
  <c r="B28" i="41" s="1"/>
  <c r="C28" i="37"/>
  <c r="C28" i="41" s="1"/>
  <c r="F28" i="37"/>
  <c r="F28" i="41" s="1"/>
  <c r="A29" i="37"/>
  <c r="A29" i="41" s="1"/>
  <c r="D29" i="37"/>
  <c r="D29" i="41" s="1"/>
  <c r="B29" i="37"/>
  <c r="B29" i="41" s="1"/>
  <c r="C29" i="37"/>
  <c r="C29" i="41" s="1"/>
  <c r="F29" i="37"/>
  <c r="F29" i="41" s="1"/>
  <c r="A30" i="37"/>
  <c r="A30" i="41" s="1"/>
  <c r="D30" i="37"/>
  <c r="D30" i="41" s="1"/>
  <c r="B30" i="37"/>
  <c r="B30" i="41" s="1"/>
  <c r="C30" i="37"/>
  <c r="C30" i="41" s="1"/>
  <c r="F30" i="37"/>
  <c r="F30" i="41" s="1"/>
  <c r="A31" i="37"/>
  <c r="A31" i="41" s="1"/>
  <c r="D31" i="37"/>
  <c r="D31" i="41" s="1"/>
  <c r="B31" i="37"/>
  <c r="B31" i="41" s="1"/>
  <c r="C31" i="37"/>
  <c r="C31" i="41" s="1"/>
  <c r="F31" i="37"/>
  <c r="F31" i="41" s="1"/>
  <c r="A32" i="37"/>
  <c r="A32" i="41" s="1"/>
  <c r="D32" i="37"/>
  <c r="D32" i="41" s="1"/>
  <c r="B32" i="37"/>
  <c r="B32" i="41" s="1"/>
  <c r="C32" i="37"/>
  <c r="C32" i="41" s="1"/>
  <c r="F32" i="37"/>
  <c r="F32" i="41" s="1"/>
  <c r="A33" i="37"/>
  <c r="A33" i="41" s="1"/>
  <c r="D33" i="37"/>
  <c r="D33" i="41" s="1"/>
  <c r="B33" i="37"/>
  <c r="B33" i="41" s="1"/>
  <c r="C33" i="37"/>
  <c r="C33" i="41" s="1"/>
  <c r="F33" i="37"/>
  <c r="F33" i="41" s="1"/>
  <c r="A34" i="37"/>
  <c r="A34" i="41" s="1"/>
  <c r="D34" i="37"/>
  <c r="D34" i="41" s="1"/>
  <c r="B34" i="37"/>
  <c r="B34" i="41" s="1"/>
  <c r="C34" i="37"/>
  <c r="C34" i="41" s="1"/>
  <c r="F34" i="37"/>
  <c r="F34" i="41" s="1"/>
  <c r="A35" i="37"/>
  <c r="A35" i="41" s="1"/>
  <c r="D35" i="37"/>
  <c r="D35" i="41" s="1"/>
  <c r="B35" i="37"/>
  <c r="B35" i="41" s="1"/>
  <c r="C35" i="37"/>
  <c r="C35" i="41" s="1"/>
  <c r="F35" i="37"/>
  <c r="F35" i="41" s="1"/>
  <c r="A36" i="37"/>
  <c r="A36" i="41" s="1"/>
  <c r="D36" i="37"/>
  <c r="D36" i="41" s="1"/>
  <c r="B36" i="37"/>
  <c r="B36" i="41" s="1"/>
  <c r="C36" i="37"/>
  <c r="C36" i="41" s="1"/>
  <c r="F36" i="37"/>
  <c r="F36" i="41" s="1"/>
  <c r="A37" i="37"/>
  <c r="A37" i="41" s="1"/>
  <c r="D37" i="37"/>
  <c r="D37" i="41" s="1"/>
  <c r="B37" i="37"/>
  <c r="B37" i="41" s="1"/>
  <c r="C37" i="37"/>
  <c r="C37" i="41" s="1"/>
  <c r="F37" i="37"/>
  <c r="F37" i="41" s="1"/>
  <c r="A38" i="37"/>
  <c r="A38" i="41" s="1"/>
  <c r="D38" i="37"/>
  <c r="D38" i="41" s="1"/>
  <c r="B38" i="37"/>
  <c r="B38" i="41" s="1"/>
  <c r="C38" i="37"/>
  <c r="C38" i="41" s="1"/>
  <c r="F38" i="37"/>
  <c r="F38" i="41" s="1"/>
  <c r="A39" i="37"/>
  <c r="A39" i="41" s="1"/>
  <c r="D39" i="37"/>
  <c r="D39" i="41" s="1"/>
  <c r="B39" i="37"/>
  <c r="B39" i="41" s="1"/>
  <c r="C39" i="37"/>
  <c r="C39" i="41" s="1"/>
  <c r="F39" i="37"/>
  <c r="F39" i="41" s="1"/>
  <c r="A40" i="37"/>
  <c r="A40" i="41" s="1"/>
  <c r="D40" i="37"/>
  <c r="D40" i="41" s="1"/>
  <c r="B40" i="37"/>
  <c r="B40" i="41" s="1"/>
  <c r="C40" i="37"/>
  <c r="C40" i="41" s="1"/>
  <c r="F40" i="37"/>
  <c r="F40" i="41" s="1"/>
  <c r="A41" i="37"/>
  <c r="A41" i="41" s="1"/>
  <c r="D41" i="37"/>
  <c r="D41" i="41" s="1"/>
  <c r="B41" i="37"/>
  <c r="B41" i="41" s="1"/>
  <c r="C41" i="37"/>
  <c r="C41" i="41" s="1"/>
  <c r="F41" i="37"/>
  <c r="F41" i="41" s="1"/>
  <c r="A42" i="37"/>
  <c r="A42" i="41" s="1"/>
  <c r="D42" i="37"/>
  <c r="D42" i="41" s="1"/>
  <c r="B42" i="37"/>
  <c r="B42" i="41" s="1"/>
  <c r="C42" i="37"/>
  <c r="C42" i="41" s="1"/>
  <c r="F42" i="37"/>
  <c r="F42" i="41" s="1"/>
  <c r="A43" i="37"/>
  <c r="A43" i="41" s="1"/>
  <c r="D43" i="37"/>
  <c r="D43" i="41" s="1"/>
  <c r="B43" i="37"/>
  <c r="B43" i="41" s="1"/>
  <c r="C43" i="37"/>
  <c r="C43" i="41" s="1"/>
  <c r="F43" i="37"/>
  <c r="F43" i="41" s="1"/>
  <c r="A44" i="37"/>
  <c r="A44" i="41" s="1"/>
  <c r="D44" i="37"/>
  <c r="D44" i="41" s="1"/>
  <c r="B44" i="37"/>
  <c r="B44" i="41" s="1"/>
  <c r="C44" i="37"/>
  <c r="C44" i="41" s="1"/>
  <c r="F44" i="37"/>
  <c r="F44" i="41" s="1"/>
  <c r="A45" i="37"/>
  <c r="A45" i="41" s="1"/>
  <c r="D45" i="37"/>
  <c r="D45" i="41" s="1"/>
  <c r="B45" i="37"/>
  <c r="B45" i="41" s="1"/>
  <c r="C45" i="37"/>
  <c r="C45" i="41" s="1"/>
  <c r="F45" i="37"/>
  <c r="F45" i="41" s="1"/>
  <c r="A46" i="37"/>
  <c r="A46" i="41" s="1"/>
  <c r="D46" i="37"/>
  <c r="D46" i="41" s="1"/>
  <c r="B46" i="37"/>
  <c r="B46" i="41" s="1"/>
  <c r="C46" i="37"/>
  <c r="C46" i="41" s="1"/>
  <c r="F46" i="37"/>
  <c r="F46" i="41" s="1"/>
  <c r="A47" i="37"/>
  <c r="A47" i="41" s="1"/>
  <c r="D47" i="37"/>
  <c r="D47" i="41" s="1"/>
  <c r="B47" i="37"/>
  <c r="B47" i="41" s="1"/>
  <c r="C47" i="37"/>
  <c r="C47" i="41" s="1"/>
  <c r="F47" i="37"/>
  <c r="F47" i="41" s="1"/>
  <c r="A48" i="37"/>
  <c r="A48" i="41" s="1"/>
  <c r="D48" i="37"/>
  <c r="D48" i="41" s="1"/>
  <c r="B48" i="37"/>
  <c r="B48" i="41" s="1"/>
  <c r="C48" i="37"/>
  <c r="C48" i="41" s="1"/>
  <c r="F48" i="37"/>
  <c r="F48" i="41" s="1"/>
  <c r="A49" i="37"/>
  <c r="A49" i="41" s="1"/>
  <c r="D49" i="37"/>
  <c r="D49" i="41" s="1"/>
  <c r="B49" i="37"/>
  <c r="B49" i="41" s="1"/>
  <c r="C49" i="37"/>
  <c r="C49" i="41" s="1"/>
  <c r="F49" i="37"/>
  <c r="F49" i="41" s="1"/>
  <c r="A50" i="37"/>
  <c r="A50" i="41" s="1"/>
  <c r="D50" i="37"/>
  <c r="D50" i="41" s="1"/>
  <c r="B50" i="37"/>
  <c r="B50" i="41" s="1"/>
  <c r="C50" i="37"/>
  <c r="C50" i="41" s="1"/>
  <c r="F50" i="37"/>
  <c r="F50" i="41" s="1"/>
  <c r="A51" i="37"/>
  <c r="A51" i="41" s="1"/>
  <c r="D51" i="37"/>
  <c r="D51" i="41" s="1"/>
  <c r="B51" i="37"/>
  <c r="B51" i="41" s="1"/>
  <c r="C51" i="37"/>
  <c r="C51" i="41" s="1"/>
  <c r="F51" i="37"/>
  <c r="F51" i="41" s="1"/>
  <c r="A52" i="37"/>
  <c r="A52" i="41" s="1"/>
  <c r="D52" i="37"/>
  <c r="D52" i="41" s="1"/>
  <c r="B52" i="37"/>
  <c r="B52" i="41" s="1"/>
  <c r="C52" i="37"/>
  <c r="C52" i="41" s="1"/>
  <c r="F52" i="37"/>
  <c r="F52" i="41" s="1"/>
  <c r="A53" i="37"/>
  <c r="A53" i="41" s="1"/>
  <c r="D53" i="37"/>
  <c r="D53" i="41" s="1"/>
  <c r="B53" i="37"/>
  <c r="B53" i="41" s="1"/>
  <c r="C53" i="37"/>
  <c r="C53" i="41" s="1"/>
  <c r="F53" i="37"/>
  <c r="F53" i="41" s="1"/>
  <c r="A54" i="37"/>
  <c r="A54" i="41" s="1"/>
  <c r="D54" i="37"/>
  <c r="D54" i="41" s="1"/>
  <c r="B54" i="37"/>
  <c r="B54" i="41" s="1"/>
  <c r="C54" i="37"/>
  <c r="C54" i="41" s="1"/>
  <c r="F54" i="37"/>
  <c r="F54" i="41" s="1"/>
  <c r="A55" i="37"/>
  <c r="A55" i="41" s="1"/>
  <c r="D55" i="37"/>
  <c r="D55" i="41" s="1"/>
  <c r="B55" i="37"/>
  <c r="B55" i="41" s="1"/>
  <c r="C55" i="37"/>
  <c r="C55" i="41" s="1"/>
  <c r="F55" i="37"/>
  <c r="F55" i="41" s="1"/>
  <c r="A56" i="37"/>
  <c r="A56" i="41" s="1"/>
  <c r="D56" i="37"/>
  <c r="D56" i="41" s="1"/>
  <c r="B56" i="37"/>
  <c r="B56" i="41" s="1"/>
  <c r="C56" i="37"/>
  <c r="C56" i="41" s="1"/>
  <c r="F56" i="37"/>
  <c r="F56" i="41" s="1"/>
  <c r="A57" i="37"/>
  <c r="A57" i="41" s="1"/>
  <c r="D57" i="37"/>
  <c r="D57" i="41" s="1"/>
  <c r="B57" i="37"/>
  <c r="B57" i="41" s="1"/>
  <c r="C57" i="37"/>
  <c r="C57" i="41" s="1"/>
  <c r="F57" i="37"/>
  <c r="F57" i="41" s="1"/>
  <c r="A58" i="37"/>
  <c r="A58" i="41" s="1"/>
  <c r="D58" i="37"/>
  <c r="D58" i="41" s="1"/>
  <c r="B58" i="37"/>
  <c r="B58" i="41" s="1"/>
  <c r="C58" i="37"/>
  <c r="C58" i="41" s="1"/>
  <c r="F58" i="37"/>
  <c r="F58" i="41" s="1"/>
  <c r="A59" i="37"/>
  <c r="A59" i="41" s="1"/>
  <c r="D59" i="37"/>
  <c r="D59" i="41" s="1"/>
  <c r="B59" i="37"/>
  <c r="B59" i="41" s="1"/>
  <c r="C59" i="37"/>
  <c r="C59" i="41" s="1"/>
  <c r="F59" i="37"/>
  <c r="F59" i="41" s="1"/>
  <c r="A60" i="37"/>
  <c r="A60" i="41" s="1"/>
  <c r="D60" i="37"/>
  <c r="D60" i="41" s="1"/>
  <c r="B60" i="37"/>
  <c r="B60" i="41" s="1"/>
  <c r="C60" i="37"/>
  <c r="C60" i="41" s="1"/>
  <c r="F60" i="37"/>
  <c r="F60" i="41" s="1"/>
  <c r="A61" i="37"/>
  <c r="A61" i="41" s="1"/>
  <c r="D61" i="37"/>
  <c r="D61" i="41" s="1"/>
  <c r="B61" i="37"/>
  <c r="B61" i="41" s="1"/>
  <c r="C61" i="37"/>
  <c r="C61" i="41" s="1"/>
  <c r="F61" i="37"/>
  <c r="F61" i="41" s="1"/>
  <c r="A62" i="37"/>
  <c r="A62" i="41" s="1"/>
  <c r="D62" i="37"/>
  <c r="D62" i="41" s="1"/>
  <c r="B62" i="37"/>
  <c r="B62" i="41" s="1"/>
  <c r="C62" i="37"/>
  <c r="C62" i="41" s="1"/>
  <c r="F62" i="37"/>
  <c r="F62" i="41" s="1"/>
  <c r="A63" i="37"/>
  <c r="A63" i="41" s="1"/>
  <c r="D63" i="37"/>
  <c r="D63" i="41" s="1"/>
  <c r="B63" i="37"/>
  <c r="B63" i="41" s="1"/>
  <c r="C63" i="37"/>
  <c r="C63" i="41" s="1"/>
  <c r="F63" i="37"/>
  <c r="F63" i="41" s="1"/>
  <c r="A64" i="37"/>
  <c r="A64" i="41" s="1"/>
  <c r="D64" i="37"/>
  <c r="D64" i="41" s="1"/>
  <c r="B64" i="37"/>
  <c r="B64" i="41" s="1"/>
  <c r="C64" i="37"/>
  <c r="C64" i="41" s="1"/>
  <c r="F64" i="37"/>
  <c r="F64" i="41" s="1"/>
  <c r="A65" i="37"/>
  <c r="A65" i="41" s="1"/>
  <c r="D65" i="37"/>
  <c r="D65" i="41" s="1"/>
  <c r="B65" i="37"/>
  <c r="B65" i="41" s="1"/>
  <c r="C65" i="37"/>
  <c r="C65" i="41" s="1"/>
  <c r="F65" i="37"/>
  <c r="F65" i="41" s="1"/>
  <c r="A66" i="37"/>
  <c r="A66" i="41" s="1"/>
  <c r="D66" i="37"/>
  <c r="D66" i="41" s="1"/>
  <c r="B66" i="37"/>
  <c r="B66" i="41" s="1"/>
  <c r="C66" i="37"/>
  <c r="C66" i="41" s="1"/>
  <c r="F66" i="37"/>
  <c r="F66" i="41" s="1"/>
  <c r="A67" i="37"/>
  <c r="A67" i="41" s="1"/>
  <c r="D67" i="37"/>
  <c r="D67" i="41" s="1"/>
  <c r="B67" i="37"/>
  <c r="B67" i="41" s="1"/>
  <c r="C67" i="37"/>
  <c r="C67" i="41" s="1"/>
  <c r="F67" i="37"/>
  <c r="F67" i="41" s="1"/>
  <c r="A68" i="37"/>
  <c r="A68" i="41" s="1"/>
  <c r="D68" i="37"/>
  <c r="D68" i="41" s="1"/>
  <c r="B68" i="37"/>
  <c r="B68" i="41" s="1"/>
  <c r="C68" i="37"/>
  <c r="C68" i="41" s="1"/>
  <c r="F68" i="37"/>
  <c r="F68" i="41" s="1"/>
  <c r="A69" i="37"/>
  <c r="A69" i="41" s="1"/>
  <c r="D69" i="37"/>
  <c r="D69" i="41" s="1"/>
  <c r="B69" i="37"/>
  <c r="B69" i="41" s="1"/>
  <c r="C69" i="37"/>
  <c r="C69" i="41" s="1"/>
  <c r="F69" i="37"/>
  <c r="F69" i="41" s="1"/>
  <c r="A70" i="37"/>
  <c r="A70" i="41" s="1"/>
  <c r="D70" i="37"/>
  <c r="D70" i="41" s="1"/>
  <c r="B70" i="37"/>
  <c r="B70" i="41" s="1"/>
  <c r="C70" i="37"/>
  <c r="C70" i="41" s="1"/>
  <c r="F70" i="37"/>
  <c r="F70" i="41" s="1"/>
  <c r="A71" i="37"/>
  <c r="A71" i="41" s="1"/>
  <c r="D71" i="37"/>
  <c r="D71" i="41" s="1"/>
  <c r="B71" i="37"/>
  <c r="B71" i="41" s="1"/>
  <c r="C71" i="37"/>
  <c r="C71" i="41" s="1"/>
  <c r="F71" i="37"/>
  <c r="F71" i="41" s="1"/>
  <c r="A72" i="37"/>
  <c r="A72" i="41" s="1"/>
  <c r="D72" i="37"/>
  <c r="D72" i="41" s="1"/>
  <c r="B72" i="37"/>
  <c r="B72" i="41" s="1"/>
  <c r="C72" i="37"/>
  <c r="C72" i="41" s="1"/>
  <c r="F72" i="37"/>
  <c r="F72" i="41" s="1"/>
  <c r="A73" i="37"/>
  <c r="A73" i="41" s="1"/>
  <c r="D73" i="37"/>
  <c r="D73" i="41" s="1"/>
  <c r="B73" i="37"/>
  <c r="B73" i="41" s="1"/>
  <c r="C73" i="37"/>
  <c r="C73" i="41" s="1"/>
  <c r="F73" i="37"/>
  <c r="F73" i="41" s="1"/>
  <c r="A74" i="37"/>
  <c r="A74" i="41" s="1"/>
  <c r="D74" i="37"/>
  <c r="D74" i="41" s="1"/>
  <c r="B74" i="37"/>
  <c r="B74" i="41" s="1"/>
  <c r="C74" i="37"/>
  <c r="C74" i="41" s="1"/>
  <c r="F74" i="37"/>
  <c r="F74" i="41" s="1"/>
  <c r="A75" i="37"/>
  <c r="A75" i="41" s="1"/>
  <c r="D75" i="37"/>
  <c r="D75" i="41" s="1"/>
  <c r="B75" i="37"/>
  <c r="B75" i="41" s="1"/>
  <c r="C75" i="37"/>
  <c r="C75" i="41" s="1"/>
  <c r="F75" i="37"/>
  <c r="F75" i="41" s="1"/>
  <c r="A76" i="37"/>
  <c r="A76" i="41" s="1"/>
  <c r="D76" i="37"/>
  <c r="D76" i="41" s="1"/>
  <c r="B76" i="37"/>
  <c r="B76" i="41" s="1"/>
  <c r="C76" i="37"/>
  <c r="C76" i="41" s="1"/>
  <c r="F76" i="37"/>
  <c r="F76" i="41" s="1"/>
  <c r="A77" i="37"/>
  <c r="A77" i="41" s="1"/>
  <c r="D77" i="37"/>
  <c r="D77" i="41" s="1"/>
  <c r="B77" i="37"/>
  <c r="B77" i="41" s="1"/>
  <c r="C77" i="37"/>
  <c r="C77" i="41" s="1"/>
  <c r="F77" i="37"/>
  <c r="F77" i="41" s="1"/>
  <c r="A78" i="37"/>
  <c r="A78" i="41" s="1"/>
  <c r="D78" i="37"/>
  <c r="D78" i="41" s="1"/>
  <c r="B78" i="37"/>
  <c r="B78" i="41" s="1"/>
  <c r="C78" i="37"/>
  <c r="C78" i="41" s="1"/>
  <c r="F78" i="37"/>
  <c r="F78" i="41" s="1"/>
  <c r="A79" i="37"/>
  <c r="A79" i="41" s="1"/>
  <c r="D79" i="37"/>
  <c r="D79" i="41" s="1"/>
  <c r="B79" i="37"/>
  <c r="B79" i="41" s="1"/>
  <c r="C79" i="37"/>
  <c r="C79" i="41" s="1"/>
  <c r="F79" i="37"/>
  <c r="F79" i="41" s="1"/>
  <c r="A80" i="37"/>
  <c r="A80" i="41" s="1"/>
  <c r="D80" i="37"/>
  <c r="D80" i="41" s="1"/>
  <c r="B80" i="37"/>
  <c r="B80" i="41" s="1"/>
  <c r="C80" i="37"/>
  <c r="C80" i="41" s="1"/>
  <c r="F80" i="37"/>
  <c r="F80" i="41" s="1"/>
  <c r="A81" i="37"/>
  <c r="A81" i="41" s="1"/>
  <c r="D81" i="37"/>
  <c r="D81" i="41" s="1"/>
  <c r="B81" i="37"/>
  <c r="B81" i="41" s="1"/>
  <c r="C81" i="37"/>
  <c r="C81" i="41" s="1"/>
  <c r="F81" i="37"/>
  <c r="F81" i="41" s="1"/>
  <c r="A82" i="37"/>
  <c r="A82" i="41" s="1"/>
  <c r="D82" i="37"/>
  <c r="D82" i="41" s="1"/>
  <c r="B82" i="37"/>
  <c r="B82" i="41" s="1"/>
  <c r="C82" i="37"/>
  <c r="C82" i="41" s="1"/>
  <c r="F82" i="37"/>
  <c r="F82" i="41" s="1"/>
  <c r="A83" i="37"/>
  <c r="A83" i="41" s="1"/>
  <c r="D83" i="37"/>
  <c r="D83" i="41" s="1"/>
  <c r="B83" i="37"/>
  <c r="B83" i="41" s="1"/>
  <c r="C83" i="37"/>
  <c r="C83" i="41" s="1"/>
  <c r="F83" i="37"/>
  <c r="F83" i="41" s="1"/>
  <c r="A84" i="37"/>
  <c r="A84" i="41" s="1"/>
  <c r="D84" i="37"/>
  <c r="D84" i="41" s="1"/>
  <c r="B84" i="37"/>
  <c r="B84" i="41" s="1"/>
  <c r="C84" i="37"/>
  <c r="C84" i="41" s="1"/>
  <c r="F84" i="37"/>
  <c r="F84" i="41" s="1"/>
  <c r="A85" i="37"/>
  <c r="A85" i="41" s="1"/>
  <c r="D85" i="37"/>
  <c r="D85" i="41" s="1"/>
  <c r="B85" i="37"/>
  <c r="B85" i="41" s="1"/>
  <c r="C85" i="37"/>
  <c r="C85" i="41" s="1"/>
  <c r="F85" i="37"/>
  <c r="F85" i="41" s="1"/>
  <c r="A86" i="37"/>
  <c r="A86" i="41" s="1"/>
  <c r="D86" i="37"/>
  <c r="D86" i="41" s="1"/>
  <c r="B86" i="37"/>
  <c r="B86" i="41" s="1"/>
  <c r="C86" i="37"/>
  <c r="C86" i="41" s="1"/>
  <c r="F86" i="37"/>
  <c r="F86" i="41" s="1"/>
  <c r="A87" i="37"/>
  <c r="A87" i="41" s="1"/>
  <c r="D87" i="37"/>
  <c r="D87" i="41" s="1"/>
  <c r="B87" i="37"/>
  <c r="B87" i="41" s="1"/>
  <c r="C87" i="37"/>
  <c r="C87" i="41" s="1"/>
  <c r="F87" i="37"/>
  <c r="F87" i="41" s="1"/>
  <c r="A88" i="37"/>
  <c r="A88" i="41" s="1"/>
  <c r="D88" i="37"/>
  <c r="D88" i="41" s="1"/>
  <c r="B88" i="37"/>
  <c r="B88" i="41" s="1"/>
  <c r="C88" i="37"/>
  <c r="C88" i="41" s="1"/>
  <c r="F88" i="37"/>
  <c r="F88" i="41" s="1"/>
  <c r="A89" i="37"/>
  <c r="A89" i="41" s="1"/>
  <c r="D89" i="37"/>
  <c r="D89" i="41" s="1"/>
  <c r="B89" i="37"/>
  <c r="B89" i="41" s="1"/>
  <c r="C89" i="37"/>
  <c r="C89" i="41" s="1"/>
  <c r="F89" i="37"/>
  <c r="F89" i="41" s="1"/>
  <c r="A90" i="37"/>
  <c r="A90" i="41" s="1"/>
  <c r="D90" i="37"/>
  <c r="D90" i="41" s="1"/>
  <c r="B90" i="37"/>
  <c r="B90" i="41" s="1"/>
  <c r="C90" i="37"/>
  <c r="C90" i="41" s="1"/>
  <c r="F90" i="37"/>
  <c r="F90" i="41" s="1"/>
  <c r="A91" i="37"/>
  <c r="A91" i="41" s="1"/>
  <c r="D91" i="37"/>
  <c r="D91" i="41" s="1"/>
  <c r="B91" i="37"/>
  <c r="B91" i="41" s="1"/>
  <c r="C91" i="37"/>
  <c r="C91" i="41" s="1"/>
  <c r="F91" i="37"/>
  <c r="F91" i="41" s="1"/>
  <c r="A92" i="37"/>
  <c r="A92" i="41" s="1"/>
  <c r="D92" i="37"/>
  <c r="D92" i="41" s="1"/>
  <c r="B92" i="37"/>
  <c r="B92" i="41" s="1"/>
  <c r="C92" i="37"/>
  <c r="C92" i="41" s="1"/>
  <c r="F92" i="37"/>
  <c r="F92" i="41" s="1"/>
  <c r="A93" i="37"/>
  <c r="A93" i="41" s="1"/>
  <c r="D93" i="37"/>
  <c r="D93" i="41" s="1"/>
  <c r="B93" i="37"/>
  <c r="B93" i="41" s="1"/>
  <c r="C93" i="37"/>
  <c r="C93" i="41" s="1"/>
  <c r="F93" i="37"/>
  <c r="F93" i="41" s="1"/>
  <c r="A94" i="37"/>
  <c r="A94" i="41" s="1"/>
  <c r="D94" i="37"/>
  <c r="D94" i="41" s="1"/>
  <c r="B94" i="37"/>
  <c r="B94" i="41" s="1"/>
  <c r="C94" i="37"/>
  <c r="C94" i="41" s="1"/>
  <c r="F94" i="37"/>
  <c r="F94" i="41" s="1"/>
  <c r="A95" i="37"/>
  <c r="A95" i="41" s="1"/>
  <c r="D95" i="37"/>
  <c r="D95" i="41" s="1"/>
  <c r="B95" i="37"/>
  <c r="B95" i="41" s="1"/>
  <c r="C95" i="37"/>
  <c r="C95" i="41" s="1"/>
  <c r="F95" i="37"/>
  <c r="F95" i="41" s="1"/>
  <c r="A96" i="37"/>
  <c r="A96" i="41" s="1"/>
  <c r="D96" i="37"/>
  <c r="D96" i="41" s="1"/>
  <c r="B96" i="37"/>
  <c r="B96" i="41" s="1"/>
  <c r="C96" i="37"/>
  <c r="C96" i="41" s="1"/>
  <c r="F96" i="37"/>
  <c r="F96" i="41" s="1"/>
  <c r="A97" i="37"/>
  <c r="A97" i="41" s="1"/>
  <c r="D97" i="37"/>
  <c r="D97" i="41" s="1"/>
  <c r="B97" i="37"/>
  <c r="B97" i="41" s="1"/>
  <c r="C97" i="37"/>
  <c r="C97" i="41" s="1"/>
  <c r="F97" i="37"/>
  <c r="F97" i="41" s="1"/>
  <c r="A98" i="37"/>
  <c r="A98" i="41" s="1"/>
  <c r="D98" i="37"/>
  <c r="D98" i="41" s="1"/>
  <c r="B98" i="37"/>
  <c r="B98" i="41" s="1"/>
  <c r="C98" i="37"/>
  <c r="C98" i="41" s="1"/>
  <c r="F98" i="37"/>
  <c r="F98" i="41" s="1"/>
  <c r="A99" i="37"/>
  <c r="A99" i="41" s="1"/>
  <c r="D99" i="37"/>
  <c r="D99" i="41" s="1"/>
  <c r="B99" i="37"/>
  <c r="B99" i="41" s="1"/>
  <c r="C99" i="37"/>
  <c r="C99" i="41" s="1"/>
  <c r="F99" i="37"/>
  <c r="F99" i="41" s="1"/>
  <c r="A100" i="37"/>
  <c r="A100" i="41" s="1"/>
  <c r="D100" i="37"/>
  <c r="D100" i="41" s="1"/>
  <c r="B100" i="37"/>
  <c r="B100" i="41" s="1"/>
  <c r="C100" i="37"/>
  <c r="C100" i="41" s="1"/>
  <c r="F100" i="37"/>
  <c r="F100" i="41" s="1"/>
  <c r="A101" i="37"/>
  <c r="A101" i="41" s="1"/>
  <c r="D101" i="37"/>
  <c r="D101" i="41" s="1"/>
  <c r="B101" i="37"/>
  <c r="B101" i="41" s="1"/>
  <c r="C101" i="37"/>
  <c r="C101" i="41" s="1"/>
  <c r="F101" i="37"/>
  <c r="F101" i="41" s="1"/>
  <c r="A102" i="37"/>
  <c r="A102" i="41" s="1"/>
  <c r="D102" i="37"/>
  <c r="D102" i="41" s="1"/>
  <c r="B102" i="37"/>
  <c r="B102" i="41" s="1"/>
  <c r="C102" i="37"/>
  <c r="C102" i="41" s="1"/>
  <c r="F102" i="37"/>
  <c r="F102" i="41" s="1"/>
  <c r="A103" i="37"/>
  <c r="A103" i="41" s="1"/>
  <c r="D103" i="37"/>
  <c r="D103" i="41" s="1"/>
  <c r="B103" i="37"/>
  <c r="B103" i="41" s="1"/>
  <c r="C103" i="37"/>
  <c r="C103" i="41" s="1"/>
  <c r="F103" i="37"/>
  <c r="F103" i="41" s="1"/>
  <c r="A104" i="37"/>
  <c r="A104" i="41" s="1"/>
  <c r="D104" i="37"/>
  <c r="D104" i="41" s="1"/>
  <c r="B104" i="37"/>
  <c r="B104" i="41" s="1"/>
  <c r="C104" i="37"/>
  <c r="C104" i="41" s="1"/>
  <c r="F104" i="37"/>
  <c r="F104" i="41" s="1"/>
  <c r="A105" i="37"/>
  <c r="A105" i="41" s="1"/>
  <c r="D105" i="37"/>
  <c r="D105" i="41" s="1"/>
  <c r="B105" i="37"/>
  <c r="B105" i="41" s="1"/>
  <c r="C105" i="37"/>
  <c r="C105" i="41" s="1"/>
  <c r="F105" i="37"/>
  <c r="F105" i="41" s="1"/>
  <c r="A106" i="37"/>
  <c r="A106" i="41" s="1"/>
  <c r="D106" i="37"/>
  <c r="D106" i="41" s="1"/>
  <c r="B106" i="37"/>
  <c r="B106" i="41" s="1"/>
  <c r="C106" i="37"/>
  <c r="C106" i="41" s="1"/>
  <c r="F106" i="37"/>
  <c r="F106" i="41" s="1"/>
  <c r="A107" i="37"/>
  <c r="A107" i="41" s="1"/>
  <c r="D107" i="37"/>
  <c r="D107" i="41" s="1"/>
  <c r="B107" i="37"/>
  <c r="B107" i="41" s="1"/>
  <c r="C107" i="37"/>
  <c r="C107" i="41" s="1"/>
  <c r="F107" i="37"/>
  <c r="F107" i="41" s="1"/>
  <c r="A108" i="37"/>
  <c r="A108" i="41" s="1"/>
  <c r="D108" i="37"/>
  <c r="D108" i="41" s="1"/>
  <c r="B108" i="37"/>
  <c r="B108" i="41" s="1"/>
  <c r="C108" i="37"/>
  <c r="C108" i="41" s="1"/>
  <c r="F108" i="37"/>
  <c r="F108" i="41" s="1"/>
  <c r="A109" i="37"/>
  <c r="A109" i="41" s="1"/>
  <c r="D109" i="37"/>
  <c r="D109" i="41" s="1"/>
  <c r="B109" i="37"/>
  <c r="B109" i="41" s="1"/>
  <c r="C109" i="37"/>
  <c r="C109" i="41" s="1"/>
  <c r="F109" i="37"/>
  <c r="F109" i="41" s="1"/>
  <c r="A110" i="37"/>
  <c r="A110" i="41" s="1"/>
  <c r="D110" i="37"/>
  <c r="D110" i="41" s="1"/>
  <c r="B110" i="37"/>
  <c r="B110" i="41" s="1"/>
  <c r="C110" i="37"/>
  <c r="C110" i="41" s="1"/>
  <c r="F110" i="37"/>
  <c r="F110" i="41" s="1"/>
  <c r="A111" i="37"/>
  <c r="A111" i="41" s="1"/>
  <c r="D111" i="37"/>
  <c r="D111" i="41" s="1"/>
  <c r="B111" i="37"/>
  <c r="B111" i="41" s="1"/>
  <c r="C111" i="37"/>
  <c r="C111" i="41" s="1"/>
  <c r="F111" i="37"/>
  <c r="F111" i="41" s="1"/>
  <c r="A112" i="37"/>
  <c r="A112" i="41" s="1"/>
  <c r="D112" i="37"/>
  <c r="D112" i="41" s="1"/>
  <c r="B112" i="37"/>
  <c r="B112" i="41" s="1"/>
  <c r="C112" i="37"/>
  <c r="C112" i="41" s="1"/>
  <c r="F112" i="37"/>
  <c r="F112" i="41" s="1"/>
  <c r="A113" i="37"/>
  <c r="A113" i="41" s="1"/>
  <c r="D113" i="37"/>
  <c r="D113" i="41" s="1"/>
  <c r="B113" i="37"/>
  <c r="B113" i="41" s="1"/>
  <c r="C113" i="37"/>
  <c r="C113" i="41" s="1"/>
  <c r="F113" i="37"/>
  <c r="F113" i="41" s="1"/>
  <c r="A114" i="37"/>
  <c r="A114" i="41" s="1"/>
  <c r="D114" i="37"/>
  <c r="D114" i="41" s="1"/>
  <c r="B114" i="37"/>
  <c r="B114" i="41" s="1"/>
  <c r="C114" i="37"/>
  <c r="C114" i="41" s="1"/>
  <c r="F114" i="37"/>
  <c r="F114" i="41" s="1"/>
  <c r="A115" i="37"/>
  <c r="A115" i="41" s="1"/>
  <c r="D115" i="37"/>
  <c r="D115" i="41" s="1"/>
  <c r="B115" i="37"/>
  <c r="B115" i="41" s="1"/>
  <c r="C115" i="37"/>
  <c r="C115" i="41" s="1"/>
  <c r="F115" i="37"/>
  <c r="F115" i="41" s="1"/>
  <c r="A116" i="37"/>
  <c r="A116" i="41" s="1"/>
  <c r="D116" i="37"/>
  <c r="D116" i="41" s="1"/>
  <c r="B116" i="37"/>
  <c r="B116" i="41" s="1"/>
  <c r="C116" i="37"/>
  <c r="C116" i="41" s="1"/>
  <c r="F116" i="37"/>
  <c r="F116" i="41" s="1"/>
  <c r="A117" i="37"/>
  <c r="A117" i="41" s="1"/>
  <c r="D117" i="37"/>
  <c r="D117" i="41" s="1"/>
  <c r="B117" i="37"/>
  <c r="B117" i="41" s="1"/>
  <c r="C117" i="37"/>
  <c r="C117" i="41" s="1"/>
  <c r="F117" i="37"/>
  <c r="F117" i="41" s="1"/>
  <c r="A118" i="37"/>
  <c r="A118" i="41" s="1"/>
  <c r="D118" i="37"/>
  <c r="D118" i="41" s="1"/>
  <c r="B118" i="37"/>
  <c r="B118" i="41" s="1"/>
  <c r="C118" i="37"/>
  <c r="C118" i="41" s="1"/>
  <c r="F118" i="37"/>
  <c r="F118" i="41" s="1"/>
  <c r="A119" i="37"/>
  <c r="A119" i="41" s="1"/>
  <c r="D119" i="37"/>
  <c r="D119" i="41" s="1"/>
  <c r="B119" i="37"/>
  <c r="B119" i="41" s="1"/>
  <c r="C119" i="37"/>
  <c r="C119" i="41" s="1"/>
  <c r="F119" i="37"/>
  <c r="F119" i="41" s="1"/>
  <c r="A120" i="37"/>
  <c r="A120" i="41" s="1"/>
  <c r="D120" i="37"/>
  <c r="D120" i="41" s="1"/>
  <c r="B120" i="37"/>
  <c r="B120" i="41" s="1"/>
  <c r="F120" i="37"/>
  <c r="F120" i="41" s="1"/>
  <c r="A121" i="37"/>
  <c r="A121" i="41" s="1"/>
  <c r="D121" i="37"/>
  <c r="D121" i="41" s="1"/>
  <c r="B121" i="37"/>
  <c r="B121" i="41" s="1"/>
  <c r="F121" i="37"/>
  <c r="F121" i="41" s="1"/>
  <c r="A122" i="37"/>
  <c r="A122" i="41" s="1"/>
  <c r="D122" i="37"/>
  <c r="D122" i="41" s="1"/>
  <c r="B122" i="37"/>
  <c r="B122" i="41" s="1"/>
  <c r="F122" i="37"/>
  <c r="F122" i="41" s="1"/>
  <c r="A123" i="37"/>
  <c r="A123" i="41" s="1"/>
  <c r="D123" i="37"/>
  <c r="D123" i="41" s="1"/>
  <c r="B123" i="37"/>
  <c r="B123" i="41" s="1"/>
  <c r="F123" i="37"/>
  <c r="F123" i="41" s="1"/>
  <c r="A124" i="37"/>
  <c r="A124" i="41" s="1"/>
  <c r="D124" i="37"/>
  <c r="D124" i="41" s="1"/>
  <c r="B124" i="37"/>
  <c r="B124" i="41" s="1"/>
  <c r="F124" i="37"/>
  <c r="F124" i="41" s="1"/>
  <c r="A125" i="37"/>
  <c r="A125" i="41" s="1"/>
  <c r="D125" i="37"/>
  <c r="D125" i="41" s="1"/>
  <c r="B125" i="37"/>
  <c r="B125" i="41" s="1"/>
  <c r="F125" i="37"/>
  <c r="F125" i="41" s="1"/>
  <c r="A126" i="37"/>
  <c r="A126" i="41" s="1"/>
  <c r="D126" i="37"/>
  <c r="D126" i="41" s="1"/>
  <c r="B126" i="37"/>
  <c r="B126" i="41" s="1"/>
  <c r="F126" i="37"/>
  <c r="F126" i="41" s="1"/>
  <c r="A127" i="37"/>
  <c r="A127" i="41" s="1"/>
  <c r="D127" i="37"/>
  <c r="D127" i="41" s="1"/>
  <c r="B127" i="37"/>
  <c r="B127" i="41" s="1"/>
  <c r="F127" i="37"/>
  <c r="F127" i="41" s="1"/>
  <c r="A128" i="37"/>
  <c r="A128" i="41" s="1"/>
  <c r="D128" i="37"/>
  <c r="D128" i="41" s="1"/>
  <c r="B128" i="37"/>
  <c r="B128" i="41" s="1"/>
  <c r="F128" i="37"/>
  <c r="F128" i="41" s="1"/>
  <c r="A129" i="37"/>
  <c r="A129" i="41" s="1"/>
  <c r="D129" i="37"/>
  <c r="D129" i="41" s="1"/>
  <c r="B129" i="37"/>
  <c r="B129" i="41" s="1"/>
  <c r="F129" i="37"/>
  <c r="F129" i="41" s="1"/>
  <c r="A130" i="37"/>
  <c r="A130" i="41" s="1"/>
  <c r="D130" i="37"/>
  <c r="D130" i="41" s="1"/>
  <c r="B130" i="37"/>
  <c r="B130" i="41" s="1"/>
  <c r="F130" i="37"/>
  <c r="F130" i="41" s="1"/>
  <c r="A131" i="37"/>
  <c r="A131" i="41" s="1"/>
  <c r="D131" i="37"/>
  <c r="D131" i="41" s="1"/>
  <c r="B131" i="37"/>
  <c r="B131" i="41" s="1"/>
  <c r="F131" i="37"/>
  <c r="F131" i="41" s="1"/>
  <c r="A132" i="37"/>
  <c r="A132" i="41" s="1"/>
  <c r="D132" i="37"/>
  <c r="D132" i="41" s="1"/>
  <c r="B132" i="37"/>
  <c r="B132" i="41" s="1"/>
  <c r="F132" i="37"/>
  <c r="F132" i="41" s="1"/>
  <c r="A133" i="37"/>
  <c r="A133" i="41" s="1"/>
  <c r="D133" i="37"/>
  <c r="D133" i="41" s="1"/>
  <c r="B133" i="37"/>
  <c r="B133" i="41" s="1"/>
  <c r="F133" i="37"/>
  <c r="F133" i="41" s="1"/>
  <c r="A134" i="37"/>
  <c r="A134" i="41" s="1"/>
  <c r="D134" i="37"/>
  <c r="D134" i="41" s="1"/>
  <c r="B134" i="37"/>
  <c r="B134" i="41" s="1"/>
  <c r="F134" i="37"/>
  <c r="F134" i="41" s="1"/>
  <c r="A135" i="37"/>
  <c r="A135" i="41" s="1"/>
  <c r="D135" i="37"/>
  <c r="D135" i="41" s="1"/>
  <c r="B135" i="37"/>
  <c r="B135" i="41" s="1"/>
  <c r="F135" i="37"/>
  <c r="F135" i="41" s="1"/>
  <c r="A136" i="37"/>
  <c r="A136" i="41" s="1"/>
  <c r="D136" i="37"/>
  <c r="D136" i="41" s="1"/>
  <c r="B136" i="37"/>
  <c r="B136" i="41" s="1"/>
  <c r="F136" i="37"/>
  <c r="F136" i="41" s="1"/>
  <c r="A137" i="37"/>
  <c r="A137" i="41" s="1"/>
  <c r="D137" i="37"/>
  <c r="D137" i="41" s="1"/>
  <c r="B137" i="37"/>
  <c r="B137" i="41" s="1"/>
  <c r="F137" i="37"/>
  <c r="F137" i="41" s="1"/>
  <c r="A138" i="37"/>
  <c r="A138" i="41" s="1"/>
  <c r="D138" i="37"/>
  <c r="D138" i="41" s="1"/>
  <c r="B138" i="37"/>
  <c r="B138" i="41" s="1"/>
  <c r="F138" i="37"/>
  <c r="F138" i="41" s="1"/>
  <c r="A139" i="37"/>
  <c r="A139" i="41" s="1"/>
  <c r="D139" i="37"/>
  <c r="D139" i="41" s="1"/>
  <c r="B139" i="37"/>
  <c r="B139" i="41" s="1"/>
  <c r="F139" i="37"/>
  <c r="F139" i="41" s="1"/>
  <c r="A140" i="37"/>
  <c r="A140" i="41" s="1"/>
  <c r="D140" i="37"/>
  <c r="D140" i="41" s="1"/>
  <c r="B140" i="37"/>
  <c r="B140" i="41" s="1"/>
  <c r="F140" i="37"/>
  <c r="F140" i="41" s="1"/>
  <c r="A141" i="37"/>
  <c r="A141" i="41" s="1"/>
  <c r="D141" i="37"/>
  <c r="D141" i="41" s="1"/>
  <c r="B141" i="37"/>
  <c r="B141" i="41" s="1"/>
  <c r="F141" i="37"/>
  <c r="F141" i="41" s="1"/>
  <c r="A142" i="37"/>
  <c r="A142" i="41" s="1"/>
  <c r="D142" i="37"/>
  <c r="D142" i="41" s="1"/>
  <c r="B142" i="37"/>
  <c r="B142" i="41" s="1"/>
  <c r="F142" i="37"/>
  <c r="F142" i="41" s="1"/>
  <c r="A143" i="37"/>
  <c r="A143" i="41" s="1"/>
  <c r="D143" i="37"/>
  <c r="D143" i="41" s="1"/>
  <c r="B143" i="37"/>
  <c r="B143" i="41" s="1"/>
  <c r="F143" i="37"/>
  <c r="F143" i="41" s="1"/>
  <c r="A144" i="37"/>
  <c r="A144" i="41" s="1"/>
  <c r="D144" i="37"/>
  <c r="D144" i="41" s="1"/>
  <c r="B144" i="37"/>
  <c r="B144" i="41" s="1"/>
  <c r="F144" i="37"/>
  <c r="F144" i="41" s="1"/>
  <c r="A145" i="37"/>
  <c r="A145" i="41" s="1"/>
  <c r="D145" i="37"/>
  <c r="D145" i="41" s="1"/>
  <c r="B145" i="37"/>
  <c r="B145" i="41" s="1"/>
  <c r="F145" i="37"/>
  <c r="F145" i="41" s="1"/>
  <c r="A146" i="37"/>
  <c r="A146" i="41" s="1"/>
  <c r="D146" i="37"/>
  <c r="D146" i="41" s="1"/>
  <c r="B146" i="37"/>
  <c r="B146" i="41" s="1"/>
  <c r="F146" i="37"/>
  <c r="F146" i="41" s="1"/>
  <c r="A147" i="37"/>
  <c r="A147" i="41" s="1"/>
  <c r="D147" i="37"/>
  <c r="D147" i="41" s="1"/>
  <c r="B147" i="37"/>
  <c r="B147" i="41" s="1"/>
  <c r="F147" i="37"/>
  <c r="F147" i="41" s="1"/>
  <c r="A148" i="37"/>
  <c r="A148" i="41" s="1"/>
  <c r="D148" i="37"/>
  <c r="D148" i="41" s="1"/>
  <c r="B148" i="37"/>
  <c r="B148" i="41" s="1"/>
  <c r="F148" i="37"/>
  <c r="F148" i="41" s="1"/>
  <c r="A149" i="37"/>
  <c r="A149" i="41" s="1"/>
  <c r="D149" i="37"/>
  <c r="D149" i="41" s="1"/>
  <c r="B149" i="37"/>
  <c r="B149" i="41" s="1"/>
  <c r="F149" i="37"/>
  <c r="F149" i="41" s="1"/>
  <c r="A150" i="37"/>
  <c r="A150" i="41" s="1"/>
  <c r="D150" i="37"/>
  <c r="D150" i="41" s="1"/>
  <c r="B150" i="37"/>
  <c r="B150" i="41" s="1"/>
  <c r="F150" i="37"/>
  <c r="F150" i="41" s="1"/>
  <c r="A151" i="37"/>
  <c r="A151" i="41" s="1"/>
  <c r="D151" i="37"/>
  <c r="D151" i="41" s="1"/>
  <c r="B151" i="37"/>
  <c r="B151" i="41" s="1"/>
  <c r="F151" i="37"/>
  <c r="F151" i="41" s="1"/>
  <c r="A152" i="37"/>
  <c r="A152" i="41" s="1"/>
  <c r="D152" i="37"/>
  <c r="D152" i="41" s="1"/>
  <c r="B152" i="37"/>
  <c r="B152" i="41" s="1"/>
  <c r="F152" i="37"/>
  <c r="F152" i="41" s="1"/>
  <c r="A153" i="37"/>
  <c r="A153" i="41" s="1"/>
  <c r="D153" i="37"/>
  <c r="D153" i="41" s="1"/>
  <c r="B153" i="37"/>
  <c r="B153" i="41" s="1"/>
  <c r="F153" i="37"/>
  <c r="F153" i="41" s="1"/>
  <c r="A154" i="37"/>
  <c r="A154" i="41" s="1"/>
  <c r="D154" i="37"/>
  <c r="D154" i="41" s="1"/>
  <c r="B154" i="37"/>
  <c r="B154" i="41" s="1"/>
  <c r="F154" i="37"/>
  <c r="F154" i="41" s="1"/>
  <c r="A155" i="37"/>
  <c r="A155" i="41" s="1"/>
  <c r="D155" i="37"/>
  <c r="D155" i="41" s="1"/>
  <c r="B155" i="37"/>
  <c r="B155" i="41" s="1"/>
  <c r="F155" i="37"/>
  <c r="F155" i="41" s="1"/>
  <c r="A156" i="37"/>
  <c r="A156" i="41" s="1"/>
  <c r="D156" i="37"/>
  <c r="D156" i="41" s="1"/>
  <c r="B156" i="37"/>
  <c r="B156" i="41" s="1"/>
  <c r="F156" i="37"/>
  <c r="F156" i="41" s="1"/>
  <c r="A157" i="37"/>
  <c r="A157" i="41" s="1"/>
  <c r="D157" i="37"/>
  <c r="D157" i="41" s="1"/>
  <c r="B157" i="37"/>
  <c r="B157" i="41" s="1"/>
  <c r="F157" i="37"/>
  <c r="F157" i="41" s="1"/>
  <c r="A158" i="37"/>
  <c r="A158" i="41" s="1"/>
  <c r="D158" i="37"/>
  <c r="D158" i="41" s="1"/>
  <c r="B158" i="37"/>
  <c r="B158" i="41" s="1"/>
  <c r="F158" i="37"/>
  <c r="F158" i="41" s="1"/>
  <c r="A159" i="37"/>
  <c r="A159" i="41" s="1"/>
  <c r="D159" i="37"/>
  <c r="D159" i="41" s="1"/>
  <c r="B159" i="37"/>
  <c r="B159" i="41" s="1"/>
  <c r="F159" i="37"/>
  <c r="F159" i="41" s="1"/>
  <c r="A160" i="37"/>
  <c r="A160" i="41" s="1"/>
  <c r="D160" i="37"/>
  <c r="D160" i="41" s="1"/>
  <c r="B160" i="37"/>
  <c r="B160" i="41" s="1"/>
  <c r="F160" i="37"/>
  <c r="F160" i="41" s="1"/>
  <c r="A161" i="37"/>
  <c r="A161" i="41" s="1"/>
  <c r="D161" i="37"/>
  <c r="D161" i="41" s="1"/>
  <c r="B161" i="37"/>
  <c r="B161" i="41" s="1"/>
  <c r="F161" i="37"/>
  <c r="F161" i="41" s="1"/>
  <c r="A162" i="37"/>
  <c r="A162" i="41" s="1"/>
  <c r="D162" i="37"/>
  <c r="D162" i="41" s="1"/>
  <c r="B162" i="37"/>
  <c r="B162" i="41" s="1"/>
  <c r="C162" i="37"/>
  <c r="C162" i="41" s="1"/>
  <c r="F162" i="37"/>
  <c r="F162" i="41" s="1"/>
  <c r="A163" i="37"/>
  <c r="A163" i="41" s="1"/>
  <c r="D163" i="37"/>
  <c r="D163" i="41" s="1"/>
  <c r="B163" i="37"/>
  <c r="B163" i="41" s="1"/>
  <c r="C163" i="37"/>
  <c r="C163" i="41" s="1"/>
  <c r="F163" i="37"/>
  <c r="F163" i="41" s="1"/>
  <c r="A164" i="37"/>
  <c r="A164" i="41" s="1"/>
  <c r="D164" i="37"/>
  <c r="D164" i="41" s="1"/>
  <c r="B164" i="37"/>
  <c r="B164" i="41" s="1"/>
  <c r="C164" i="37"/>
  <c r="C164" i="41" s="1"/>
  <c r="F164" i="37"/>
  <c r="F164" i="41" s="1"/>
  <c r="A165" i="37"/>
  <c r="A165" i="41" s="1"/>
  <c r="D165" i="37"/>
  <c r="D165" i="41" s="1"/>
  <c r="B165" i="37"/>
  <c r="B165" i="41" s="1"/>
  <c r="C165" i="37"/>
  <c r="C165" i="41" s="1"/>
  <c r="F165" i="37"/>
  <c r="F165" i="41" s="1"/>
  <c r="A166" i="37"/>
  <c r="A166" i="41" s="1"/>
  <c r="D166" i="37"/>
  <c r="D166" i="41" s="1"/>
  <c r="B166" i="37"/>
  <c r="B166" i="41" s="1"/>
  <c r="C166" i="37"/>
  <c r="C166" i="41" s="1"/>
  <c r="F166" i="37"/>
  <c r="F166" i="41" s="1"/>
  <c r="A167" i="37"/>
  <c r="A167" i="41" s="1"/>
  <c r="D167" i="37"/>
  <c r="D167" i="41" s="1"/>
  <c r="B167" i="37"/>
  <c r="B167" i="41" s="1"/>
  <c r="C167" i="37"/>
  <c r="C167" i="41" s="1"/>
  <c r="F167" i="37"/>
  <c r="F167" i="41" s="1"/>
  <c r="A168" i="37"/>
  <c r="A168" i="41" s="1"/>
  <c r="D168" i="37"/>
  <c r="D168" i="41" s="1"/>
  <c r="B168" i="37"/>
  <c r="B168" i="41" s="1"/>
  <c r="F168" i="37"/>
  <c r="F168" i="41" s="1"/>
  <c r="A169" i="37"/>
  <c r="A169" i="41" s="1"/>
  <c r="D169" i="37"/>
  <c r="D169" i="41" s="1"/>
  <c r="B169" i="37"/>
  <c r="B169" i="41" s="1"/>
  <c r="F169" i="37"/>
  <c r="F169" i="41" s="1"/>
  <c r="A170" i="37"/>
  <c r="A170" i="41" s="1"/>
  <c r="D170" i="37"/>
  <c r="D170" i="41" s="1"/>
  <c r="B170" i="37"/>
  <c r="B170" i="41" s="1"/>
  <c r="F170" i="37"/>
  <c r="F170" i="41" s="1"/>
  <c r="A171" i="37"/>
  <c r="A171" i="41" s="1"/>
  <c r="D171" i="37"/>
  <c r="D171" i="41" s="1"/>
  <c r="B171" i="37"/>
  <c r="B171" i="41" s="1"/>
  <c r="F171" i="37"/>
  <c r="F171" i="41" s="1"/>
  <c r="A172" i="37"/>
  <c r="A172" i="41" s="1"/>
  <c r="D172" i="37"/>
  <c r="D172" i="41" s="1"/>
  <c r="B172" i="37"/>
  <c r="B172" i="41" s="1"/>
  <c r="F172" i="37"/>
  <c r="F172" i="41" s="1"/>
  <c r="A173" i="37"/>
  <c r="A173" i="41" s="1"/>
  <c r="D173" i="37"/>
  <c r="D173" i="41" s="1"/>
  <c r="B173" i="37"/>
  <c r="B173" i="41" s="1"/>
  <c r="F173" i="37"/>
  <c r="F173" i="41" s="1"/>
  <c r="A174" i="37"/>
  <c r="A174" i="41" s="1"/>
  <c r="D174" i="37"/>
  <c r="D174" i="41" s="1"/>
  <c r="B174" i="37"/>
  <c r="B174" i="41" s="1"/>
  <c r="F174" i="37"/>
  <c r="F174" i="41" s="1"/>
  <c r="A175" i="37"/>
  <c r="A175" i="41" s="1"/>
  <c r="D175" i="37"/>
  <c r="D175" i="41" s="1"/>
  <c r="B175" i="37"/>
  <c r="B175" i="41" s="1"/>
  <c r="F175" i="37"/>
  <c r="F175" i="41" s="1"/>
  <c r="A176" i="37"/>
  <c r="A176" i="41" s="1"/>
  <c r="D176" i="37"/>
  <c r="D176" i="41" s="1"/>
  <c r="B176" i="37"/>
  <c r="B176" i="41" s="1"/>
  <c r="F176" i="37"/>
  <c r="F176" i="41" s="1"/>
  <c r="A177" i="37"/>
  <c r="A177" i="41" s="1"/>
  <c r="D177" i="37"/>
  <c r="D177" i="41" s="1"/>
  <c r="B177" i="37"/>
  <c r="B177" i="41" s="1"/>
  <c r="F177" i="37"/>
  <c r="F177" i="41" s="1"/>
  <c r="A178" i="37"/>
  <c r="A178" i="41" s="1"/>
  <c r="D178" i="37"/>
  <c r="D178" i="41" s="1"/>
  <c r="B178" i="37"/>
  <c r="B178" i="41" s="1"/>
  <c r="F178" i="37"/>
  <c r="F178" i="41" s="1"/>
  <c r="A179" i="37"/>
  <c r="A179" i="41" s="1"/>
  <c r="D179" i="37"/>
  <c r="D179" i="41" s="1"/>
  <c r="B179" i="37"/>
  <c r="B179" i="41" s="1"/>
  <c r="F179" i="37"/>
  <c r="F179" i="41" s="1"/>
  <c r="A180" i="37"/>
  <c r="A180" i="41" s="1"/>
  <c r="D180" i="37"/>
  <c r="D180" i="41" s="1"/>
  <c r="B180" i="37"/>
  <c r="B180" i="41" s="1"/>
  <c r="F180" i="37"/>
  <c r="F180" i="41" s="1"/>
  <c r="A181" i="37"/>
  <c r="A181" i="41" s="1"/>
  <c r="D181" i="37"/>
  <c r="D181" i="41" s="1"/>
  <c r="B181" i="37"/>
  <c r="B181" i="41" s="1"/>
  <c r="F181" i="37"/>
  <c r="F181" i="41" s="1"/>
  <c r="A182" i="37"/>
  <c r="A182" i="41" s="1"/>
  <c r="D182" i="37"/>
  <c r="D182" i="41" s="1"/>
  <c r="B182" i="37"/>
  <c r="B182" i="41" s="1"/>
  <c r="F182" i="37"/>
  <c r="F182" i="41" s="1"/>
  <c r="A183" i="37"/>
  <c r="A183" i="41" s="1"/>
  <c r="D183" i="37"/>
  <c r="D183" i="41" s="1"/>
  <c r="B183" i="37"/>
  <c r="B183" i="41" s="1"/>
  <c r="F183" i="37"/>
  <c r="F183" i="41" s="1"/>
  <c r="A184" i="37"/>
  <c r="A184" i="41" s="1"/>
  <c r="D184" i="37"/>
  <c r="D184" i="41" s="1"/>
  <c r="B184" i="37"/>
  <c r="B184" i="41" s="1"/>
  <c r="F184" i="37"/>
  <c r="F184" i="41" s="1"/>
  <c r="A185" i="37"/>
  <c r="A185" i="41" s="1"/>
  <c r="D185" i="37"/>
  <c r="D185" i="41" s="1"/>
  <c r="B185" i="37"/>
  <c r="B185" i="41" s="1"/>
  <c r="F185" i="37"/>
  <c r="F185" i="41" s="1"/>
  <c r="A186" i="37"/>
  <c r="A186" i="41" s="1"/>
  <c r="D186" i="37"/>
  <c r="D186" i="41" s="1"/>
  <c r="B186" i="37"/>
  <c r="B186" i="41" s="1"/>
  <c r="F186" i="37"/>
  <c r="F186" i="41" s="1"/>
  <c r="A187" i="37"/>
  <c r="A187" i="41" s="1"/>
  <c r="D187" i="37"/>
  <c r="D187" i="41" s="1"/>
  <c r="B187" i="37"/>
  <c r="B187" i="41" s="1"/>
  <c r="F187" i="37"/>
  <c r="F187" i="41" s="1"/>
  <c r="A188" i="37"/>
  <c r="A188" i="41" s="1"/>
  <c r="D188" i="37"/>
  <c r="D188" i="41" s="1"/>
  <c r="B188" i="37"/>
  <c r="B188" i="41" s="1"/>
  <c r="F188" i="37"/>
  <c r="F188" i="41" s="1"/>
  <c r="A189" i="37"/>
  <c r="A189" i="41" s="1"/>
  <c r="D189" i="37"/>
  <c r="D189" i="41" s="1"/>
  <c r="B189" i="37"/>
  <c r="B189" i="41" s="1"/>
  <c r="F189" i="37"/>
  <c r="F189" i="41" s="1"/>
  <c r="A190" i="37"/>
  <c r="A190" i="41" s="1"/>
  <c r="D190" i="37"/>
  <c r="D190" i="41" s="1"/>
  <c r="B190" i="37"/>
  <c r="B190" i="41" s="1"/>
  <c r="F190" i="37"/>
  <c r="F190" i="41" s="1"/>
  <c r="A191" i="37"/>
  <c r="A191" i="41" s="1"/>
  <c r="D191" i="37"/>
  <c r="D191" i="41" s="1"/>
  <c r="B191" i="37"/>
  <c r="B191" i="41" s="1"/>
  <c r="F191" i="37"/>
  <c r="F191" i="41" s="1"/>
  <c r="A192" i="37"/>
  <c r="A192" i="41" s="1"/>
  <c r="D192" i="37"/>
  <c r="D192" i="41" s="1"/>
  <c r="B192" i="37"/>
  <c r="B192" i="41" s="1"/>
  <c r="F192" i="37"/>
  <c r="F192" i="41" s="1"/>
  <c r="A193" i="37"/>
  <c r="A193" i="41" s="1"/>
  <c r="D193" i="37"/>
  <c r="D193" i="41" s="1"/>
  <c r="B193" i="37"/>
  <c r="B193" i="41" s="1"/>
  <c r="F193" i="37"/>
  <c r="F193" i="41" s="1"/>
  <c r="A194" i="37"/>
  <c r="A194" i="41" s="1"/>
  <c r="D194" i="37"/>
  <c r="D194" i="41" s="1"/>
  <c r="B194" i="37"/>
  <c r="B194" i="41" s="1"/>
  <c r="F194" i="37"/>
  <c r="F194" i="41" s="1"/>
  <c r="A195" i="37"/>
  <c r="A195" i="41" s="1"/>
  <c r="D195" i="37"/>
  <c r="D195" i="41" s="1"/>
  <c r="B195" i="37"/>
  <c r="B195" i="41" s="1"/>
  <c r="F195" i="37"/>
  <c r="F195" i="41" s="1"/>
  <c r="A196" i="37"/>
  <c r="A196" i="41" s="1"/>
  <c r="D196" i="37"/>
  <c r="D196" i="41" s="1"/>
  <c r="B196" i="37"/>
  <c r="B196" i="41" s="1"/>
  <c r="F196" i="37"/>
  <c r="F196" i="41" s="1"/>
  <c r="A197" i="37"/>
  <c r="A197" i="41" s="1"/>
  <c r="D197" i="37"/>
  <c r="D197" i="41" s="1"/>
  <c r="B197" i="37"/>
  <c r="B197" i="41" s="1"/>
  <c r="F197" i="37"/>
  <c r="F197" i="41" s="1"/>
  <c r="A198" i="37"/>
  <c r="A198" i="41" s="1"/>
  <c r="D198" i="37"/>
  <c r="D198" i="41" s="1"/>
  <c r="B198" i="37"/>
  <c r="B198" i="41" s="1"/>
  <c r="F198" i="37"/>
  <c r="F198" i="41" s="1"/>
  <c r="A199" i="37"/>
  <c r="A199" i="41" s="1"/>
  <c r="D199" i="37"/>
  <c r="D199" i="41" s="1"/>
  <c r="B199" i="37"/>
  <c r="B199" i="41" s="1"/>
  <c r="F199" i="37"/>
  <c r="F199" i="41" s="1"/>
  <c r="A200" i="37"/>
  <c r="A200" i="41" s="1"/>
  <c r="D200" i="37"/>
  <c r="D200" i="41" s="1"/>
  <c r="B200" i="37"/>
  <c r="B200" i="41" s="1"/>
  <c r="F200" i="37"/>
  <c r="F200" i="41" s="1"/>
  <c r="A201" i="37"/>
  <c r="A201" i="41" s="1"/>
  <c r="D201" i="37"/>
  <c r="D201" i="41" s="1"/>
  <c r="B201" i="37"/>
  <c r="B201" i="41" s="1"/>
  <c r="F201" i="37"/>
  <c r="F201" i="41" s="1"/>
  <c r="A202" i="37"/>
  <c r="A202" i="41" s="1"/>
  <c r="D202" i="37"/>
  <c r="D202" i="41" s="1"/>
  <c r="B202" i="37"/>
  <c r="B202" i="41" s="1"/>
  <c r="F202" i="37"/>
  <c r="F202" i="41" s="1"/>
  <c r="A203" i="37"/>
  <c r="A203" i="41" s="1"/>
  <c r="D203" i="37"/>
  <c r="D203" i="41" s="1"/>
  <c r="B203" i="37"/>
  <c r="B203" i="41" s="1"/>
  <c r="F203" i="37"/>
  <c r="F203" i="41" s="1"/>
  <c r="A204" i="37"/>
  <c r="A204" i="41" s="1"/>
  <c r="D204" i="37"/>
  <c r="D204" i="41" s="1"/>
  <c r="B204" i="37"/>
  <c r="B204" i="41" s="1"/>
  <c r="F204" i="37"/>
  <c r="F204" i="41" s="1"/>
  <c r="A205" i="37"/>
  <c r="A205" i="41" s="1"/>
  <c r="D205" i="37"/>
  <c r="D205" i="41" s="1"/>
  <c r="B205" i="37"/>
  <c r="B205" i="41" s="1"/>
  <c r="F205" i="37"/>
  <c r="F205" i="41" s="1"/>
  <c r="A206" i="37"/>
  <c r="A206" i="41" s="1"/>
  <c r="D206" i="37"/>
  <c r="D206" i="41" s="1"/>
  <c r="B206" i="37"/>
  <c r="B206" i="41" s="1"/>
  <c r="F206" i="37"/>
  <c r="F206" i="41" s="1"/>
  <c r="A207" i="37"/>
  <c r="A207" i="41" s="1"/>
  <c r="D207" i="37"/>
  <c r="D207" i="41" s="1"/>
  <c r="B207" i="37"/>
  <c r="B207" i="41" s="1"/>
  <c r="F207" i="37"/>
  <c r="F207" i="41" s="1"/>
  <c r="A208" i="37"/>
  <c r="A208" i="41" s="1"/>
  <c r="D208" i="37"/>
  <c r="D208" i="41" s="1"/>
  <c r="B208" i="37"/>
  <c r="B208" i="41" s="1"/>
  <c r="F208" i="37"/>
  <c r="F208" i="41" s="1"/>
  <c r="A209" i="37"/>
  <c r="A209" i="41" s="1"/>
  <c r="D209" i="37"/>
  <c r="D209" i="41" s="1"/>
  <c r="B209" i="37"/>
  <c r="B209" i="41" s="1"/>
  <c r="F209" i="37"/>
  <c r="F209" i="41" s="1"/>
  <c r="A210" i="37"/>
  <c r="A210" i="41" s="1"/>
  <c r="D210" i="37"/>
  <c r="D210" i="41" s="1"/>
  <c r="B210" i="37"/>
  <c r="B210" i="41" s="1"/>
  <c r="F210" i="37"/>
  <c r="F210" i="41" s="1"/>
  <c r="A211" i="37"/>
  <c r="A211" i="41" s="1"/>
  <c r="D211" i="37"/>
  <c r="D211" i="41" s="1"/>
  <c r="B211" i="37"/>
  <c r="B211" i="41" s="1"/>
  <c r="F211" i="37"/>
  <c r="F211" i="41" s="1"/>
  <c r="A212" i="37"/>
  <c r="A212" i="41" s="1"/>
  <c r="D212" i="37"/>
  <c r="D212" i="41" s="1"/>
  <c r="B212" i="37"/>
  <c r="B212" i="41" s="1"/>
  <c r="F212" i="37"/>
  <c r="F212" i="41" s="1"/>
  <c r="A213" i="37"/>
  <c r="A213" i="41" s="1"/>
  <c r="D213" i="37"/>
  <c r="D213" i="41" s="1"/>
  <c r="B213" i="37"/>
  <c r="B213" i="41" s="1"/>
  <c r="F213" i="37"/>
  <c r="F213" i="41" s="1"/>
  <c r="A214" i="37"/>
  <c r="A214" i="41" s="1"/>
  <c r="D214" i="37"/>
  <c r="D214" i="41" s="1"/>
  <c r="B214" i="37"/>
  <c r="B214" i="41" s="1"/>
  <c r="F214" i="37"/>
  <c r="F214" i="41" s="1"/>
  <c r="A215" i="37"/>
  <c r="A215" i="41" s="1"/>
  <c r="D215" i="37"/>
  <c r="D215" i="41" s="1"/>
  <c r="B215" i="37"/>
  <c r="B215" i="41" s="1"/>
  <c r="F215" i="37"/>
  <c r="F215" i="41" s="1"/>
  <c r="A216" i="37"/>
  <c r="A216" i="41" s="1"/>
  <c r="D216" i="37"/>
  <c r="D216" i="41" s="1"/>
  <c r="B216" i="37"/>
  <c r="B216" i="41" s="1"/>
  <c r="F216" i="37"/>
  <c r="F216" i="41" s="1"/>
  <c r="A217" i="37"/>
  <c r="A217" i="41" s="1"/>
  <c r="D217" i="37"/>
  <c r="D217" i="41" s="1"/>
  <c r="B217" i="37"/>
  <c r="B217" i="41" s="1"/>
  <c r="F217" i="37"/>
  <c r="F217" i="41" s="1"/>
  <c r="A218" i="37"/>
  <c r="A218" i="41" s="1"/>
  <c r="D218" i="37"/>
  <c r="D218" i="41" s="1"/>
  <c r="B218" i="37"/>
  <c r="B218" i="41" s="1"/>
  <c r="F218" i="37"/>
  <c r="F218" i="41" s="1"/>
  <c r="A219" i="37"/>
  <c r="A219" i="41" s="1"/>
  <c r="D219" i="37"/>
  <c r="D219" i="41" s="1"/>
  <c r="B219" i="37"/>
  <c r="B219" i="41" s="1"/>
  <c r="F219" i="37"/>
  <c r="F219" i="41" s="1"/>
  <c r="A220" i="37"/>
  <c r="A220" i="41" s="1"/>
  <c r="D220" i="37"/>
  <c r="D220" i="41" s="1"/>
  <c r="B220" i="37"/>
  <c r="B220" i="41" s="1"/>
  <c r="F220" i="37"/>
  <c r="F220" i="41" s="1"/>
  <c r="A221" i="37"/>
  <c r="A221" i="41" s="1"/>
  <c r="D221" i="37"/>
  <c r="D221" i="41" s="1"/>
  <c r="B221" i="37"/>
  <c r="B221" i="41" s="1"/>
  <c r="F221" i="37"/>
  <c r="F221" i="41" s="1"/>
  <c r="A222" i="37"/>
  <c r="A222" i="41" s="1"/>
  <c r="D222" i="37"/>
  <c r="D222" i="41" s="1"/>
  <c r="B222" i="37"/>
  <c r="B222" i="41" s="1"/>
  <c r="F222" i="37"/>
  <c r="F222" i="41" s="1"/>
  <c r="A223" i="37"/>
  <c r="A223" i="41" s="1"/>
  <c r="D223" i="37"/>
  <c r="D223" i="41" s="1"/>
  <c r="B223" i="37"/>
  <c r="B223" i="41" s="1"/>
  <c r="F223" i="37"/>
  <c r="F223" i="41" s="1"/>
  <c r="A224" i="37"/>
  <c r="A224" i="41" s="1"/>
  <c r="D224" i="37"/>
  <c r="D224" i="41" s="1"/>
  <c r="B224" i="37"/>
  <c r="B224" i="41" s="1"/>
  <c r="F224" i="37"/>
  <c r="F224" i="41" s="1"/>
  <c r="A225" i="37"/>
  <c r="A225" i="41" s="1"/>
  <c r="D225" i="37"/>
  <c r="D225" i="41" s="1"/>
  <c r="B225" i="37"/>
  <c r="B225" i="41" s="1"/>
  <c r="F225" i="37"/>
  <c r="F225" i="41" s="1"/>
  <c r="A226" i="37"/>
  <c r="A226" i="41" s="1"/>
  <c r="D226" i="37"/>
  <c r="D226" i="41" s="1"/>
  <c r="B226" i="37"/>
  <c r="B226" i="41" s="1"/>
  <c r="F226" i="37"/>
  <c r="F226" i="41" s="1"/>
  <c r="A227" i="37"/>
  <c r="A227" i="41" s="1"/>
  <c r="D227" i="37"/>
  <c r="D227" i="41" s="1"/>
  <c r="B227" i="37"/>
  <c r="B227" i="41" s="1"/>
  <c r="F227" i="37"/>
  <c r="F227" i="41" s="1"/>
  <c r="A228" i="37"/>
  <c r="A228" i="41" s="1"/>
  <c r="D228" i="37"/>
  <c r="D228" i="41" s="1"/>
  <c r="B228" i="37"/>
  <c r="B228" i="41" s="1"/>
  <c r="F228" i="37"/>
  <c r="F228" i="41" s="1"/>
  <c r="A229" i="37"/>
  <c r="A229" i="41" s="1"/>
  <c r="D229" i="37"/>
  <c r="D229" i="41" s="1"/>
  <c r="B229" i="37"/>
  <c r="B229" i="41" s="1"/>
  <c r="F229" i="37"/>
  <c r="F229" i="41" s="1"/>
  <c r="A230" i="37"/>
  <c r="A230" i="41" s="1"/>
  <c r="D230" i="37"/>
  <c r="D230" i="41" s="1"/>
  <c r="B230" i="37"/>
  <c r="B230" i="41" s="1"/>
  <c r="F230" i="37"/>
  <c r="F230" i="41" s="1"/>
  <c r="A231" i="37"/>
  <c r="A231" i="41" s="1"/>
  <c r="D231" i="37"/>
  <c r="D231" i="41" s="1"/>
  <c r="B231" i="37"/>
  <c r="B231" i="41" s="1"/>
  <c r="F231" i="37"/>
  <c r="F231" i="41" s="1"/>
  <c r="A232" i="37"/>
  <c r="A232" i="41" s="1"/>
  <c r="D232" i="37"/>
  <c r="D232" i="41" s="1"/>
  <c r="B232" i="37"/>
  <c r="B232" i="41" s="1"/>
  <c r="F232" i="37"/>
  <c r="F232" i="41" s="1"/>
  <c r="A233" i="37"/>
  <c r="A233" i="41" s="1"/>
  <c r="D233" i="37"/>
  <c r="D233" i="41" s="1"/>
  <c r="B233" i="37"/>
  <c r="B233" i="41" s="1"/>
  <c r="F233" i="37"/>
  <c r="F233" i="41" s="1"/>
  <c r="A234" i="37"/>
  <c r="A234" i="41" s="1"/>
  <c r="D234" i="37"/>
  <c r="D234" i="41" s="1"/>
  <c r="B234" i="37"/>
  <c r="B234" i="41" s="1"/>
  <c r="F234" i="37"/>
  <c r="F234" i="41" s="1"/>
  <c r="A235" i="37"/>
  <c r="A235" i="41" s="1"/>
  <c r="D235" i="37"/>
  <c r="D235" i="41" s="1"/>
  <c r="B235" i="37"/>
  <c r="B235" i="41" s="1"/>
  <c r="F235" i="37"/>
  <c r="F235" i="41" s="1"/>
  <c r="A236" i="37"/>
  <c r="A236" i="41" s="1"/>
  <c r="D236" i="37"/>
  <c r="D236" i="41" s="1"/>
  <c r="B236" i="37"/>
  <c r="B236" i="41" s="1"/>
  <c r="F236" i="37"/>
  <c r="F236" i="41" s="1"/>
  <c r="A237" i="37"/>
  <c r="A237" i="41" s="1"/>
  <c r="D237" i="37"/>
  <c r="D237" i="41" s="1"/>
  <c r="B237" i="37"/>
  <c r="B237" i="41" s="1"/>
  <c r="F237" i="37"/>
  <c r="F237" i="41" s="1"/>
  <c r="A238" i="37"/>
  <c r="A238" i="41" s="1"/>
  <c r="D238" i="37"/>
  <c r="D238" i="41" s="1"/>
  <c r="B238" i="37"/>
  <c r="B238" i="41" s="1"/>
  <c r="F238" i="37"/>
  <c r="F238" i="41" s="1"/>
  <c r="A239" i="37"/>
  <c r="A239" i="41" s="1"/>
  <c r="D239" i="37"/>
  <c r="D239" i="41" s="1"/>
  <c r="B239" i="37"/>
  <c r="B239" i="41" s="1"/>
  <c r="F239" i="37"/>
  <c r="F239" i="41" s="1"/>
  <c r="A240" i="37"/>
  <c r="A240" i="41" s="1"/>
  <c r="D240" i="37"/>
  <c r="D240" i="41" s="1"/>
  <c r="B240" i="37"/>
  <c r="B240" i="41" s="1"/>
  <c r="F240" i="37"/>
  <c r="F240" i="41" s="1"/>
  <c r="A241" i="37"/>
  <c r="A241" i="41" s="1"/>
  <c r="D241" i="37"/>
  <c r="D241" i="41" s="1"/>
  <c r="B241" i="37"/>
  <c r="B241" i="41" s="1"/>
  <c r="F241" i="37"/>
  <c r="F241" i="41" s="1"/>
  <c r="A242" i="37"/>
  <c r="A242" i="41" s="1"/>
  <c r="D242" i="37"/>
  <c r="D242" i="41" s="1"/>
  <c r="B242" i="37"/>
  <c r="B242" i="41" s="1"/>
  <c r="F242" i="37"/>
  <c r="F242" i="41" s="1"/>
  <c r="A243" i="37"/>
  <c r="A243" i="41" s="1"/>
  <c r="D243" i="37"/>
  <c r="D243" i="41" s="1"/>
  <c r="B243" i="37"/>
  <c r="B243" i="41" s="1"/>
  <c r="F243" i="37"/>
  <c r="F243" i="41" s="1"/>
  <c r="A244" i="37"/>
  <c r="A244" i="41" s="1"/>
  <c r="D244" i="37"/>
  <c r="D244" i="41" s="1"/>
  <c r="B244" i="37"/>
  <c r="B244" i="41" s="1"/>
  <c r="F244" i="37"/>
  <c r="F244" i="41" s="1"/>
  <c r="A245" i="37"/>
  <c r="A245" i="41" s="1"/>
  <c r="D245" i="37"/>
  <c r="D245" i="41" s="1"/>
  <c r="B245" i="37"/>
  <c r="B245" i="41" s="1"/>
  <c r="F245" i="37"/>
  <c r="F245" i="41" s="1"/>
  <c r="A246" i="37"/>
  <c r="A246" i="41" s="1"/>
  <c r="D246" i="37"/>
  <c r="D246" i="41" s="1"/>
  <c r="B246" i="37"/>
  <c r="B246" i="41" s="1"/>
  <c r="F246" i="37"/>
  <c r="F246" i="41" s="1"/>
  <c r="A247" i="37"/>
  <c r="A247" i="41" s="1"/>
  <c r="D247" i="37"/>
  <c r="D247" i="41" s="1"/>
  <c r="B247" i="37"/>
  <c r="B247" i="41" s="1"/>
  <c r="F247" i="37"/>
  <c r="F247" i="41" s="1"/>
  <c r="A248" i="37"/>
  <c r="A248" i="41" s="1"/>
  <c r="D248" i="37"/>
  <c r="D248" i="41" s="1"/>
  <c r="B248" i="37"/>
  <c r="B248" i="41" s="1"/>
  <c r="F248" i="37"/>
  <c r="F248" i="41" s="1"/>
  <c r="A249" i="37"/>
  <c r="A249" i="41" s="1"/>
  <c r="D249" i="37"/>
  <c r="D249" i="41" s="1"/>
  <c r="B249" i="37"/>
  <c r="B249" i="41" s="1"/>
  <c r="F249" i="37"/>
  <c r="F249" i="41" s="1"/>
  <c r="A250" i="37"/>
  <c r="A250" i="41" s="1"/>
  <c r="D250" i="37"/>
  <c r="D250" i="41" s="1"/>
  <c r="B250" i="37"/>
  <c r="B250" i="41" s="1"/>
  <c r="F250" i="37"/>
  <c r="F250" i="41" s="1"/>
  <c r="A251" i="37"/>
  <c r="A251" i="41" s="1"/>
  <c r="D251" i="37"/>
  <c r="D251" i="41" s="1"/>
  <c r="B251" i="37"/>
  <c r="B251" i="41" s="1"/>
  <c r="F251" i="37"/>
  <c r="F251" i="41" s="1"/>
  <c r="A252" i="37"/>
  <c r="A252" i="41" s="1"/>
  <c r="D252" i="37"/>
  <c r="D252" i="41" s="1"/>
  <c r="B252" i="37"/>
  <c r="B252" i="41" s="1"/>
  <c r="F252" i="37"/>
  <c r="F252" i="41" s="1"/>
  <c r="A253" i="37"/>
  <c r="A253" i="41" s="1"/>
  <c r="D253" i="37"/>
  <c r="D253" i="41" s="1"/>
  <c r="B253" i="37"/>
  <c r="B253" i="41" s="1"/>
  <c r="F253" i="37"/>
  <c r="F253" i="41" s="1"/>
  <c r="A254" i="37"/>
  <c r="A254" i="41" s="1"/>
  <c r="D254" i="37"/>
  <c r="D254" i="41" s="1"/>
  <c r="B254" i="37"/>
  <c r="B254" i="41" s="1"/>
  <c r="F254" i="37"/>
  <c r="F254" i="41" s="1"/>
  <c r="A255" i="37"/>
  <c r="A255" i="41" s="1"/>
  <c r="D255" i="37"/>
  <c r="D255" i="41" s="1"/>
  <c r="B255" i="37"/>
  <c r="B255" i="41" s="1"/>
  <c r="F255" i="37"/>
  <c r="F255" i="41" s="1"/>
  <c r="A256" i="37"/>
  <c r="A256" i="41" s="1"/>
  <c r="D256" i="37"/>
  <c r="D256" i="41" s="1"/>
  <c r="B256" i="37"/>
  <c r="B256" i="41" s="1"/>
  <c r="F256" i="37"/>
  <c r="F256" i="41" s="1"/>
  <c r="A257" i="37"/>
  <c r="A257" i="41" s="1"/>
  <c r="D257" i="37"/>
  <c r="D257" i="41" s="1"/>
  <c r="B257" i="37"/>
  <c r="B257" i="41" s="1"/>
  <c r="F257" i="37"/>
  <c r="F257" i="41" s="1"/>
  <c r="A258" i="37"/>
  <c r="A258" i="41" s="1"/>
  <c r="D258" i="37"/>
  <c r="D258" i="41" s="1"/>
  <c r="B258" i="37"/>
  <c r="B258" i="41" s="1"/>
  <c r="F258" i="37"/>
  <c r="F258" i="41" s="1"/>
  <c r="A259" i="37"/>
  <c r="A259" i="41" s="1"/>
  <c r="D259" i="37"/>
  <c r="D259" i="41" s="1"/>
  <c r="B259" i="37"/>
  <c r="B259" i="41" s="1"/>
  <c r="F259" i="37"/>
  <c r="F259" i="41" s="1"/>
  <c r="A260" i="37"/>
  <c r="A260" i="41" s="1"/>
  <c r="D260" i="37"/>
  <c r="D260" i="41" s="1"/>
  <c r="B260" i="37"/>
  <c r="B260" i="41" s="1"/>
  <c r="F260" i="37"/>
  <c r="F260" i="41" s="1"/>
  <c r="A261" i="37"/>
  <c r="A261" i="41" s="1"/>
  <c r="D261" i="37"/>
  <c r="D261" i="41" s="1"/>
  <c r="B261" i="37"/>
  <c r="B261" i="41" s="1"/>
  <c r="F261" i="37"/>
  <c r="F261" i="41" s="1"/>
  <c r="A262" i="37"/>
  <c r="A262" i="41" s="1"/>
  <c r="D262" i="37"/>
  <c r="D262" i="41" s="1"/>
  <c r="B262" i="37"/>
  <c r="B262" i="41" s="1"/>
  <c r="F262" i="37"/>
  <c r="F262" i="41" s="1"/>
  <c r="A263" i="37"/>
  <c r="A263" i="41" s="1"/>
  <c r="D263" i="37"/>
  <c r="D263" i="41" s="1"/>
  <c r="B263" i="37"/>
  <c r="B263" i="41" s="1"/>
  <c r="F263" i="37"/>
  <c r="F263" i="41" s="1"/>
  <c r="A264" i="37"/>
  <c r="A264" i="41" s="1"/>
  <c r="D264" i="37"/>
  <c r="D264" i="41" s="1"/>
  <c r="B264" i="37"/>
  <c r="B264" i="41" s="1"/>
  <c r="F264" i="37"/>
  <c r="F264" i="41" s="1"/>
  <c r="A265" i="37"/>
  <c r="A265" i="41" s="1"/>
  <c r="D265" i="37"/>
  <c r="D265" i="41" s="1"/>
  <c r="B265" i="37"/>
  <c r="B265" i="41" s="1"/>
  <c r="F265" i="37"/>
  <c r="F265" i="41" s="1"/>
  <c r="A266" i="37"/>
  <c r="A266" i="41" s="1"/>
  <c r="D266" i="37"/>
  <c r="D266" i="41" s="1"/>
  <c r="B266" i="37"/>
  <c r="B266" i="41" s="1"/>
  <c r="F266" i="37"/>
  <c r="F266" i="41" s="1"/>
  <c r="A267" i="37"/>
  <c r="A267" i="41" s="1"/>
  <c r="D267" i="37"/>
  <c r="D267" i="41" s="1"/>
  <c r="B267" i="37"/>
  <c r="B267" i="41" s="1"/>
  <c r="F267" i="37"/>
  <c r="F267" i="41" s="1"/>
  <c r="A268" i="37"/>
  <c r="A268" i="41" s="1"/>
  <c r="D268" i="37"/>
  <c r="D268" i="41" s="1"/>
  <c r="B268" i="37"/>
  <c r="B268" i="41" s="1"/>
  <c r="F268" i="37"/>
  <c r="F268" i="41" s="1"/>
  <c r="A269" i="37"/>
  <c r="A269" i="41" s="1"/>
  <c r="D269" i="37"/>
  <c r="D269" i="41" s="1"/>
  <c r="B269" i="37"/>
  <c r="B269" i="41" s="1"/>
  <c r="F269" i="37"/>
  <c r="F269" i="41" s="1"/>
  <c r="A270" i="37"/>
  <c r="A270" i="41" s="1"/>
  <c r="D270" i="37"/>
  <c r="D270" i="41" s="1"/>
  <c r="B270" i="37"/>
  <c r="B270" i="41" s="1"/>
  <c r="F270" i="37"/>
  <c r="F270" i="41" s="1"/>
  <c r="A271" i="37"/>
  <c r="A271" i="41" s="1"/>
  <c r="D271" i="37"/>
  <c r="D271" i="41" s="1"/>
  <c r="B271" i="37"/>
  <c r="B271" i="41" s="1"/>
  <c r="F271" i="37"/>
  <c r="F271" i="41" s="1"/>
  <c r="A272" i="37"/>
  <c r="A272" i="41" s="1"/>
  <c r="D272" i="37"/>
  <c r="D272" i="41" s="1"/>
  <c r="B272" i="37"/>
  <c r="B272" i="41" s="1"/>
  <c r="F272" i="37"/>
  <c r="F272" i="41" s="1"/>
  <c r="A273" i="37"/>
  <c r="A273" i="41" s="1"/>
  <c r="D273" i="37"/>
  <c r="D273" i="41" s="1"/>
  <c r="B273" i="37"/>
  <c r="B273" i="41" s="1"/>
  <c r="F273" i="37"/>
  <c r="F273" i="41" s="1"/>
  <c r="A274" i="37"/>
  <c r="A274" i="41" s="1"/>
  <c r="D274" i="37"/>
  <c r="D274" i="41" s="1"/>
  <c r="B274" i="37"/>
  <c r="B274" i="41" s="1"/>
  <c r="F274" i="37"/>
  <c r="F274" i="41" s="1"/>
  <c r="A275" i="37"/>
  <c r="A275" i="41" s="1"/>
  <c r="D275" i="37"/>
  <c r="D275" i="41" s="1"/>
  <c r="B275" i="37"/>
  <c r="B275" i="41" s="1"/>
  <c r="F275" i="37"/>
  <c r="F275" i="41" s="1"/>
  <c r="A276" i="37"/>
  <c r="A276" i="41" s="1"/>
  <c r="D276" i="37"/>
  <c r="D276" i="41" s="1"/>
  <c r="B276" i="37"/>
  <c r="B276" i="41" s="1"/>
  <c r="F276" i="37"/>
  <c r="F276" i="41" s="1"/>
  <c r="A277" i="37"/>
  <c r="A277" i="41" s="1"/>
  <c r="D277" i="37"/>
  <c r="D277" i="41" s="1"/>
  <c r="B277" i="37"/>
  <c r="B277" i="41" s="1"/>
  <c r="F277" i="37"/>
  <c r="F277" i="41" s="1"/>
  <c r="A278" i="37"/>
  <c r="A278" i="41" s="1"/>
  <c r="D278" i="37"/>
  <c r="D278" i="41" s="1"/>
  <c r="B278" i="37"/>
  <c r="B278" i="41" s="1"/>
  <c r="F278" i="37"/>
  <c r="F278" i="41" s="1"/>
  <c r="A279" i="37"/>
  <c r="A279" i="41" s="1"/>
  <c r="D279" i="37"/>
  <c r="D279" i="41" s="1"/>
  <c r="B279" i="37"/>
  <c r="B279" i="41" s="1"/>
  <c r="F279" i="37"/>
  <c r="F279" i="41" s="1"/>
  <c r="A280" i="37"/>
  <c r="A280" i="41" s="1"/>
  <c r="D280" i="37"/>
  <c r="D280" i="41" s="1"/>
  <c r="B280" i="37"/>
  <c r="B280" i="41" s="1"/>
  <c r="F280" i="37"/>
  <c r="F280" i="41" s="1"/>
  <c r="A281" i="37"/>
  <c r="A281" i="41" s="1"/>
  <c r="D281" i="37"/>
  <c r="D281" i="41" s="1"/>
  <c r="B281" i="37"/>
  <c r="B281" i="41" s="1"/>
  <c r="F281" i="37"/>
  <c r="F281" i="41" s="1"/>
  <c r="A282" i="37"/>
  <c r="A282" i="41" s="1"/>
  <c r="D282" i="37"/>
  <c r="D282" i="41" s="1"/>
  <c r="B282" i="37"/>
  <c r="B282" i="41" s="1"/>
  <c r="F282" i="37"/>
  <c r="F282" i="41" s="1"/>
  <c r="A283" i="37"/>
  <c r="A283" i="41" s="1"/>
  <c r="D283" i="37"/>
  <c r="D283" i="41" s="1"/>
  <c r="B283" i="37"/>
  <c r="B283" i="41" s="1"/>
  <c r="F283" i="37"/>
  <c r="F283" i="41" s="1"/>
  <c r="A284" i="37"/>
  <c r="A284" i="41" s="1"/>
  <c r="D284" i="37"/>
  <c r="D284" i="41" s="1"/>
  <c r="B284" i="37"/>
  <c r="B284" i="41" s="1"/>
  <c r="F284" i="37"/>
  <c r="F284" i="41" s="1"/>
  <c r="A285" i="37"/>
  <c r="A285" i="41" s="1"/>
  <c r="D285" i="37"/>
  <c r="D285" i="41" s="1"/>
  <c r="B285" i="37"/>
  <c r="B285" i="41" s="1"/>
  <c r="F285" i="37"/>
  <c r="F285" i="41" s="1"/>
  <c r="A286" i="37"/>
  <c r="A286" i="41" s="1"/>
  <c r="D286" i="37"/>
  <c r="D286" i="41" s="1"/>
  <c r="B286" i="37"/>
  <c r="B286" i="41" s="1"/>
  <c r="F286" i="37"/>
  <c r="F286" i="41" s="1"/>
  <c r="A287" i="37"/>
  <c r="A287" i="41" s="1"/>
  <c r="D287" i="37"/>
  <c r="D287" i="41" s="1"/>
  <c r="B287" i="37"/>
  <c r="B287" i="41" s="1"/>
  <c r="F287" i="37"/>
  <c r="F287" i="41" s="1"/>
  <c r="A288" i="37"/>
  <c r="A288" i="41" s="1"/>
  <c r="D288" i="37"/>
  <c r="D288" i="41" s="1"/>
  <c r="B288" i="37"/>
  <c r="B288" i="41" s="1"/>
  <c r="F288" i="37"/>
  <c r="F288" i="41" s="1"/>
  <c r="A289" i="37"/>
  <c r="A289" i="41" s="1"/>
  <c r="D289" i="37"/>
  <c r="D289" i="41" s="1"/>
  <c r="B289" i="37"/>
  <c r="B289" i="41" s="1"/>
  <c r="F289" i="37"/>
  <c r="F289" i="41" s="1"/>
  <c r="A290" i="37"/>
  <c r="A290" i="41" s="1"/>
  <c r="D290" i="37"/>
  <c r="D290" i="41" s="1"/>
  <c r="B290" i="37"/>
  <c r="B290" i="41" s="1"/>
  <c r="F290" i="37"/>
  <c r="F290" i="41" s="1"/>
  <c r="A291" i="37"/>
  <c r="A291" i="41" s="1"/>
  <c r="D291" i="37"/>
  <c r="D291" i="41" s="1"/>
  <c r="B291" i="37"/>
  <c r="B291" i="41" s="1"/>
  <c r="F291" i="37"/>
  <c r="F291" i="41" s="1"/>
  <c r="A292" i="37"/>
  <c r="A292" i="41" s="1"/>
  <c r="D292" i="37"/>
  <c r="D292" i="41" s="1"/>
  <c r="B292" i="37"/>
  <c r="B292" i="41" s="1"/>
  <c r="F292" i="37"/>
  <c r="F292" i="41" s="1"/>
  <c r="A293" i="37"/>
  <c r="A293" i="41" s="1"/>
  <c r="D293" i="37"/>
  <c r="D293" i="41" s="1"/>
  <c r="B293" i="37"/>
  <c r="B293" i="41" s="1"/>
  <c r="F293" i="37"/>
  <c r="F293" i="41" s="1"/>
  <c r="A294" i="37"/>
  <c r="A294" i="41" s="1"/>
  <c r="D294" i="37"/>
  <c r="D294" i="41" s="1"/>
  <c r="B294" i="37"/>
  <c r="B294" i="41" s="1"/>
  <c r="F294" i="37"/>
  <c r="F294" i="41" s="1"/>
  <c r="A295" i="37"/>
  <c r="A295" i="41" s="1"/>
  <c r="D295" i="37"/>
  <c r="D295" i="41" s="1"/>
  <c r="B295" i="37"/>
  <c r="B295" i="41" s="1"/>
  <c r="F295" i="37"/>
  <c r="F295" i="41" s="1"/>
  <c r="A296" i="37"/>
  <c r="A296" i="41" s="1"/>
  <c r="D296" i="37"/>
  <c r="D296" i="41" s="1"/>
  <c r="B296" i="37"/>
  <c r="B296" i="41" s="1"/>
  <c r="F296" i="37"/>
  <c r="F296" i="41" s="1"/>
  <c r="A297" i="37"/>
  <c r="A297" i="41" s="1"/>
  <c r="D297" i="37"/>
  <c r="D297" i="41" s="1"/>
  <c r="B297" i="37"/>
  <c r="B297" i="41" s="1"/>
  <c r="F297" i="37"/>
  <c r="F297" i="41" s="1"/>
  <c r="A298" i="37"/>
  <c r="A298" i="41" s="1"/>
  <c r="D298" i="37"/>
  <c r="D298" i="41" s="1"/>
  <c r="B298" i="37"/>
  <c r="B298" i="41" s="1"/>
  <c r="F298" i="37"/>
  <c r="F298" i="41" s="1"/>
  <c r="A299" i="37"/>
  <c r="A299" i="41" s="1"/>
  <c r="D299" i="37"/>
  <c r="D299" i="41" s="1"/>
  <c r="B299" i="37"/>
  <c r="B299" i="41" s="1"/>
  <c r="F299" i="37"/>
  <c r="F299" i="41" s="1"/>
  <c r="A300" i="37"/>
  <c r="A300" i="41" s="1"/>
  <c r="D300" i="37"/>
  <c r="D300" i="41" s="1"/>
  <c r="B300" i="37"/>
  <c r="B300" i="41" s="1"/>
  <c r="F300" i="37"/>
  <c r="F300" i="41" s="1"/>
  <c r="A301" i="37"/>
  <c r="A301" i="41" s="1"/>
  <c r="D301" i="37"/>
  <c r="D301" i="41" s="1"/>
  <c r="B301" i="37"/>
  <c r="B301" i="41" s="1"/>
  <c r="F301" i="37"/>
  <c r="F301" i="41" s="1"/>
  <c r="A302" i="37"/>
  <c r="A302" i="41" s="1"/>
  <c r="D302" i="37"/>
  <c r="D302" i="41" s="1"/>
  <c r="B302" i="37"/>
  <c r="B302" i="41" s="1"/>
  <c r="F302" i="37"/>
  <c r="F302" i="41" s="1"/>
  <c r="A303" i="37"/>
  <c r="A303" i="41" s="1"/>
  <c r="D303" i="37"/>
  <c r="D303" i="41" s="1"/>
  <c r="B303" i="37"/>
  <c r="B303" i="41" s="1"/>
  <c r="F303" i="37"/>
  <c r="F303" i="41" s="1"/>
  <c r="A304" i="37"/>
  <c r="A304" i="41" s="1"/>
  <c r="D304" i="37"/>
  <c r="D304" i="41" s="1"/>
  <c r="B304" i="37"/>
  <c r="B304" i="41" s="1"/>
  <c r="F304" i="37"/>
  <c r="F304" i="41" s="1"/>
  <c r="A305" i="37"/>
  <c r="A305" i="41" s="1"/>
  <c r="D305" i="37"/>
  <c r="D305" i="41" s="1"/>
  <c r="B305" i="37"/>
  <c r="B305" i="41" s="1"/>
  <c r="F305" i="37"/>
  <c r="F305" i="41" s="1"/>
  <c r="A306" i="37"/>
  <c r="A306" i="41" s="1"/>
  <c r="D306" i="37"/>
  <c r="D306" i="41" s="1"/>
  <c r="B306" i="37"/>
  <c r="B306" i="41" s="1"/>
  <c r="F306" i="37"/>
  <c r="F306" i="41" s="1"/>
  <c r="A307" i="37"/>
  <c r="A307" i="41" s="1"/>
  <c r="D307" i="37"/>
  <c r="D307" i="41" s="1"/>
  <c r="B307" i="37"/>
  <c r="B307" i="41" s="1"/>
  <c r="F307" i="37"/>
  <c r="F307" i="41" s="1"/>
  <c r="A308" i="37"/>
  <c r="A308" i="41" s="1"/>
  <c r="D308" i="37"/>
  <c r="D308" i="41" s="1"/>
  <c r="B308" i="37"/>
  <c r="B308" i="41" s="1"/>
  <c r="F308" i="37"/>
  <c r="F308" i="41" s="1"/>
  <c r="A309" i="37"/>
  <c r="A309" i="41" s="1"/>
  <c r="D309" i="37"/>
  <c r="D309" i="41" s="1"/>
  <c r="B309" i="37"/>
  <c r="B309" i="41" s="1"/>
  <c r="F309" i="37"/>
  <c r="F309" i="41" s="1"/>
  <c r="A310" i="37"/>
  <c r="A310" i="41" s="1"/>
  <c r="D310" i="37"/>
  <c r="D310" i="41" s="1"/>
  <c r="B310" i="37"/>
  <c r="B310" i="41" s="1"/>
  <c r="F310" i="37"/>
  <c r="F310" i="41" s="1"/>
  <c r="A311" i="37"/>
  <c r="A311" i="41" s="1"/>
  <c r="D311" i="37"/>
  <c r="D311" i="41" s="1"/>
  <c r="B311" i="37"/>
  <c r="B311" i="41" s="1"/>
  <c r="F311" i="37"/>
  <c r="F311" i="41" s="1"/>
  <c r="A312" i="37"/>
  <c r="A312" i="41" s="1"/>
  <c r="D312" i="37"/>
  <c r="D312" i="41" s="1"/>
  <c r="B312" i="37"/>
  <c r="B312" i="41" s="1"/>
  <c r="F312" i="37"/>
  <c r="F312" i="41" s="1"/>
  <c r="A313" i="37"/>
  <c r="A313" i="41" s="1"/>
  <c r="D313" i="37"/>
  <c r="D313" i="41" s="1"/>
  <c r="B313" i="37"/>
  <c r="B313" i="41" s="1"/>
  <c r="F313" i="37"/>
  <c r="F313" i="41" s="1"/>
  <c r="A314" i="37"/>
  <c r="A314" i="41" s="1"/>
  <c r="D314" i="37"/>
  <c r="D314" i="41" s="1"/>
  <c r="B314" i="37"/>
  <c r="B314" i="41" s="1"/>
  <c r="F314" i="37"/>
  <c r="F314" i="41" s="1"/>
  <c r="A315" i="37"/>
  <c r="A315" i="41" s="1"/>
  <c r="D315" i="37"/>
  <c r="D315" i="41" s="1"/>
  <c r="B315" i="37"/>
  <c r="B315" i="41" s="1"/>
  <c r="F315" i="37"/>
  <c r="F315" i="41" s="1"/>
  <c r="A316" i="37"/>
  <c r="A316" i="41" s="1"/>
  <c r="D316" i="37"/>
  <c r="D316" i="41" s="1"/>
  <c r="B316" i="37"/>
  <c r="B316" i="41" s="1"/>
  <c r="F316" i="37"/>
  <c r="F316" i="41" s="1"/>
  <c r="A317" i="37"/>
  <c r="A317" i="41" s="1"/>
  <c r="D317" i="37"/>
  <c r="D317" i="41" s="1"/>
  <c r="B317" i="37"/>
  <c r="B317" i="41" s="1"/>
  <c r="F317" i="37"/>
  <c r="F317" i="41" s="1"/>
  <c r="A318" i="37"/>
  <c r="A318" i="41" s="1"/>
  <c r="D318" i="37"/>
  <c r="D318" i="41" s="1"/>
  <c r="B318" i="37"/>
  <c r="B318" i="41" s="1"/>
  <c r="F318" i="37"/>
  <c r="F318" i="41" s="1"/>
  <c r="A319" i="37"/>
  <c r="A319" i="41" s="1"/>
  <c r="D319" i="37"/>
  <c r="D319" i="41" s="1"/>
  <c r="B319" i="37"/>
  <c r="B319" i="41" s="1"/>
  <c r="F319" i="37"/>
  <c r="F319" i="41" s="1"/>
  <c r="A320" i="37"/>
  <c r="A320" i="41" s="1"/>
  <c r="D320" i="37"/>
  <c r="D320" i="41" s="1"/>
  <c r="B320" i="37"/>
  <c r="B320" i="41" s="1"/>
  <c r="F320" i="37"/>
  <c r="F320" i="41" s="1"/>
  <c r="A321" i="37"/>
  <c r="A321" i="41" s="1"/>
  <c r="D321" i="37"/>
  <c r="D321" i="41" s="1"/>
  <c r="B321" i="37"/>
  <c r="B321" i="41" s="1"/>
  <c r="F321" i="37"/>
  <c r="F321" i="41" s="1"/>
  <c r="A322" i="37"/>
  <c r="A322" i="41" s="1"/>
  <c r="D322" i="37"/>
  <c r="D322" i="41" s="1"/>
  <c r="B322" i="37"/>
  <c r="B322" i="41" s="1"/>
  <c r="F322" i="37"/>
  <c r="F322" i="41" s="1"/>
  <c r="A323" i="37"/>
  <c r="A323" i="41" s="1"/>
  <c r="D323" i="37"/>
  <c r="D323" i="41" s="1"/>
  <c r="B323" i="37"/>
  <c r="B323" i="41" s="1"/>
  <c r="F323" i="37"/>
  <c r="F323" i="41" s="1"/>
  <c r="A324" i="37"/>
  <c r="A324" i="41" s="1"/>
  <c r="D324" i="37"/>
  <c r="D324" i="41" s="1"/>
  <c r="B324" i="37"/>
  <c r="B324" i="41" s="1"/>
  <c r="F324" i="37"/>
  <c r="F324" i="41" s="1"/>
  <c r="A325" i="37"/>
  <c r="A325" i="41" s="1"/>
  <c r="D325" i="37"/>
  <c r="D325" i="41" s="1"/>
  <c r="B325" i="37"/>
  <c r="B325" i="41" s="1"/>
  <c r="F325" i="37"/>
  <c r="F325" i="41" s="1"/>
  <c r="A326" i="37"/>
  <c r="A326" i="41" s="1"/>
  <c r="D326" i="37"/>
  <c r="D326" i="41" s="1"/>
  <c r="B326" i="37"/>
  <c r="B326" i="41" s="1"/>
  <c r="F326" i="37"/>
  <c r="F326" i="41" s="1"/>
  <c r="A327" i="37"/>
  <c r="A327" i="41" s="1"/>
  <c r="D327" i="37"/>
  <c r="D327" i="41" s="1"/>
  <c r="B327" i="37"/>
  <c r="B327" i="41" s="1"/>
  <c r="F327" i="37"/>
  <c r="F327" i="41" s="1"/>
  <c r="A328" i="37"/>
  <c r="A328" i="41" s="1"/>
  <c r="D328" i="37"/>
  <c r="D328" i="41" s="1"/>
  <c r="B328" i="37"/>
  <c r="B328" i="41" s="1"/>
  <c r="F328" i="37"/>
  <c r="F328" i="41" s="1"/>
  <c r="A329" i="37"/>
  <c r="A329" i="41" s="1"/>
  <c r="D329" i="37"/>
  <c r="D329" i="41" s="1"/>
  <c r="B329" i="37"/>
  <c r="B329" i="41" s="1"/>
  <c r="F329" i="37"/>
  <c r="F329" i="41" s="1"/>
  <c r="A330" i="37"/>
  <c r="A330" i="41" s="1"/>
  <c r="D330" i="37"/>
  <c r="D330" i="41" s="1"/>
  <c r="B330" i="37"/>
  <c r="B330" i="41" s="1"/>
  <c r="F330" i="37"/>
  <c r="F330" i="41" s="1"/>
  <c r="A331" i="37"/>
  <c r="A331" i="41" s="1"/>
  <c r="D331" i="37"/>
  <c r="D331" i="41" s="1"/>
  <c r="B331" i="37"/>
  <c r="B331" i="41" s="1"/>
  <c r="F331" i="37"/>
  <c r="F331" i="41" s="1"/>
  <c r="A332" i="37"/>
  <c r="A332" i="41" s="1"/>
  <c r="D332" i="37"/>
  <c r="D332" i="41" s="1"/>
  <c r="B332" i="37"/>
  <c r="B332" i="41" s="1"/>
  <c r="F332" i="37"/>
  <c r="F332" i="41" s="1"/>
  <c r="A333" i="37"/>
  <c r="A333" i="41" s="1"/>
  <c r="D333" i="37"/>
  <c r="D333" i="41" s="1"/>
  <c r="B333" i="37"/>
  <c r="B333" i="41" s="1"/>
  <c r="F333" i="37"/>
  <c r="F333" i="41" s="1"/>
  <c r="A334" i="37"/>
  <c r="A334" i="41" s="1"/>
  <c r="D334" i="37"/>
  <c r="D334" i="41" s="1"/>
  <c r="B334" i="37"/>
  <c r="B334" i="41" s="1"/>
  <c r="F334" i="37"/>
  <c r="F334" i="41" s="1"/>
  <c r="A335" i="37"/>
  <c r="A335" i="41" s="1"/>
  <c r="D335" i="37"/>
  <c r="D335" i="41" s="1"/>
  <c r="B335" i="37"/>
  <c r="B335" i="41" s="1"/>
  <c r="F335" i="37"/>
  <c r="F335" i="41" s="1"/>
  <c r="A336" i="37"/>
  <c r="A336" i="41" s="1"/>
  <c r="D336" i="37"/>
  <c r="D336" i="41" s="1"/>
  <c r="B336" i="37"/>
  <c r="B336" i="41" s="1"/>
  <c r="F336" i="37"/>
  <c r="F336" i="41" s="1"/>
  <c r="A337" i="37"/>
  <c r="A337" i="41" s="1"/>
  <c r="D337" i="37"/>
  <c r="D337" i="41" s="1"/>
  <c r="B337" i="37"/>
  <c r="B337" i="41" s="1"/>
  <c r="F337" i="37"/>
  <c r="F337" i="41" s="1"/>
  <c r="A338" i="37"/>
  <c r="A338" i="41" s="1"/>
  <c r="D338" i="37"/>
  <c r="D338" i="41" s="1"/>
  <c r="B338" i="37"/>
  <c r="B338" i="41" s="1"/>
  <c r="F338" i="37"/>
  <c r="F338" i="41" s="1"/>
  <c r="A339" i="37"/>
  <c r="A339" i="41" s="1"/>
  <c r="D339" i="37"/>
  <c r="D339" i="41" s="1"/>
  <c r="B339" i="37"/>
  <c r="B339" i="41" s="1"/>
  <c r="F339" i="37"/>
  <c r="F339" i="41" s="1"/>
  <c r="A340" i="37"/>
  <c r="A340" i="41" s="1"/>
  <c r="D340" i="37"/>
  <c r="D340" i="41" s="1"/>
  <c r="B340" i="37"/>
  <c r="B340" i="41" s="1"/>
  <c r="F340" i="37"/>
  <c r="F340" i="41" s="1"/>
  <c r="A341" i="37"/>
  <c r="A341" i="41" s="1"/>
  <c r="D341" i="37"/>
  <c r="D341" i="41" s="1"/>
  <c r="B341" i="37"/>
  <c r="B341" i="41" s="1"/>
  <c r="F341" i="37"/>
  <c r="F341" i="41" s="1"/>
  <c r="A342" i="37"/>
  <c r="A342" i="41" s="1"/>
  <c r="D342" i="37"/>
  <c r="D342" i="41" s="1"/>
  <c r="B342" i="37"/>
  <c r="B342" i="41" s="1"/>
  <c r="F342" i="37"/>
  <c r="F342" i="41" s="1"/>
  <c r="A343" i="37"/>
  <c r="A343" i="41" s="1"/>
  <c r="D343" i="37"/>
  <c r="D343" i="41" s="1"/>
  <c r="B343" i="37"/>
  <c r="B343" i="41" s="1"/>
  <c r="F343" i="37"/>
  <c r="F343" i="41" s="1"/>
  <c r="A344" i="37"/>
  <c r="A344" i="41" s="1"/>
  <c r="D344" i="37"/>
  <c r="D344" i="41" s="1"/>
  <c r="B344" i="37"/>
  <c r="B344" i="41" s="1"/>
  <c r="F344" i="37"/>
  <c r="F344" i="41" s="1"/>
  <c r="A345" i="37"/>
  <c r="A345" i="41" s="1"/>
  <c r="D345" i="37"/>
  <c r="D345" i="41" s="1"/>
  <c r="B345" i="37"/>
  <c r="B345" i="41" s="1"/>
  <c r="F345" i="37"/>
  <c r="F345" i="41" s="1"/>
  <c r="A346" i="37"/>
  <c r="A346" i="41" s="1"/>
  <c r="D346" i="37"/>
  <c r="D346" i="41" s="1"/>
  <c r="B346" i="37"/>
  <c r="B346" i="41" s="1"/>
  <c r="F346" i="37"/>
  <c r="F346" i="41" s="1"/>
  <c r="A347" i="37"/>
  <c r="A347" i="41" s="1"/>
  <c r="D347" i="37"/>
  <c r="D347" i="41" s="1"/>
  <c r="B347" i="37"/>
  <c r="B347" i="41" s="1"/>
  <c r="F347" i="37"/>
  <c r="F347" i="41" s="1"/>
  <c r="A348" i="37"/>
  <c r="A348" i="41" s="1"/>
  <c r="D348" i="37"/>
  <c r="D348" i="41" s="1"/>
  <c r="B348" i="37"/>
  <c r="B348" i="41" s="1"/>
  <c r="F348" i="37"/>
  <c r="F348" i="41" s="1"/>
  <c r="A349" i="37"/>
  <c r="A349" i="41" s="1"/>
  <c r="D349" i="37"/>
  <c r="D349" i="41" s="1"/>
  <c r="B349" i="37"/>
  <c r="B349" i="41" s="1"/>
  <c r="F349" i="37"/>
  <c r="F349" i="41" s="1"/>
  <c r="A350" i="37"/>
  <c r="A350" i="41" s="1"/>
  <c r="D350" i="37"/>
  <c r="D350" i="41" s="1"/>
  <c r="B350" i="37"/>
  <c r="B350" i="41" s="1"/>
  <c r="F350" i="37"/>
  <c r="F350" i="41" s="1"/>
  <c r="A351" i="37"/>
  <c r="A351" i="41" s="1"/>
  <c r="D351" i="37"/>
  <c r="D351" i="41" s="1"/>
  <c r="B351" i="37"/>
  <c r="B351" i="41" s="1"/>
  <c r="F351" i="37"/>
  <c r="F351" i="41" s="1"/>
  <c r="A352" i="37"/>
  <c r="A352" i="41" s="1"/>
  <c r="D352" i="37"/>
  <c r="D352" i="41" s="1"/>
  <c r="B352" i="37"/>
  <c r="B352" i="41" s="1"/>
  <c r="F352" i="37"/>
  <c r="F352" i="41" s="1"/>
  <c r="A353" i="37"/>
  <c r="A353" i="41" s="1"/>
  <c r="D353" i="37"/>
  <c r="D353" i="41" s="1"/>
  <c r="B353" i="37"/>
  <c r="B353" i="41" s="1"/>
  <c r="F353" i="37"/>
  <c r="F353" i="41" s="1"/>
  <c r="A354" i="37"/>
  <c r="A354" i="41" s="1"/>
  <c r="D354" i="37"/>
  <c r="D354" i="41" s="1"/>
  <c r="B354" i="37"/>
  <c r="B354" i="41" s="1"/>
  <c r="F354" i="37"/>
  <c r="F354" i="41" s="1"/>
  <c r="A355" i="37"/>
  <c r="A355" i="41" s="1"/>
  <c r="D355" i="37"/>
  <c r="D355" i="41" s="1"/>
  <c r="B355" i="37"/>
  <c r="B355" i="41" s="1"/>
  <c r="F355" i="37"/>
  <c r="F355" i="41" s="1"/>
  <c r="A356" i="37"/>
  <c r="A356" i="41" s="1"/>
  <c r="D356" i="37"/>
  <c r="D356" i="41" s="1"/>
  <c r="B356" i="37"/>
  <c r="B356" i="41" s="1"/>
  <c r="F356" i="37"/>
  <c r="F356" i="41" s="1"/>
  <c r="A357" i="37"/>
  <c r="A357" i="41" s="1"/>
  <c r="D357" i="37"/>
  <c r="D357" i="41" s="1"/>
  <c r="B357" i="37"/>
  <c r="B357" i="41" s="1"/>
  <c r="F357" i="37"/>
  <c r="F357" i="41" s="1"/>
  <c r="A358" i="37"/>
  <c r="A358" i="41" s="1"/>
  <c r="D358" i="37"/>
  <c r="D358" i="41" s="1"/>
  <c r="B358" i="37"/>
  <c r="B358" i="41" s="1"/>
  <c r="F358" i="37"/>
  <c r="F358" i="41" s="1"/>
  <c r="A359" i="37"/>
  <c r="A359" i="41" s="1"/>
  <c r="D359" i="37"/>
  <c r="D359" i="41" s="1"/>
  <c r="B359" i="37"/>
  <c r="B359" i="41" s="1"/>
  <c r="F359" i="37"/>
  <c r="F359" i="41" s="1"/>
  <c r="A360" i="37"/>
  <c r="A360" i="41" s="1"/>
  <c r="D360" i="37"/>
  <c r="D360" i="41" s="1"/>
  <c r="B360" i="37"/>
  <c r="B360" i="41" s="1"/>
  <c r="F360" i="37"/>
  <c r="F360" i="41" s="1"/>
  <c r="A361" i="37"/>
  <c r="A361" i="41" s="1"/>
  <c r="D361" i="37"/>
  <c r="D361" i="41" s="1"/>
  <c r="B361" i="37"/>
  <c r="B361" i="41" s="1"/>
  <c r="F361" i="37"/>
  <c r="F361" i="41" s="1"/>
  <c r="A362" i="37"/>
  <c r="A362" i="41" s="1"/>
  <c r="D362" i="37"/>
  <c r="D362" i="41" s="1"/>
  <c r="B362" i="37"/>
  <c r="B362" i="41" s="1"/>
  <c r="F362" i="37"/>
  <c r="F362" i="41" s="1"/>
  <c r="A363" i="37"/>
  <c r="A363" i="41" s="1"/>
  <c r="D363" i="37"/>
  <c r="D363" i="41" s="1"/>
  <c r="B363" i="37"/>
  <c r="B363" i="41" s="1"/>
  <c r="F363" i="37"/>
  <c r="F363" i="41" s="1"/>
  <c r="A364" i="37"/>
  <c r="A364" i="41" s="1"/>
  <c r="D364" i="37"/>
  <c r="D364" i="41" s="1"/>
  <c r="B364" i="37"/>
  <c r="B364" i="41" s="1"/>
  <c r="F364" i="37"/>
  <c r="F364" i="41" s="1"/>
  <c r="A365" i="37"/>
  <c r="A365" i="41" s="1"/>
  <c r="D365" i="37"/>
  <c r="D365" i="41" s="1"/>
  <c r="B365" i="37"/>
  <c r="B365" i="41" s="1"/>
  <c r="F365" i="37"/>
  <c r="F365" i="41" s="1"/>
  <c r="A366" i="37"/>
  <c r="A366" i="41" s="1"/>
  <c r="D366" i="37"/>
  <c r="D366" i="41" s="1"/>
  <c r="B366" i="37"/>
  <c r="B366" i="41" s="1"/>
  <c r="F366" i="37"/>
  <c r="F366" i="41" s="1"/>
  <c r="A367" i="37"/>
  <c r="A367" i="41" s="1"/>
  <c r="D367" i="37"/>
  <c r="D367" i="41" s="1"/>
  <c r="B367" i="37"/>
  <c r="B367" i="41" s="1"/>
  <c r="F367" i="37"/>
  <c r="F367" i="41" s="1"/>
  <c r="A368" i="37"/>
  <c r="A368" i="41" s="1"/>
  <c r="D368" i="37"/>
  <c r="D368" i="41" s="1"/>
  <c r="B368" i="37"/>
  <c r="B368" i="41" s="1"/>
  <c r="F368" i="37"/>
  <c r="F368" i="41" s="1"/>
  <c r="A369" i="37"/>
  <c r="A369" i="41" s="1"/>
  <c r="D369" i="37"/>
  <c r="D369" i="41" s="1"/>
  <c r="B369" i="37"/>
  <c r="B369" i="41" s="1"/>
  <c r="F369" i="37"/>
  <c r="F369" i="41" s="1"/>
  <c r="A370" i="37"/>
  <c r="A370" i="41" s="1"/>
  <c r="D370" i="37"/>
  <c r="D370" i="41" s="1"/>
  <c r="B370" i="37"/>
  <c r="B370" i="41" s="1"/>
  <c r="F370" i="37"/>
  <c r="F370" i="41" s="1"/>
  <c r="A371" i="37"/>
  <c r="A371" i="41" s="1"/>
  <c r="D371" i="37"/>
  <c r="D371" i="41" s="1"/>
  <c r="B371" i="37"/>
  <c r="B371" i="41" s="1"/>
  <c r="F371" i="37"/>
  <c r="F371" i="41" s="1"/>
  <c r="A372" i="37"/>
  <c r="A372" i="41" s="1"/>
  <c r="D372" i="37"/>
  <c r="D372" i="41" s="1"/>
  <c r="B372" i="37"/>
  <c r="B372" i="41" s="1"/>
  <c r="F372" i="37"/>
  <c r="F372" i="41" s="1"/>
  <c r="A373" i="37"/>
  <c r="A373" i="41" s="1"/>
  <c r="D373" i="37"/>
  <c r="D373" i="41" s="1"/>
  <c r="B373" i="37"/>
  <c r="B373" i="41" s="1"/>
  <c r="F373" i="37"/>
  <c r="F373" i="41" s="1"/>
  <c r="A374" i="37"/>
  <c r="A374" i="41" s="1"/>
  <c r="D374" i="37"/>
  <c r="D374" i="41" s="1"/>
  <c r="B374" i="37"/>
  <c r="B374" i="41" s="1"/>
  <c r="F374" i="37"/>
  <c r="F374" i="41" s="1"/>
  <c r="A375" i="37"/>
  <c r="A375" i="41" s="1"/>
  <c r="D375" i="37"/>
  <c r="D375" i="41" s="1"/>
  <c r="B375" i="37"/>
  <c r="B375" i="41" s="1"/>
  <c r="F375" i="37"/>
  <c r="F375" i="41" s="1"/>
  <c r="A376" i="37"/>
  <c r="A376" i="41" s="1"/>
  <c r="D376" i="37"/>
  <c r="D376" i="41" s="1"/>
  <c r="B376" i="37"/>
  <c r="B376" i="41" s="1"/>
  <c r="F376" i="37"/>
  <c r="F376" i="41" s="1"/>
  <c r="A377" i="37"/>
  <c r="A377" i="41" s="1"/>
  <c r="D377" i="37"/>
  <c r="D377" i="41" s="1"/>
  <c r="B377" i="37"/>
  <c r="B377" i="41" s="1"/>
  <c r="F377" i="37"/>
  <c r="F377" i="41" s="1"/>
  <c r="A378" i="37"/>
  <c r="A378" i="41" s="1"/>
  <c r="D378" i="37"/>
  <c r="D378" i="41" s="1"/>
  <c r="B378" i="37"/>
  <c r="B378" i="41" s="1"/>
  <c r="F378" i="37"/>
  <c r="F378" i="41" s="1"/>
  <c r="A379" i="37"/>
  <c r="A379" i="41" s="1"/>
  <c r="D379" i="37"/>
  <c r="D379" i="41" s="1"/>
  <c r="B379" i="37"/>
  <c r="B379" i="41" s="1"/>
  <c r="F379" i="37"/>
  <c r="F379" i="41" s="1"/>
  <c r="A380" i="37"/>
  <c r="A380" i="41" s="1"/>
  <c r="D380" i="37"/>
  <c r="D380" i="41" s="1"/>
  <c r="B380" i="37"/>
  <c r="B380" i="41" s="1"/>
  <c r="F380" i="37"/>
  <c r="F380" i="41" s="1"/>
  <c r="A381" i="37"/>
  <c r="A381" i="41" s="1"/>
  <c r="D381" i="37"/>
  <c r="D381" i="41" s="1"/>
  <c r="B381" i="37"/>
  <c r="B381" i="41" s="1"/>
  <c r="F381" i="37"/>
  <c r="F381" i="41" s="1"/>
  <c r="A382" i="37"/>
  <c r="A382" i="41" s="1"/>
  <c r="D382" i="37"/>
  <c r="D382" i="41" s="1"/>
  <c r="B382" i="37"/>
  <c r="B382" i="41" s="1"/>
  <c r="F382" i="37"/>
  <c r="F382" i="41" s="1"/>
  <c r="A383" i="37"/>
  <c r="A383" i="41" s="1"/>
  <c r="D383" i="37"/>
  <c r="D383" i="41" s="1"/>
  <c r="B383" i="37"/>
  <c r="B383" i="41" s="1"/>
  <c r="F383" i="37"/>
  <c r="F383" i="41" s="1"/>
  <c r="A384" i="37"/>
  <c r="A384" i="41" s="1"/>
  <c r="D384" i="37"/>
  <c r="D384" i="41" s="1"/>
  <c r="B384" i="37"/>
  <c r="B384" i="41" s="1"/>
  <c r="F384" i="37"/>
  <c r="F384" i="41" s="1"/>
  <c r="A385" i="37"/>
  <c r="A385" i="41" s="1"/>
  <c r="D385" i="37"/>
  <c r="D385" i="41" s="1"/>
  <c r="B385" i="37"/>
  <c r="B385" i="41" s="1"/>
  <c r="F385" i="37"/>
  <c r="F385" i="41" s="1"/>
  <c r="A386" i="37"/>
  <c r="A386" i="41" s="1"/>
  <c r="D386" i="37"/>
  <c r="D386" i="41" s="1"/>
  <c r="B386" i="37"/>
  <c r="B386" i="41" s="1"/>
  <c r="F386" i="37"/>
  <c r="F386" i="41" s="1"/>
  <c r="A387" i="37"/>
  <c r="A387" i="41" s="1"/>
  <c r="D387" i="37"/>
  <c r="D387" i="41" s="1"/>
  <c r="B387" i="37"/>
  <c r="B387" i="41" s="1"/>
  <c r="F387" i="37"/>
  <c r="F387" i="41" s="1"/>
  <c r="A388" i="37"/>
  <c r="A388" i="41" s="1"/>
  <c r="D388" i="37"/>
  <c r="D388" i="41" s="1"/>
  <c r="B388" i="37"/>
  <c r="B388" i="41" s="1"/>
  <c r="F388" i="37"/>
  <c r="F388" i="41" s="1"/>
  <c r="A389" i="37"/>
  <c r="A389" i="41" s="1"/>
  <c r="D389" i="37"/>
  <c r="D389" i="41" s="1"/>
  <c r="B389" i="37"/>
  <c r="B389" i="41" s="1"/>
  <c r="F389" i="37"/>
  <c r="F389" i="41" s="1"/>
  <c r="A390" i="37"/>
  <c r="A390" i="41" s="1"/>
  <c r="D390" i="37"/>
  <c r="D390" i="41" s="1"/>
  <c r="B390" i="37"/>
  <c r="B390" i="41" s="1"/>
  <c r="F390" i="37"/>
  <c r="F390" i="41" s="1"/>
  <c r="A391" i="37"/>
  <c r="A391" i="41" s="1"/>
  <c r="D391" i="37"/>
  <c r="D391" i="41" s="1"/>
  <c r="B391" i="37"/>
  <c r="B391" i="41" s="1"/>
  <c r="F391" i="37"/>
  <c r="F391" i="41" s="1"/>
  <c r="A392" i="37"/>
  <c r="A392" i="41" s="1"/>
  <c r="D392" i="37"/>
  <c r="D392" i="41" s="1"/>
  <c r="B392" i="37"/>
  <c r="B392" i="41" s="1"/>
  <c r="F392" i="37"/>
  <c r="F392" i="41" s="1"/>
  <c r="A393" i="37"/>
  <c r="A393" i="41" s="1"/>
  <c r="D393" i="37"/>
  <c r="D393" i="41" s="1"/>
  <c r="B393" i="37"/>
  <c r="B393" i="41" s="1"/>
  <c r="F393" i="37"/>
  <c r="F393" i="41" s="1"/>
  <c r="A394" i="37"/>
  <c r="A394" i="41" s="1"/>
  <c r="D394" i="37"/>
  <c r="D394" i="41" s="1"/>
  <c r="B394" i="37"/>
  <c r="B394" i="41" s="1"/>
  <c r="F394" i="37"/>
  <c r="F394" i="41" s="1"/>
  <c r="A395" i="37"/>
  <c r="A395" i="41" s="1"/>
  <c r="D395" i="37"/>
  <c r="D395" i="41" s="1"/>
  <c r="B395" i="37"/>
  <c r="B395" i="41" s="1"/>
  <c r="F395" i="37"/>
  <c r="F395" i="41" s="1"/>
  <c r="A396" i="37"/>
  <c r="A396" i="41" s="1"/>
  <c r="D396" i="37"/>
  <c r="D396" i="41" s="1"/>
  <c r="B396" i="37"/>
  <c r="B396" i="41" s="1"/>
  <c r="F396" i="37"/>
  <c r="F396" i="41" s="1"/>
  <c r="A397" i="37"/>
  <c r="A397" i="41" s="1"/>
  <c r="D397" i="37"/>
  <c r="D397" i="41" s="1"/>
  <c r="B397" i="37"/>
  <c r="B397" i="41" s="1"/>
  <c r="F397" i="37"/>
  <c r="F397" i="41" s="1"/>
  <c r="A398" i="37"/>
  <c r="A398" i="41" s="1"/>
  <c r="D398" i="37"/>
  <c r="D398" i="41" s="1"/>
  <c r="B398" i="37"/>
  <c r="B398" i="41" s="1"/>
  <c r="F398" i="37"/>
  <c r="F398" i="41" s="1"/>
  <c r="A399" i="37"/>
  <c r="A399" i="41" s="1"/>
  <c r="D399" i="37"/>
  <c r="D399" i="41" s="1"/>
  <c r="B399" i="37"/>
  <c r="B399" i="41" s="1"/>
  <c r="F399" i="37"/>
  <c r="F399" i="41" s="1"/>
  <c r="A400" i="37"/>
  <c r="A400" i="41" s="1"/>
  <c r="D400" i="37"/>
  <c r="D400" i="41" s="1"/>
  <c r="B400" i="37"/>
  <c r="B400" i="41" s="1"/>
  <c r="F400" i="37"/>
  <c r="F400" i="41" s="1"/>
  <c r="A401" i="37"/>
  <c r="A401" i="41" s="1"/>
  <c r="D401" i="37"/>
  <c r="D401" i="41" s="1"/>
  <c r="B401" i="37"/>
  <c r="B401" i="41" s="1"/>
  <c r="F401" i="37"/>
  <c r="F401" i="41" s="1"/>
  <c r="A402" i="37"/>
  <c r="A402" i="41" s="1"/>
  <c r="D402" i="37"/>
  <c r="D402" i="41" s="1"/>
  <c r="F1" i="37"/>
  <c r="F2" i="37"/>
  <c r="F2" i="41" s="1"/>
  <c r="F403" i="37"/>
  <c r="F403" i="41" s="1"/>
  <c r="F404" i="37"/>
  <c r="F404" i="41" s="1"/>
  <c r="F405" i="37"/>
  <c r="F405" i="41" s="1"/>
  <c r="F407" i="37"/>
  <c r="F407" i="41" s="1"/>
  <c r="F408" i="37"/>
  <c r="F408" i="41" s="1"/>
  <c r="F409" i="37"/>
  <c r="F409" i="41" s="1"/>
  <c r="F410" i="37"/>
  <c r="F410" i="41" s="1"/>
  <c r="F411" i="37"/>
  <c r="F411" i="41" s="1"/>
  <c r="F412" i="37"/>
  <c r="F412" i="41" s="1"/>
  <c r="F413" i="37"/>
  <c r="F413" i="41" s="1"/>
  <c r="F414" i="37"/>
  <c r="F414" i="41" s="1"/>
  <c r="F415" i="37"/>
  <c r="F415" i="41" s="1"/>
  <c r="F416" i="37"/>
  <c r="F416" i="41" s="1"/>
  <c r="F417" i="37"/>
  <c r="F417" i="41" s="1"/>
  <c r="F418" i="37"/>
  <c r="F418" i="41" s="1"/>
  <c r="F419" i="37"/>
  <c r="F419" i="41" s="1"/>
  <c r="F420" i="37"/>
  <c r="F420" i="41" s="1"/>
  <c r="F421" i="37"/>
  <c r="F421" i="41" s="1"/>
  <c r="F422" i="37"/>
  <c r="F422" i="41" s="1"/>
  <c r="F423" i="37"/>
  <c r="F423" i="41" s="1"/>
  <c r="F424" i="37"/>
  <c r="F424" i="41" s="1"/>
  <c r="F425" i="37"/>
  <c r="F425" i="41" s="1"/>
  <c r="F426" i="37"/>
  <c r="F426" i="41" s="1"/>
  <c r="F427" i="37"/>
  <c r="F427" i="41" s="1"/>
  <c r="F428" i="37"/>
  <c r="F428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59" i="37"/>
  <c r="F459" i="41" s="1"/>
  <c r="F460" i="37"/>
  <c r="F460" i="41" s="1"/>
  <c r="F461" i="37"/>
  <c r="F461" i="41" s="1"/>
  <c r="F462" i="37"/>
  <c r="F462" i="41" s="1"/>
  <c r="F463" i="37"/>
  <c r="F463" i="41" s="1"/>
  <c r="F464" i="37"/>
  <c r="F464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A403" i="37"/>
  <c r="A403" i="41" s="1"/>
  <c r="D403" i="37"/>
  <c r="D403" i="41" s="1"/>
  <c r="F402" i="37"/>
  <c r="F402" i="41" s="1"/>
  <c r="C403" i="37"/>
  <c r="C403" i="41" s="1"/>
  <c r="A404" i="37"/>
  <c r="A404" i="41" s="1"/>
  <c r="D404" i="37"/>
  <c r="D404" i="41" s="1"/>
  <c r="C404" i="37"/>
  <c r="C404" i="41" s="1"/>
  <c r="A405" i="37"/>
  <c r="A405" i="41" s="1"/>
  <c r="D405" i="37"/>
  <c r="D405" i="41" s="1"/>
  <c r="C405" i="37"/>
  <c r="C405" i="41" s="1"/>
  <c r="A407" i="37"/>
  <c r="A407" i="41" s="1"/>
  <c r="D407" i="37"/>
  <c r="D407" i="41" s="1"/>
  <c r="C407" i="37"/>
  <c r="C407" i="41" s="1"/>
  <c r="A408" i="37"/>
  <c r="A408" i="41" s="1"/>
  <c r="D408" i="37"/>
  <c r="D408" i="41" s="1"/>
  <c r="C408" i="37"/>
  <c r="C408" i="41" s="1"/>
  <c r="A409" i="37"/>
  <c r="A409" i="41" s="1"/>
  <c r="D409" i="37"/>
  <c r="D409" i="41" s="1"/>
  <c r="C409" i="37"/>
  <c r="C409" i="41" s="1"/>
  <c r="A410" i="37"/>
  <c r="A410" i="41" s="1"/>
  <c r="D410" i="37"/>
  <c r="D410" i="41" s="1"/>
  <c r="C410" i="37"/>
  <c r="C410" i="41" s="1"/>
  <c r="A411" i="37"/>
  <c r="A411" i="41" s="1"/>
  <c r="D411" i="37"/>
  <c r="D411" i="41" s="1"/>
  <c r="C411" i="37"/>
  <c r="C411" i="41" s="1"/>
  <c r="A412" i="37"/>
  <c r="A412" i="41" s="1"/>
  <c r="D412" i="37"/>
  <c r="D412" i="41" s="1"/>
  <c r="C412" i="37"/>
  <c r="C412" i="41" s="1"/>
  <c r="A413" i="37"/>
  <c r="A413" i="41" s="1"/>
  <c r="D413" i="37"/>
  <c r="D413" i="41" s="1"/>
  <c r="C413" i="37"/>
  <c r="C413" i="41" s="1"/>
  <c r="A414" i="37"/>
  <c r="A414" i="41" s="1"/>
  <c r="D414" i="37"/>
  <c r="D414" i="41" s="1"/>
  <c r="C414" i="37"/>
  <c r="C414" i="41" s="1"/>
  <c r="A415" i="37"/>
  <c r="A415" i="41" s="1"/>
  <c r="D415" i="37"/>
  <c r="D415" i="41" s="1"/>
  <c r="C415" i="37"/>
  <c r="C415" i="41" s="1"/>
  <c r="A416" i="37"/>
  <c r="A416" i="41" s="1"/>
  <c r="D416" i="37"/>
  <c r="D416" i="41" s="1"/>
  <c r="C416" i="37"/>
  <c r="C416" i="41" s="1"/>
  <c r="A417" i="37"/>
  <c r="A417" i="41" s="1"/>
  <c r="D417" i="37"/>
  <c r="D417" i="41" s="1"/>
  <c r="C417" i="37"/>
  <c r="C417" i="41" s="1"/>
  <c r="D418" i="37"/>
  <c r="D418" i="41" s="1"/>
  <c r="A418" i="37"/>
  <c r="A418" i="41" s="1"/>
  <c r="A419" i="37"/>
  <c r="A419" i="41" s="1"/>
  <c r="D419" i="37"/>
  <c r="D419" i="41" s="1"/>
  <c r="A420" i="37"/>
  <c r="A420" i="41" s="1"/>
  <c r="A421" i="37"/>
  <c r="A421" i="41" s="1"/>
  <c r="A422" i="37"/>
  <c r="A422" i="41" s="1"/>
  <c r="D420" i="37"/>
  <c r="D420" i="41" s="1"/>
  <c r="A423" i="37"/>
  <c r="A423" i="41" s="1"/>
  <c r="A424" i="37"/>
  <c r="A424" i="41" s="1"/>
  <c r="A425" i="37"/>
  <c r="A425" i="41" s="1"/>
  <c r="D421" i="37"/>
  <c r="D421" i="41" s="1"/>
  <c r="A426" i="37"/>
  <c r="A426" i="41" s="1"/>
  <c r="A427" i="37"/>
  <c r="A427" i="41" s="1"/>
  <c r="A428" i="37"/>
  <c r="A428" i="41" s="1"/>
  <c r="D422" i="37"/>
  <c r="D422" i="41" s="1"/>
  <c r="C207" i="38"/>
  <c r="C222" i="38" s="1"/>
  <c r="C237" i="38" s="1"/>
  <c r="A429" i="37"/>
  <c r="A429" i="41" s="1"/>
  <c r="A430" i="37"/>
  <c r="A430" i="41" s="1"/>
  <c r="A431" i="37"/>
  <c r="A431" i="41" s="1"/>
  <c r="D423" i="37"/>
  <c r="D423" i="41" s="1"/>
  <c r="A432" i="37"/>
  <c r="A432" i="41" s="1"/>
  <c r="D424" i="37"/>
  <c r="D424" i="41" s="1"/>
  <c r="D425" i="37"/>
  <c r="D425" i="41" s="1"/>
  <c r="D426" i="37"/>
  <c r="D426" i="41" s="1"/>
  <c r="C211" i="38"/>
  <c r="C226" i="38" s="1"/>
  <c r="C241" i="38" s="1"/>
  <c r="D427" i="37"/>
  <c r="D427" i="41" s="1"/>
  <c r="C212" i="38"/>
  <c r="C227" i="38" s="1"/>
  <c r="C242" i="38" s="1"/>
  <c r="C257" i="38" s="1"/>
  <c r="C272" i="38" s="1"/>
  <c r="D428" i="37"/>
  <c r="D428" i="41" s="1"/>
  <c r="C213" i="38"/>
  <c r="C228" i="38" s="1"/>
  <c r="C243" i="38" s="1"/>
  <c r="C258" i="38" s="1"/>
  <c r="A470" i="37"/>
  <c r="A470" i="41" s="1"/>
  <c r="C470" i="37"/>
  <c r="C470" i="41" s="1"/>
  <c r="D429" i="37"/>
  <c r="D429" i="41" s="1"/>
  <c r="D430" i="37"/>
  <c r="D430" i="41" s="1"/>
  <c r="D431" i="37"/>
  <c r="D431" i="41" s="1"/>
  <c r="C216" i="38"/>
  <c r="C231" i="38" s="1"/>
  <c r="C246" i="38" s="1"/>
  <c r="C261" i="38" s="1"/>
  <c r="D432" i="37"/>
  <c r="D432" i="41" s="1"/>
  <c r="D433" i="37"/>
  <c r="D433" i="41" s="1"/>
  <c r="D434" i="37"/>
  <c r="D434" i="41" s="1"/>
  <c r="D435" i="37"/>
  <c r="D435" i="41" s="1"/>
  <c r="D436" i="37"/>
  <c r="D436" i="41" s="1"/>
  <c r="D440" i="37"/>
  <c r="D440" i="41" s="1"/>
  <c r="D440" i="58"/>
  <c r="D441" i="37"/>
  <c r="D441" i="41" s="1"/>
  <c r="D442" i="37"/>
  <c r="D442" i="41" s="1"/>
  <c r="D443" i="37"/>
  <c r="D443" i="41" s="1"/>
  <c r="D444" i="37"/>
  <c r="D444" i="41" s="1"/>
  <c r="D445" i="37"/>
  <c r="D445" i="41" s="1"/>
  <c r="D446" i="37"/>
  <c r="D446" i="41" s="1"/>
  <c r="D447" i="37"/>
  <c r="D447" i="41" s="1"/>
  <c r="D448" i="37"/>
  <c r="D448" i="41" s="1"/>
  <c r="D449" i="37"/>
  <c r="D449" i="41" s="1"/>
  <c r="D449" i="58"/>
  <c r="A470" i="58"/>
  <c r="C470" i="58"/>
  <c r="D103" i="38"/>
  <c r="D106" i="38"/>
  <c r="H183" i="35"/>
  <c r="C11" i="6"/>
  <c r="H184" i="35"/>
  <c r="H4" i="20"/>
  <c r="C402" i="37"/>
  <c r="C402" i="41" s="1"/>
  <c r="C402" i="58"/>
  <c r="D2" i="34"/>
  <c r="D204" i="38"/>
  <c r="D109" i="38"/>
  <c r="D206" i="38"/>
  <c r="D208" i="38"/>
  <c r="D116" i="38"/>
  <c r="D117" i="38"/>
  <c r="D212" i="38"/>
  <c r="D224" i="38"/>
  <c r="D450" i="37"/>
  <c r="D450" i="41" s="1"/>
  <c r="D450" i="58"/>
  <c r="D168" i="38"/>
  <c r="D451" i="37"/>
  <c r="D451" i="41" s="1"/>
  <c r="D453" i="37"/>
  <c r="D453" i="41" s="1"/>
  <c r="D454" i="37"/>
  <c r="D454" i="41" s="1"/>
  <c r="D455" i="37"/>
  <c r="D455" i="41" s="1"/>
  <c r="D455" i="58"/>
  <c r="D456" i="37"/>
  <c r="D456" i="41" s="1"/>
  <c r="A453" i="37"/>
  <c r="A453" i="41" s="1"/>
  <c r="A454" i="37"/>
  <c r="A454" i="41" s="1"/>
  <c r="A455" i="37"/>
  <c r="A455" i="41" s="1"/>
  <c r="A456" i="37"/>
  <c r="A456" i="41" s="1"/>
  <c r="D459" i="37"/>
  <c r="D459" i="41" s="1"/>
  <c r="A9" i="8"/>
  <c r="A17" i="8" s="1"/>
  <c r="D460" i="37"/>
  <c r="D460" i="41" s="1"/>
  <c r="A10" i="8"/>
  <c r="A18" i="8" s="1"/>
  <c r="A472" i="37"/>
  <c r="A472" i="41" s="1"/>
  <c r="D472" i="37"/>
  <c r="D472" i="41" s="1"/>
  <c r="C472" i="37"/>
  <c r="C472" i="41" s="1"/>
  <c r="A11" i="8"/>
  <c r="C280" i="38" s="1"/>
  <c r="C286" i="38" s="1"/>
  <c r="C292" i="38" s="1"/>
  <c r="A12" i="8"/>
  <c r="A5" i="53" s="1"/>
  <c r="A13" i="8"/>
  <c r="C282" i="38" s="1"/>
  <c r="C288" i="38" s="1"/>
  <c r="C294" i="38" s="1"/>
  <c r="C300" i="38" s="1"/>
  <c r="C306" i="38" s="1"/>
  <c r="C312" i="38" s="1"/>
  <c r="C318" i="38" s="1"/>
  <c r="C324" i="38" s="1"/>
  <c r="C330" i="38" s="1"/>
  <c r="C336" i="38" s="1"/>
  <c r="C342" i="38" s="1"/>
  <c r="C348" i="38" s="1"/>
  <c r="A14" i="8"/>
  <c r="D461" i="37"/>
  <c r="D461" i="41" s="1"/>
  <c r="A472" i="58"/>
  <c r="D472" i="58"/>
  <c r="C472" i="58"/>
  <c r="D462" i="37"/>
  <c r="D462" i="41" s="1"/>
  <c r="D463" i="37"/>
  <c r="D463" i="41" s="1"/>
  <c r="D464" i="37"/>
  <c r="D464" i="41" s="1"/>
  <c r="A468" i="37"/>
  <c r="A468" i="41" s="1"/>
  <c r="C468" i="37"/>
  <c r="C468" i="41" s="1"/>
  <c r="A468" i="58"/>
  <c r="C468" i="58"/>
  <c r="A469" i="37"/>
  <c r="A469" i="41" s="1"/>
  <c r="C469" i="37"/>
  <c r="C469" i="41" s="1"/>
  <c r="A469" i="58"/>
  <c r="C469" i="58"/>
  <c r="A471" i="37"/>
  <c r="A471" i="41" s="1"/>
  <c r="D471" i="37"/>
  <c r="D471" i="41" s="1"/>
  <c r="C471" i="37"/>
  <c r="C471" i="41" s="1"/>
  <c r="A471" i="58"/>
  <c r="D471" i="58"/>
  <c r="C471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33" i="37"/>
  <c r="A433" i="41" s="1"/>
  <c r="A434" i="37"/>
  <c r="A434" i="41" s="1"/>
  <c r="A435" i="37"/>
  <c r="A435" i="41" s="1"/>
  <c r="A436" i="37"/>
  <c r="A436" i="41" s="1"/>
  <c r="A440" i="37"/>
  <c r="A440" i="41" s="1"/>
  <c r="A441" i="37"/>
  <c r="A441" i="41" s="1"/>
  <c r="A442" i="37"/>
  <c r="A442" i="41" s="1"/>
  <c r="A443" i="37"/>
  <c r="A443" i="41" s="1"/>
  <c r="A444" i="37"/>
  <c r="A444" i="41" s="1"/>
  <c r="A445" i="37"/>
  <c r="A445" i="41" s="1"/>
  <c r="A446" i="37"/>
  <c r="A446" i="41" s="1"/>
  <c r="A447" i="37"/>
  <c r="A447" i="41" s="1"/>
  <c r="A448" i="37"/>
  <c r="A448" i="41" s="1"/>
  <c r="A449" i="37"/>
  <c r="A449" i="41" s="1"/>
  <c r="A450" i="37"/>
  <c r="A450" i="41" s="1"/>
  <c r="A451" i="37"/>
  <c r="A451" i="41" s="1"/>
  <c r="A452" i="37"/>
  <c r="A452" i="41" s="1"/>
  <c r="A457" i="37"/>
  <c r="A457" i="41" s="1"/>
  <c r="A458" i="37"/>
  <c r="A458" i="41" s="1"/>
  <c r="A459" i="37"/>
  <c r="A459" i="41" s="1"/>
  <c r="A460" i="37"/>
  <c r="A460" i="41" s="1"/>
  <c r="A461" i="37"/>
  <c r="A461" i="41" s="1"/>
  <c r="A462" i="37"/>
  <c r="A462" i="41" s="1"/>
  <c r="A463" i="37"/>
  <c r="A463" i="41" s="1"/>
  <c r="A464" i="37"/>
  <c r="A464" i="41" s="1"/>
  <c r="A467" i="37"/>
  <c r="A467" i="41" s="1"/>
  <c r="D303" i="38"/>
  <c r="D305" i="38"/>
  <c r="D306" i="38"/>
  <c r="D307" i="38"/>
  <c r="D311" i="38"/>
  <c r="D316" i="38"/>
  <c r="D318" i="38"/>
  <c r="D319" i="38"/>
  <c r="D323" i="38"/>
  <c r="D326" i="38"/>
  <c r="D452" i="37"/>
  <c r="D452" i="41" s="1"/>
  <c r="D457" i="37"/>
  <c r="D457" i="41" s="1"/>
  <c r="D458" i="37"/>
  <c r="D458" i="41" s="1"/>
  <c r="D467" i="37"/>
  <c r="D467" i="41" s="1"/>
  <c r="D468" i="37"/>
  <c r="D468" i="41" s="1"/>
  <c r="D469" i="37"/>
  <c r="D469" i="41" s="1"/>
  <c r="D470" i="37"/>
  <c r="D470" i="41" s="1"/>
  <c r="D357" i="38"/>
  <c r="D358" i="38"/>
  <c r="D359" i="38"/>
  <c r="D360" i="38"/>
  <c r="D453" i="58"/>
  <c r="D454" i="58"/>
  <c r="D456" i="58"/>
  <c r="A453" i="58"/>
  <c r="A454" i="58"/>
  <c r="A455" i="58"/>
  <c r="A456" i="58"/>
  <c r="D419" i="58"/>
  <c r="D420" i="58"/>
  <c r="D421" i="58"/>
  <c r="D422" i="58"/>
  <c r="D423" i="58"/>
  <c r="D424" i="58"/>
  <c r="D425" i="58"/>
  <c r="D426" i="58"/>
  <c r="D427" i="58"/>
  <c r="D428" i="58"/>
  <c r="D429" i="58"/>
  <c r="D430" i="58"/>
  <c r="D431" i="58"/>
  <c r="D432" i="58"/>
  <c r="D433" i="58"/>
  <c r="D434" i="58"/>
  <c r="D435" i="58"/>
  <c r="D436" i="58"/>
  <c r="D441" i="58"/>
  <c r="D442" i="58"/>
  <c r="D443" i="58"/>
  <c r="D444" i="58"/>
  <c r="D445" i="58"/>
  <c r="D446" i="58"/>
  <c r="D447" i="58"/>
  <c r="D448" i="58"/>
  <c r="D451" i="58"/>
  <c r="D459" i="58"/>
  <c r="D460" i="58"/>
  <c r="D461" i="58"/>
  <c r="D462" i="58"/>
  <c r="D463" i="58"/>
  <c r="D464" i="58"/>
  <c r="A418" i="58"/>
  <c r="A419" i="58"/>
  <c r="A420" i="58"/>
  <c r="A421" i="58"/>
  <c r="A422" i="58"/>
  <c r="A423" i="58"/>
  <c r="A424" i="58"/>
  <c r="A425" i="58"/>
  <c r="A426" i="58"/>
  <c r="A427" i="58"/>
  <c r="A428" i="58"/>
  <c r="A429" i="58"/>
  <c r="A430" i="58"/>
  <c r="A431" i="58"/>
  <c r="A432" i="58"/>
  <c r="A433" i="58"/>
  <c r="A434" i="58"/>
  <c r="A435" i="58"/>
  <c r="A43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7" i="58"/>
  <c r="A458" i="58"/>
  <c r="A459" i="58"/>
  <c r="A460" i="58"/>
  <c r="A461" i="58"/>
  <c r="A462" i="58"/>
  <c r="A463" i="58"/>
  <c r="A464" i="58"/>
  <c r="A467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70" i="58"/>
  <c r="D468" i="58"/>
  <c r="D469" i="58"/>
  <c r="D4" i="17"/>
  <c r="C16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71" i="58"/>
  <c r="B472" i="58"/>
  <c r="B471" i="37"/>
  <c r="B471" i="41" s="1"/>
  <c r="B472" i="37"/>
  <c r="B472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29" i="58"/>
  <c r="C429" i="58"/>
  <c r="B429" i="37"/>
  <c r="B429" i="41" s="1"/>
  <c r="C429" i="37"/>
  <c r="C429" i="41" s="1"/>
  <c r="H17" i="39"/>
  <c r="B449" i="58"/>
  <c r="C449" i="58"/>
  <c r="B449" i="37"/>
  <c r="B449" i="41" s="1"/>
  <c r="C449" i="37"/>
  <c r="C449" i="41" s="1"/>
  <c r="F6" i="6"/>
  <c r="F7" i="6"/>
  <c r="F5" i="6"/>
  <c r="B467" i="58"/>
  <c r="C467" i="58"/>
  <c r="D467" i="58"/>
  <c r="B468" i="58"/>
  <c r="B469" i="58"/>
  <c r="B470" i="58"/>
  <c r="B467" i="37"/>
  <c r="B467" i="41" s="1"/>
  <c r="C467" i="37"/>
  <c r="C467" i="41" s="1"/>
  <c r="B468" i="37"/>
  <c r="B468" i="41" s="1"/>
  <c r="B469" i="37"/>
  <c r="B469" i="41" s="1"/>
  <c r="B470" i="37"/>
  <c r="B470" i="41" s="1"/>
  <c r="E49" i="26"/>
  <c r="E50" i="26"/>
  <c r="E51" i="26"/>
  <c r="E52" i="26"/>
  <c r="E53" i="26"/>
  <c r="B49" i="26"/>
  <c r="B50" i="26"/>
  <c r="B51" i="26"/>
  <c r="B52" i="26"/>
  <c r="B53" i="26"/>
  <c r="D18" i="26"/>
  <c r="C18" i="26"/>
  <c r="O20" i="39"/>
  <c r="O23" i="39"/>
  <c r="O24" i="39"/>
  <c r="O26" i="39"/>
  <c r="O27" i="39"/>
  <c r="O28" i="39"/>
  <c r="C464" i="58"/>
  <c r="B464" i="58"/>
  <c r="C463" i="58"/>
  <c r="B463" i="58"/>
  <c r="C462" i="58"/>
  <c r="B462" i="58"/>
  <c r="C461" i="58"/>
  <c r="B461" i="58"/>
  <c r="C460" i="58"/>
  <c r="B460" i="58"/>
  <c r="C459" i="58"/>
  <c r="B459" i="58"/>
  <c r="D458" i="58"/>
  <c r="C458" i="58"/>
  <c r="B458" i="58"/>
  <c r="D457" i="58"/>
  <c r="C457" i="58"/>
  <c r="B457" i="58"/>
  <c r="C456" i="58"/>
  <c r="B456" i="58"/>
  <c r="C455" i="58"/>
  <c r="B455" i="58"/>
  <c r="C454" i="58"/>
  <c r="B454" i="58"/>
  <c r="C453" i="58"/>
  <c r="B453" i="58"/>
  <c r="D452" i="58"/>
  <c r="C452" i="58"/>
  <c r="B452" i="58"/>
  <c r="C451" i="58"/>
  <c r="B451" i="58"/>
  <c r="C450" i="58"/>
  <c r="B450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C436" i="58"/>
  <c r="B436" i="58"/>
  <c r="C435" i="58"/>
  <c r="B435" i="58"/>
  <c r="C434" i="58"/>
  <c r="B434" i="58"/>
  <c r="C433" i="58"/>
  <c r="B433" i="58"/>
  <c r="C432" i="58"/>
  <c r="B432" i="58"/>
  <c r="C431" i="58"/>
  <c r="B431" i="58"/>
  <c r="C430" i="58"/>
  <c r="B430" i="58"/>
  <c r="C428" i="58"/>
  <c r="B428" i="58"/>
  <c r="C427" i="58"/>
  <c r="B427" i="58"/>
  <c r="C426" i="58"/>
  <c r="B426" i="58"/>
  <c r="C425" i="58"/>
  <c r="B425" i="58"/>
  <c r="C424" i="58"/>
  <c r="B424" i="58"/>
  <c r="C423" i="58"/>
  <c r="B423" i="58"/>
  <c r="C422" i="58"/>
  <c r="B422" i="58"/>
  <c r="C421" i="58"/>
  <c r="B421" i="58"/>
  <c r="C420" i="58"/>
  <c r="B420" i="58"/>
  <c r="C419" i="58"/>
  <c r="B419" i="58"/>
  <c r="C418" i="58"/>
  <c r="B418" i="58"/>
  <c r="B417" i="58"/>
  <c r="B416" i="58"/>
  <c r="B415" i="58"/>
  <c r="B414" i="58"/>
  <c r="B413" i="58"/>
  <c r="B412" i="58"/>
  <c r="B411" i="58"/>
  <c r="B410" i="58"/>
  <c r="B409" i="58"/>
  <c r="B408" i="58"/>
  <c r="B407" i="58"/>
  <c r="B405" i="58"/>
  <c r="B404" i="58"/>
  <c r="B403" i="58"/>
  <c r="B402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02" i="37"/>
  <c r="B402" i="41" s="1"/>
  <c r="B403" i="37"/>
  <c r="B403" i="41" s="1"/>
  <c r="B404" i="37"/>
  <c r="B404" i="41" s="1"/>
  <c r="B405" i="37"/>
  <c r="B405" i="41" s="1"/>
  <c r="B407" i="37"/>
  <c r="B407" i="41" s="1"/>
  <c r="B408" i="37"/>
  <c r="B408" i="41" s="1"/>
  <c r="B409" i="37"/>
  <c r="B409" i="41" s="1"/>
  <c r="B410" i="37"/>
  <c r="B410" i="41" s="1"/>
  <c r="B411" i="37"/>
  <c r="B411" i="41" s="1"/>
  <c r="B412" i="37"/>
  <c r="B412" i="41" s="1"/>
  <c r="B413" i="37"/>
  <c r="B413" i="41" s="1"/>
  <c r="B414" i="37"/>
  <c r="B414" i="41" s="1"/>
  <c r="B415" i="37"/>
  <c r="B415" i="41" s="1"/>
  <c r="B416" i="37"/>
  <c r="B416" i="41" s="1"/>
  <c r="B417" i="37"/>
  <c r="B417" i="41" s="1"/>
  <c r="B418" i="37"/>
  <c r="B418" i="41" s="1"/>
  <c r="C418" i="37"/>
  <c r="C418" i="41" s="1"/>
  <c r="B419" i="37"/>
  <c r="B419" i="41" s="1"/>
  <c r="C419" i="37"/>
  <c r="C419" i="41" s="1"/>
  <c r="B420" i="37"/>
  <c r="B420" i="41" s="1"/>
  <c r="C420" i="37"/>
  <c r="C420" i="41" s="1"/>
  <c r="B421" i="37"/>
  <c r="B421" i="41" s="1"/>
  <c r="C421" i="37"/>
  <c r="C421" i="41" s="1"/>
  <c r="B422" i="37"/>
  <c r="B422" i="41" s="1"/>
  <c r="C422" i="37"/>
  <c r="C422" i="41" s="1"/>
  <c r="B423" i="37"/>
  <c r="B423" i="41" s="1"/>
  <c r="C423" i="37"/>
  <c r="C423" i="41" s="1"/>
  <c r="B424" i="37"/>
  <c r="B424" i="41" s="1"/>
  <c r="C424" i="37"/>
  <c r="C424" i="41" s="1"/>
  <c r="B425" i="37"/>
  <c r="B425" i="41" s="1"/>
  <c r="C425" i="37"/>
  <c r="C425" i="41" s="1"/>
  <c r="B426" i="37"/>
  <c r="B426" i="41" s="1"/>
  <c r="C426" i="37"/>
  <c r="C426" i="41" s="1"/>
  <c r="B427" i="37"/>
  <c r="B427" i="41" s="1"/>
  <c r="C427" i="37"/>
  <c r="C427" i="41" s="1"/>
  <c r="B428" i="37"/>
  <c r="B428" i="41" s="1"/>
  <c r="C428" i="37"/>
  <c r="C428" i="41" s="1"/>
  <c r="B430" i="37"/>
  <c r="B430" i="41" s="1"/>
  <c r="C430" i="37"/>
  <c r="C430" i="41" s="1"/>
  <c r="B431" i="37"/>
  <c r="B431" i="41" s="1"/>
  <c r="C431" i="37"/>
  <c r="C431" i="41" s="1"/>
  <c r="B432" i="37"/>
  <c r="B432" i="41" s="1"/>
  <c r="C432" i="37"/>
  <c r="C432" i="41" s="1"/>
  <c r="B433" i="37"/>
  <c r="B433" i="41" s="1"/>
  <c r="C433" i="37"/>
  <c r="C433" i="41" s="1"/>
  <c r="B434" i="37"/>
  <c r="B434" i="41" s="1"/>
  <c r="C434" i="37"/>
  <c r="C434" i="41" s="1"/>
  <c r="B435" i="37"/>
  <c r="B435" i="41" s="1"/>
  <c r="C435" i="37"/>
  <c r="C435" i="41" s="1"/>
  <c r="B436" i="37"/>
  <c r="B436" i="41" s="1"/>
  <c r="C436" i="37"/>
  <c r="C436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50" i="37"/>
  <c r="B450" i="41" s="1"/>
  <c r="C450" i="37"/>
  <c r="C450" i="41" s="1"/>
  <c r="B451" i="37"/>
  <c r="B451" i="41" s="1"/>
  <c r="C451" i="37"/>
  <c r="C451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59" i="37"/>
  <c r="B459" i="41" s="1"/>
  <c r="C459" i="37"/>
  <c r="C459" i="41" s="1"/>
  <c r="B460" i="37"/>
  <c r="B460" i="41" s="1"/>
  <c r="C460" i="37"/>
  <c r="C460" i="41" s="1"/>
  <c r="B461" i="37"/>
  <c r="B461" i="41" s="1"/>
  <c r="C461" i="37"/>
  <c r="C461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7" i="26"/>
  <c r="C47" i="26"/>
  <c r="F11" i="32"/>
  <c r="C24" i="20" l="1"/>
  <c r="P2" i="18" s="1"/>
  <c r="F3" i="35"/>
  <c r="F87" i="35"/>
  <c r="R54" i="66"/>
  <c r="C31" i="17"/>
  <c r="C3" i="32"/>
  <c r="C10" i="17"/>
  <c r="D269" i="38"/>
  <c r="E31" i="17"/>
  <c r="E3" i="32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6" i="63"/>
  <c r="D290" i="66"/>
  <c r="D256" i="66"/>
  <c r="D143" i="66"/>
  <c r="D109" i="66"/>
  <c r="C74" i="57"/>
  <c r="C36" i="57"/>
  <c r="D173" i="38"/>
  <c r="D47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C66" i="66"/>
  <c r="O66" i="66" s="1"/>
  <c r="B34" i="63"/>
  <c r="B29" i="63"/>
  <c r="B7" i="63"/>
  <c r="B32" i="63"/>
  <c r="B4" i="63"/>
  <c r="B37" i="63"/>
  <c r="B30" i="63"/>
  <c r="B6" i="63"/>
  <c r="B8" i="63"/>
  <c r="B9" i="63"/>
  <c r="B3" i="63"/>
  <c r="B31" i="63"/>
  <c r="B10" i="63"/>
  <c r="B2" i="63"/>
  <c r="D411" i="38"/>
  <c r="B36" i="63"/>
  <c r="D410" i="38"/>
  <c r="B33" i="63"/>
  <c r="B5" i="63"/>
  <c r="B35" i="63"/>
  <c r="D405" i="38"/>
  <c r="D404" i="38"/>
  <c r="B55" i="63"/>
  <c r="B48" i="63"/>
  <c r="B54" i="63"/>
  <c r="B28" i="63"/>
  <c r="D414" i="38"/>
  <c r="B53" i="63"/>
  <c r="B47" i="63"/>
  <c r="B52" i="63"/>
  <c r="B51" i="63"/>
  <c r="B50" i="63"/>
  <c r="D409" i="38"/>
  <c r="D408" i="38"/>
  <c r="B49" i="63"/>
  <c r="D415" i="38"/>
  <c r="B11" i="63"/>
  <c r="B46" i="63"/>
  <c r="B45" i="63"/>
  <c r="B43" i="63"/>
  <c r="B12" i="63"/>
  <c r="B41" i="63"/>
  <c r="B14" i="63"/>
  <c r="B40" i="63"/>
  <c r="B15" i="63"/>
  <c r="D413" i="38"/>
  <c r="D407" i="38"/>
  <c r="D406" i="38"/>
  <c r="B44" i="63"/>
  <c r="B39" i="63"/>
  <c r="B16" i="63"/>
  <c r="D412" i="38"/>
  <c r="B38" i="63"/>
  <c r="B18" i="63"/>
  <c r="B17" i="63"/>
  <c r="B19" i="63"/>
  <c r="B42" i="63"/>
  <c r="B13" i="63"/>
  <c r="C55" i="66"/>
  <c r="O55" i="66" s="1"/>
  <c r="C96" i="66"/>
  <c r="C64" i="66"/>
  <c r="C235" i="66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37" i="66"/>
  <c r="O37" i="66" s="1"/>
  <c r="C169" i="66"/>
  <c r="C11" i="66"/>
  <c r="C23" i="66"/>
  <c r="O23" i="66" s="1"/>
  <c r="C35" i="66"/>
  <c r="C47" i="66"/>
  <c r="C155" i="66"/>
  <c r="C167" i="66"/>
  <c r="O167" i="66" s="1"/>
  <c r="C181" i="66"/>
  <c r="O181" i="66" s="1"/>
  <c r="U181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C85" i="66"/>
  <c r="O85" i="66" s="1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C229" i="66"/>
  <c r="O229" i="66" s="1"/>
  <c r="U229" i="66" s="1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C133" i="66"/>
  <c r="O133" i="66" s="1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0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27" i="63"/>
  <c r="C2" i="9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X3" i="20"/>
  <c r="P29" i="18"/>
  <c r="X6" i="20"/>
  <c r="D11" i="32"/>
  <c r="Q33" i="9"/>
  <c r="AC2" i="39"/>
  <c r="D248" i="66"/>
  <c r="D105" i="66"/>
  <c r="C75" i="57"/>
  <c r="C38" i="57"/>
  <c r="D16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5" i="63"/>
  <c r="G47" i="26"/>
  <c r="R33" i="9"/>
  <c r="R31" i="20"/>
  <c r="D247" i="66"/>
  <c r="D104" i="66"/>
  <c r="C72" i="57"/>
  <c r="C35" i="57"/>
  <c r="D347" i="38"/>
  <c r="D335" i="38"/>
  <c r="C28" i="53"/>
  <c r="D268" i="38"/>
  <c r="D184" i="38"/>
  <c r="D172" i="38"/>
  <c r="D132" i="38"/>
  <c r="D218" i="38"/>
  <c r="D127" i="38"/>
  <c r="D82" i="38"/>
  <c r="D42" i="38"/>
  <c r="D16" i="6"/>
  <c r="B20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4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3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2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0" i="26"/>
  <c r="B21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3" i="63" s="1"/>
  <c r="F22" i="63" s="1"/>
  <c r="F31" i="63" s="1"/>
  <c r="F40" i="63" s="1"/>
  <c r="F49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4" i="63" s="1"/>
  <c r="F23" i="63" s="1"/>
  <c r="F32" i="63" s="1"/>
  <c r="F41" i="63" s="1"/>
  <c r="F50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0" i="26"/>
  <c r="D7" i="38"/>
  <c r="D57" i="38"/>
  <c r="D93" i="38"/>
  <c r="K38" i="39"/>
  <c r="D101" i="38"/>
  <c r="D280" i="38"/>
  <c r="C11" i="53"/>
  <c r="D153" i="38"/>
  <c r="D234" i="38"/>
  <c r="D246" i="38"/>
  <c r="D293" i="38"/>
  <c r="B16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87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7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299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7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5" i="63" s="1"/>
  <c r="F24" i="63" s="1"/>
  <c r="F33" i="63" s="1"/>
  <c r="F42" i="63" s="1"/>
  <c r="F51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9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21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86" i="66"/>
  <c r="O156" i="66"/>
  <c r="O78" i="66"/>
  <c r="O39" i="66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O38" i="66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C289" i="38" s="1"/>
  <c r="C295" i="38" s="1"/>
  <c r="C301" i="38" s="1"/>
  <c r="C307" i="38" s="1"/>
  <c r="C313" i="38" s="1"/>
  <c r="C319" i="38" s="1"/>
  <c r="C325" i="38" s="1"/>
  <c r="C331" i="38" s="1"/>
  <c r="C337" i="38" s="1"/>
  <c r="C343" i="38" s="1"/>
  <c r="C349" i="38" s="1"/>
  <c r="A22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0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C285" i="38" s="1"/>
  <c r="C291" i="38" s="1"/>
  <c r="C297" i="38" s="1"/>
  <c r="C303" i="38" s="1"/>
  <c r="C309" i="38" s="1"/>
  <c r="D170" i="35"/>
  <c r="D76" i="35"/>
  <c r="D39" i="35"/>
  <c r="C8" i="17"/>
  <c r="D8" i="17" s="1"/>
  <c r="E8" i="17" s="1"/>
  <c r="D120" i="35"/>
  <c r="D84" i="35"/>
  <c r="T4" i="20"/>
  <c r="H20" i="26"/>
  <c r="D75" i="38"/>
  <c r="D121" i="38"/>
  <c r="D125" i="38"/>
  <c r="D133" i="38"/>
  <c r="A20" i="8"/>
  <c r="N5" i="20"/>
  <c r="D128" i="35"/>
  <c r="O235" i="66"/>
  <c r="U235" i="66" s="1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C298" i="38"/>
  <c r="G45" i="39"/>
  <c r="C278" i="38"/>
  <c r="A2" i="53"/>
  <c r="C273" i="38"/>
  <c r="C281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F7" i="35"/>
  <c r="C6" i="17"/>
  <c r="D6" i="17" s="1"/>
  <c r="E6" i="17" s="1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0" i="26"/>
  <c r="C21" i="17"/>
  <c r="D24" i="20" l="1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G32" i="26"/>
  <c r="H217" i="35" s="1"/>
  <c r="A10" i="53"/>
  <c r="A9" i="53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L53" i="39"/>
  <c r="E168" i="38" s="1"/>
  <c r="E16" i="38"/>
  <c r="G214" i="35"/>
  <c r="G225" i="35"/>
  <c r="G217" i="35"/>
  <c r="E33" i="38"/>
  <c r="G28" i="26"/>
  <c r="H213" i="35" s="1"/>
  <c r="G40" i="26"/>
  <c r="H225" i="35" s="1"/>
  <c r="G33" i="26"/>
  <c r="H218" i="35" s="1"/>
  <c r="D32" i="26"/>
  <c r="H196" i="35" s="1"/>
  <c r="D33" i="26"/>
  <c r="H197" i="35" s="1"/>
  <c r="D24" i="26"/>
  <c r="H188" i="35" s="1"/>
  <c r="D36" i="26"/>
  <c r="H200" i="35" s="1"/>
  <c r="D25" i="26"/>
  <c r="H189" i="35" s="1"/>
  <c r="D37" i="26"/>
  <c r="H201" i="35" s="1"/>
  <c r="D28" i="26"/>
  <c r="H192" i="35" s="1"/>
  <c r="D40" i="26"/>
  <c r="H204" i="35" s="1"/>
  <c r="D29" i="26"/>
  <c r="H193" i="35" s="1"/>
  <c r="D41" i="26"/>
  <c r="H205" i="35" s="1"/>
  <c r="E4" i="22"/>
  <c r="C21" i="26"/>
  <c r="D21" i="26" s="1"/>
  <c r="E21" i="26" s="1"/>
  <c r="G29" i="26"/>
  <c r="H214" i="35" s="1"/>
  <c r="G41" i="26"/>
  <c r="H226" i="35" s="1"/>
  <c r="G24" i="26"/>
  <c r="H209" i="35" s="1"/>
  <c r="G36" i="26"/>
  <c r="H221" i="35" s="1"/>
  <c r="G37" i="26"/>
  <c r="H222" i="35" s="1"/>
  <c r="G25" i="26"/>
  <c r="H210" i="35" s="1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211" i="35"/>
  <c r="G189" i="35"/>
  <c r="G222" i="35"/>
  <c r="G190" i="35"/>
  <c r="G196" i="35"/>
  <c r="G224" i="35"/>
  <c r="G210" i="35"/>
  <c r="G193" i="35"/>
  <c r="G213" i="35"/>
  <c r="G188" i="35"/>
  <c r="G198" i="35"/>
  <c r="G195" i="35"/>
  <c r="G215" i="35"/>
  <c r="G223" i="35"/>
  <c r="G205" i="35"/>
  <c r="G221" i="35"/>
  <c r="G186" i="35"/>
  <c r="G212" i="35"/>
  <c r="G187" i="35"/>
  <c r="G209" i="35"/>
  <c r="G194" i="35"/>
  <c r="G220" i="35"/>
  <c r="G197" i="35"/>
  <c r="G207" i="35"/>
  <c r="G199" i="35"/>
  <c r="G202" i="35"/>
  <c r="G226" i="35"/>
  <c r="G203" i="35"/>
  <c r="G216" i="35"/>
  <c r="E117" i="38"/>
  <c r="G208" i="35"/>
  <c r="G218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G219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133" i="66"/>
  <c r="U250" i="66"/>
  <c r="U170" i="66"/>
  <c r="U78" i="66"/>
  <c r="U37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A16" i="53"/>
  <c r="H10" i="58"/>
  <c r="I10" i="37"/>
  <c r="I10" i="58"/>
  <c r="J10" i="37"/>
  <c r="H10" i="37"/>
  <c r="C267" i="38"/>
  <c r="J10" i="58"/>
  <c r="J29" i="9"/>
  <c r="F21" i="26"/>
  <c r="G21" i="26" s="1"/>
  <c r="H21" i="26" s="1"/>
  <c r="E49" i="22"/>
  <c r="G52" i="20"/>
  <c r="I7" i="17"/>
  <c r="G51" i="20"/>
  <c r="D51" i="20" s="1"/>
  <c r="C205" i="38"/>
  <c r="C284" i="38"/>
  <c r="U55" i="66"/>
  <c r="A23" i="53"/>
  <c r="C304" i="38"/>
  <c r="J39" i="9"/>
  <c r="A12" i="53"/>
  <c r="C274" i="38"/>
  <c r="U51" i="66"/>
  <c r="C271" i="38"/>
  <c r="A15" i="53"/>
  <c r="E2" i="22"/>
  <c r="C315" i="38"/>
  <c r="C254" i="38"/>
  <c r="C287" i="38"/>
  <c r="A8" i="53"/>
  <c r="J35" i="9"/>
  <c r="J5" i="9" s="1"/>
  <c r="E73" i="38" l="1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B48" i="26"/>
  <c r="H10" i="41"/>
  <c r="D53" i="20"/>
  <c r="P34" i="18"/>
  <c r="G26" i="20"/>
  <c r="D26" i="20"/>
  <c r="P7" i="18" s="1"/>
  <c r="C293" i="38"/>
  <c r="C321" i="38"/>
  <c r="E47" i="22"/>
  <c r="C269" i="38"/>
  <c r="D52" i="20"/>
  <c r="P24" i="18" s="1"/>
  <c r="P33" i="18"/>
  <c r="C290" i="38"/>
  <c r="A14" i="53"/>
  <c r="A21" i="53"/>
  <c r="E51" i="22"/>
  <c r="P23" i="18"/>
  <c r="P32" i="18"/>
  <c r="A18" i="53"/>
  <c r="C310" i="38"/>
  <c r="G24" i="20"/>
  <c r="A29" i="53"/>
  <c r="D25" i="20"/>
  <c r="G25" i="20"/>
  <c r="E48" i="26"/>
  <c r="G206" i="35"/>
  <c r="C220" i="38"/>
  <c r="E6" i="22"/>
  <c r="A22" i="53"/>
  <c r="C230" i="38"/>
  <c r="H185" i="35"/>
  <c r="C48" i="26"/>
  <c r="I10" i="41"/>
  <c r="C223" i="38"/>
  <c r="J10" i="41"/>
  <c r="D29" i="53" l="1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327" i="38"/>
  <c r="C235" i="38"/>
  <c r="C245" i="38"/>
  <c r="H25" i="20"/>
  <c r="E25" i="20"/>
  <c r="H52" i="20"/>
  <c r="C299" i="38"/>
  <c r="H206" i="35"/>
  <c r="F48" i="26"/>
  <c r="C316" i="38"/>
  <c r="C296" i="38"/>
  <c r="D48" i="26"/>
  <c r="I185" i="35"/>
  <c r="A28" i="53"/>
  <c r="D28" i="53" s="1"/>
  <c r="Y3" i="20"/>
  <c r="P5" i="18"/>
  <c r="Y6" i="20"/>
  <c r="P14" i="18"/>
  <c r="A24" i="53"/>
  <c r="A20" i="53"/>
  <c r="C238" i="38"/>
  <c r="A27" i="53"/>
  <c r="D27" i="53" s="1"/>
  <c r="E53" i="20" l="1"/>
  <c r="P37" i="18"/>
  <c r="Z8" i="20"/>
  <c r="P19" i="18"/>
  <c r="A26" i="53"/>
  <c r="C253" i="38"/>
  <c r="C322" i="38"/>
  <c r="A33" i="53"/>
  <c r="A30" i="53"/>
  <c r="C260" i="38"/>
  <c r="C333" i="38"/>
  <c r="C302" i="38"/>
  <c r="P9" i="18"/>
  <c r="P8" i="18"/>
  <c r="Z7" i="20"/>
  <c r="P18" i="18"/>
  <c r="Z6" i="20"/>
  <c r="P17" i="18"/>
  <c r="C305" i="38"/>
  <c r="A34" i="53"/>
  <c r="C250" i="38"/>
  <c r="G48" i="26"/>
  <c r="I206" i="35"/>
  <c r="E52" i="20"/>
  <c r="P27" i="18" s="1"/>
  <c r="P36" i="18"/>
  <c r="E51" i="20"/>
  <c r="P35" i="18"/>
  <c r="Z5" i="20" l="1"/>
  <c r="P28" i="18"/>
  <c r="P26" i="18"/>
  <c r="Z3" i="20"/>
  <c r="Z4" i="20"/>
  <c r="C265" i="38"/>
  <c r="C308" i="38"/>
  <c r="C339" i="38"/>
  <c r="C311" i="38"/>
  <c r="C268" i="38"/>
  <c r="D10" i="53" s="1"/>
  <c r="A32" i="53"/>
  <c r="A36" i="53"/>
  <c r="C275" i="38"/>
  <c r="C328" i="38"/>
  <c r="D11" i="53" l="1"/>
  <c r="D34" i="53"/>
  <c r="D9" i="53"/>
  <c r="D23" i="53"/>
  <c r="D22" i="53"/>
  <c r="D35" i="53"/>
  <c r="D33" i="53"/>
  <c r="D21" i="53"/>
  <c r="C314" i="38"/>
  <c r="C334" i="38"/>
  <c r="C317" i="38"/>
  <c r="C345" i="38"/>
  <c r="C323" i="38" l="1"/>
  <c r="C340" i="38"/>
  <c r="C320" i="38"/>
  <c r="C329" i="38" l="1"/>
  <c r="C326" i="38"/>
  <c r="C346" i="38"/>
  <c r="C332" i="38" l="1"/>
  <c r="C335" i="38"/>
  <c r="C341" i="38" l="1"/>
  <c r="C338" i="38"/>
  <c r="C344" i="38" l="1"/>
  <c r="C347" i="38"/>
  <c r="M204" i="66" l="1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242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98" i="66"/>
  <c r="M113" i="66"/>
  <c r="M268" i="66"/>
  <c r="M90" i="66"/>
  <c r="M109" i="66"/>
  <c r="M290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50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46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194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290" i="66"/>
  <c r="L63" i="66"/>
  <c r="I80" i="66"/>
  <c r="K66" i="66"/>
  <c r="I260" i="66"/>
  <c r="I135" i="66"/>
  <c r="L182" i="66"/>
  <c r="G92" i="66"/>
  <c r="L98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L146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L194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L24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G26" i="39" l="1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P98" i="66"/>
  <c r="V98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42" i="66"/>
  <c r="V242" i="66" s="1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290" i="66"/>
  <c r="V290" i="66" s="1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P146" i="66"/>
  <c r="V146" i="66" s="1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P194" i="66"/>
  <c r="V194" i="66" s="1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98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290" i="66"/>
  <c r="X69" i="66"/>
  <c r="X194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46" i="66"/>
  <c r="X162" i="66"/>
  <c r="X24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E3" i="34" s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W88" i="66" l="1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I171" i="35" l="1"/>
  <c r="H171" i="35"/>
  <c r="H173" i="35"/>
  <c r="I173" i="35"/>
  <c r="H172" i="35"/>
  <c r="H174" i="35"/>
  <c r="I172" i="35"/>
  <c r="I174" i="35"/>
  <c r="H175" i="35"/>
  <c r="H177" i="35"/>
  <c r="I175" i="35"/>
  <c r="J93" i="37" s="1"/>
  <c r="I177" i="35"/>
  <c r="H176" i="35"/>
  <c r="I176" i="35"/>
  <c r="I178" i="35"/>
  <c r="H178" i="35"/>
  <c r="I102" i="58" s="1"/>
  <c r="I179" i="35"/>
  <c r="H179" i="35"/>
  <c r="I181" i="35"/>
  <c r="H181" i="35"/>
  <c r="I180" i="35"/>
  <c r="I182" i="35"/>
  <c r="H182" i="35"/>
  <c r="I116" i="58" s="1"/>
  <c r="H180" i="35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R146" i="66" s="1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R290" i="66" s="1"/>
  <c r="Q129" i="66"/>
  <c r="R129" i="66" s="1"/>
  <c r="Q126" i="66"/>
  <c r="R126" i="66" s="1"/>
  <c r="Q216" i="66"/>
  <c r="R216" i="66" s="1"/>
  <c r="Q242" i="66"/>
  <c r="R242" i="66" s="1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R98" i="66" s="1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R194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37"/>
  <c r="H7" i="58"/>
  <c r="J114" i="37"/>
  <c r="J114" i="58"/>
  <c r="J81" i="58"/>
  <c r="J81" i="37"/>
  <c r="H118" i="58"/>
  <c r="H118" i="37"/>
  <c r="H93" i="37"/>
  <c r="H93" i="58"/>
  <c r="I116" i="37"/>
  <c r="I99" i="58"/>
  <c r="I99" i="37"/>
  <c r="I102" i="37"/>
  <c r="C399" i="58"/>
  <c r="C399" i="37"/>
  <c r="C388" i="37"/>
  <c r="C388" i="58"/>
  <c r="C376" i="58"/>
  <c r="C376" i="37"/>
  <c r="C366" i="58"/>
  <c r="C366" i="37"/>
  <c r="C354" i="58"/>
  <c r="C354" i="37"/>
  <c r="C343" i="58"/>
  <c r="C343" i="37"/>
  <c r="C331" i="58"/>
  <c r="C331" i="37"/>
  <c r="C320" i="37"/>
  <c r="C320" i="58"/>
  <c r="C308" i="58"/>
  <c r="C308" i="37"/>
  <c r="C298" i="58"/>
  <c r="C298" i="37"/>
  <c r="C275" i="58"/>
  <c r="C275" i="37"/>
  <c r="C265" i="58"/>
  <c r="C265" i="37"/>
  <c r="C254" i="58"/>
  <c r="C254" i="37"/>
  <c r="C244" i="58"/>
  <c r="C244" i="37"/>
  <c r="C222" i="37"/>
  <c r="C222" i="58"/>
  <c r="C199" i="58"/>
  <c r="C199" i="37"/>
  <c r="C188" i="37"/>
  <c r="C188" i="58"/>
  <c r="C176" i="58"/>
  <c r="C176" i="37"/>
  <c r="C150" i="58"/>
  <c r="C150" i="37"/>
  <c r="C139" i="58"/>
  <c r="C139" i="37"/>
  <c r="C128" i="58"/>
  <c r="C128" i="37"/>
  <c r="J9" i="58"/>
  <c r="J9" i="37"/>
  <c r="C400" i="58"/>
  <c r="C400" i="37"/>
  <c r="C309" i="58"/>
  <c r="C309" i="37"/>
  <c r="C200" i="58"/>
  <c r="C200" i="37"/>
  <c r="I7" i="58"/>
  <c r="I7" i="37"/>
  <c r="J113" i="58"/>
  <c r="J113" i="37"/>
  <c r="J80" i="58"/>
  <c r="J80" i="37"/>
  <c r="H117" i="58"/>
  <c r="H117" i="37"/>
  <c r="H85" i="37"/>
  <c r="H85" i="58"/>
  <c r="I115" i="37"/>
  <c r="I85" i="58"/>
  <c r="I85" i="37"/>
  <c r="I94" i="37"/>
  <c r="I94" i="58"/>
  <c r="C398" i="37"/>
  <c r="C398" i="58"/>
  <c r="C387" i="37"/>
  <c r="C387" i="58"/>
  <c r="C375" i="58"/>
  <c r="C375" i="37"/>
  <c r="C365" i="58"/>
  <c r="C365" i="37"/>
  <c r="C353" i="37"/>
  <c r="C353" i="58"/>
  <c r="C342" i="58"/>
  <c r="C342" i="37"/>
  <c r="C319" i="58"/>
  <c r="C319" i="37"/>
  <c r="C307" i="58"/>
  <c r="C307" i="37"/>
  <c r="C297" i="58"/>
  <c r="C297" i="37"/>
  <c r="C286" i="58"/>
  <c r="C286" i="37"/>
  <c r="C274" i="58"/>
  <c r="C274" i="37"/>
  <c r="C253" i="58"/>
  <c r="C253" i="37"/>
  <c r="C243" i="58"/>
  <c r="C243" i="37"/>
  <c r="C232" i="58"/>
  <c r="C232" i="37"/>
  <c r="C221" i="37"/>
  <c r="C221" i="58"/>
  <c r="C210" i="58"/>
  <c r="C210" i="37"/>
  <c r="C198" i="58"/>
  <c r="C198" i="37"/>
  <c r="C187" i="58"/>
  <c r="C187" i="37"/>
  <c r="C175" i="58"/>
  <c r="C175" i="37"/>
  <c r="C161" i="58"/>
  <c r="C161" i="37"/>
  <c r="C149" i="37"/>
  <c r="C149" i="58"/>
  <c r="C138" i="58"/>
  <c r="C138" i="37"/>
  <c r="C122" i="58"/>
  <c r="C122" i="37"/>
  <c r="C377" i="58"/>
  <c r="C377" i="37"/>
  <c r="C276" i="58"/>
  <c r="C276" i="37"/>
  <c r="C140" i="58"/>
  <c r="C140" i="37"/>
  <c r="C129" i="58"/>
  <c r="C129" i="37"/>
  <c r="J7" i="58"/>
  <c r="F271" i="66" s="1"/>
  <c r="J7" i="37"/>
  <c r="J112" i="58"/>
  <c r="J112" i="37"/>
  <c r="J78" i="37"/>
  <c r="J78" i="58"/>
  <c r="H115" i="58"/>
  <c r="H115" i="37"/>
  <c r="H82" i="58"/>
  <c r="H82" i="37"/>
  <c r="H114" i="58"/>
  <c r="H114" i="37"/>
  <c r="I98" i="37"/>
  <c r="I98" i="58"/>
  <c r="H86" i="58"/>
  <c r="H86" i="37"/>
  <c r="J2" i="58"/>
  <c r="J2" i="37"/>
  <c r="C397" i="58"/>
  <c r="C397" i="37"/>
  <c r="C386" i="58"/>
  <c r="C386" i="37"/>
  <c r="C374" i="58"/>
  <c r="C374" i="37"/>
  <c r="C364" i="58"/>
  <c r="C364" i="37"/>
  <c r="C341" i="37"/>
  <c r="C341" i="58"/>
  <c r="C330" i="58"/>
  <c r="C330" i="37"/>
  <c r="C318" i="58"/>
  <c r="C318" i="37"/>
  <c r="C296" i="58"/>
  <c r="C296" i="37"/>
  <c r="C285" i="58"/>
  <c r="C285" i="37"/>
  <c r="C273" i="37"/>
  <c r="C273" i="58"/>
  <c r="C264" i="37"/>
  <c r="C264" i="58"/>
  <c r="C252" i="37"/>
  <c r="C252" i="58"/>
  <c r="C242" i="58"/>
  <c r="C242" i="37"/>
  <c r="C231" i="58"/>
  <c r="C231" i="37"/>
  <c r="C220" i="58"/>
  <c r="C220" i="37"/>
  <c r="C209" i="37"/>
  <c r="C209" i="58"/>
  <c r="C197" i="37"/>
  <c r="C197" i="58"/>
  <c r="C186" i="37"/>
  <c r="C186" i="58"/>
  <c r="C174" i="58"/>
  <c r="C174" i="37"/>
  <c r="C160" i="58"/>
  <c r="C160" i="37"/>
  <c r="C137" i="37"/>
  <c r="C137" i="58"/>
  <c r="C127" i="58"/>
  <c r="C127" i="37"/>
  <c r="C255" i="58"/>
  <c r="C255" i="37"/>
  <c r="J109" i="37"/>
  <c r="J109" i="58"/>
  <c r="J86" i="58"/>
  <c r="J86" i="37"/>
  <c r="H113" i="37"/>
  <c r="H113" i="58"/>
  <c r="H81" i="58"/>
  <c r="H81" i="37"/>
  <c r="I113" i="37"/>
  <c r="H83" i="58"/>
  <c r="H83" i="37"/>
  <c r="J79" i="58"/>
  <c r="J79" i="37"/>
  <c r="C396" i="37"/>
  <c r="C396" i="58"/>
  <c r="C385" i="58"/>
  <c r="C385" i="37"/>
  <c r="C373" i="58"/>
  <c r="C373" i="37"/>
  <c r="C363" i="58"/>
  <c r="C363" i="37"/>
  <c r="C352" i="58"/>
  <c r="C352" i="37"/>
  <c r="C340" i="58"/>
  <c r="C340" i="37"/>
  <c r="C329" i="58"/>
  <c r="C329" i="37"/>
  <c r="C317" i="58"/>
  <c r="C317" i="37"/>
  <c r="C306" i="58"/>
  <c r="C306" i="37"/>
  <c r="C295" i="37"/>
  <c r="C295" i="58"/>
  <c r="C284" i="58"/>
  <c r="C284" i="37"/>
  <c r="C272" i="37"/>
  <c r="C272" i="58"/>
  <c r="C263" i="58"/>
  <c r="C263" i="37"/>
  <c r="C251" i="58"/>
  <c r="C251" i="37"/>
  <c r="C241" i="58"/>
  <c r="C241" i="37"/>
  <c r="C230" i="58"/>
  <c r="C230" i="37"/>
  <c r="C219" i="58"/>
  <c r="C219" i="37"/>
  <c r="C208" i="58"/>
  <c r="C208" i="37"/>
  <c r="C196" i="37"/>
  <c r="C196" i="58"/>
  <c r="C185" i="37"/>
  <c r="C185" i="58"/>
  <c r="C173" i="37"/>
  <c r="C173" i="58"/>
  <c r="C159" i="37"/>
  <c r="C159" i="58"/>
  <c r="C148" i="58"/>
  <c r="C148" i="37"/>
  <c r="C136" i="37"/>
  <c r="C136" i="58"/>
  <c r="C121" i="37"/>
  <c r="C121" i="58"/>
  <c r="C344" i="58"/>
  <c r="C344" i="37"/>
  <c r="C189" i="58"/>
  <c r="C189" i="37"/>
  <c r="J3" i="58"/>
  <c r="J3" i="37"/>
  <c r="I3" i="58"/>
  <c r="I3" i="37"/>
  <c r="J101" i="37"/>
  <c r="J101" i="58"/>
  <c r="H112" i="37"/>
  <c r="H112" i="58"/>
  <c r="H80" i="58"/>
  <c r="H80" i="37"/>
  <c r="I97" i="58"/>
  <c r="I97" i="37"/>
  <c r="I81" i="58"/>
  <c r="I81" i="37"/>
  <c r="I2" i="58"/>
  <c r="I2" i="37"/>
  <c r="C395" i="58"/>
  <c r="C395" i="37"/>
  <c r="C384" i="58"/>
  <c r="C384" i="37"/>
  <c r="C372" i="37"/>
  <c r="C372" i="58"/>
  <c r="C362" i="37"/>
  <c r="C362" i="58"/>
  <c r="C351" i="58"/>
  <c r="C351" i="37"/>
  <c r="C339" i="37"/>
  <c r="C339" i="58"/>
  <c r="C328" i="37"/>
  <c r="C328" i="58"/>
  <c r="C316" i="58"/>
  <c r="C316" i="37"/>
  <c r="C305" i="58"/>
  <c r="C305" i="37"/>
  <c r="C294" i="37"/>
  <c r="C294" i="58"/>
  <c r="C283" i="37"/>
  <c r="C283" i="58"/>
  <c r="C271" i="58"/>
  <c r="C271" i="37"/>
  <c r="C262" i="58"/>
  <c r="C262" i="37"/>
  <c r="C240" i="58"/>
  <c r="C240" i="37"/>
  <c r="C229" i="58"/>
  <c r="C229" i="37"/>
  <c r="C218" i="37"/>
  <c r="C218" i="58"/>
  <c r="C207" i="58"/>
  <c r="C207" i="37"/>
  <c r="C195" i="58"/>
  <c r="C195" i="37"/>
  <c r="C184" i="58"/>
  <c r="C184" i="37"/>
  <c r="C158" i="58"/>
  <c r="C158" i="37"/>
  <c r="C147" i="58"/>
  <c r="C147" i="37"/>
  <c r="C135" i="37"/>
  <c r="C135" i="58"/>
  <c r="C126" i="58"/>
  <c r="C126" i="37"/>
  <c r="C299" i="58"/>
  <c r="C299" i="37"/>
  <c r="J99" i="37"/>
  <c r="J99" i="58"/>
  <c r="H110" i="37"/>
  <c r="H110" i="58"/>
  <c r="H78" i="37"/>
  <c r="H78" i="58"/>
  <c r="I112" i="37"/>
  <c r="I80" i="58"/>
  <c r="I80" i="37"/>
  <c r="C394" i="58"/>
  <c r="C394" i="37"/>
  <c r="C383" i="37"/>
  <c r="C383" i="58"/>
  <c r="C371" i="37"/>
  <c r="C371" i="58"/>
  <c r="C361" i="37"/>
  <c r="C361" i="58"/>
  <c r="C350" i="58"/>
  <c r="C350" i="37"/>
  <c r="C338" i="37"/>
  <c r="C338" i="58"/>
  <c r="C327" i="37"/>
  <c r="C327" i="58"/>
  <c r="C315" i="58"/>
  <c r="C315" i="37"/>
  <c r="C304" i="37"/>
  <c r="C304" i="58"/>
  <c r="C293" i="58"/>
  <c r="C293" i="37"/>
  <c r="C282" i="58"/>
  <c r="C282" i="37"/>
  <c r="C270" i="58"/>
  <c r="C270" i="37"/>
  <c r="C261" i="58"/>
  <c r="C261" i="37"/>
  <c r="C250" i="58"/>
  <c r="C250" i="37"/>
  <c r="C239" i="37"/>
  <c r="C239" i="58"/>
  <c r="C217" i="37"/>
  <c r="C217" i="58"/>
  <c r="C206" i="58"/>
  <c r="C206" i="37"/>
  <c r="C194" i="37"/>
  <c r="C194" i="58"/>
  <c r="C183" i="58"/>
  <c r="C183" i="37"/>
  <c r="C172" i="37"/>
  <c r="C172" i="58"/>
  <c r="C157" i="58"/>
  <c r="C157" i="37"/>
  <c r="C146" i="37"/>
  <c r="C146" i="58"/>
  <c r="C134" i="58"/>
  <c r="C134" i="37"/>
  <c r="C125" i="58"/>
  <c r="C125" i="37"/>
  <c r="C120" i="58"/>
  <c r="C120" i="37"/>
  <c r="C355" i="37"/>
  <c r="C355" i="58"/>
  <c r="C287" i="58"/>
  <c r="C287" i="37"/>
  <c r="C245" i="58"/>
  <c r="C245" i="37"/>
  <c r="C223" i="58"/>
  <c r="C223" i="37"/>
  <c r="C177" i="58"/>
  <c r="C177" i="37"/>
  <c r="C151" i="58"/>
  <c r="C151" i="37"/>
  <c r="C123" i="37"/>
  <c r="C123" i="58"/>
  <c r="J98" i="58"/>
  <c r="J98" i="37"/>
  <c r="H108" i="58"/>
  <c r="H108" i="37"/>
  <c r="I96" i="58"/>
  <c r="I96" i="37"/>
  <c r="I78" i="58"/>
  <c r="I78" i="37"/>
  <c r="C393" i="58"/>
  <c r="C393" i="37"/>
  <c r="C382" i="37"/>
  <c r="C382" i="58"/>
  <c r="C360" i="37"/>
  <c r="C360" i="58"/>
  <c r="C349" i="37"/>
  <c r="C349" i="58"/>
  <c r="C337" i="37"/>
  <c r="C337" i="58"/>
  <c r="C326" i="58"/>
  <c r="C326" i="37"/>
  <c r="C314" i="58"/>
  <c r="C314" i="37"/>
  <c r="C303" i="37"/>
  <c r="C303" i="58"/>
  <c r="C292" i="37"/>
  <c r="C292" i="58"/>
  <c r="C281" i="58"/>
  <c r="C281" i="37"/>
  <c r="C269" i="58"/>
  <c r="C269" i="37"/>
  <c r="C260" i="37"/>
  <c r="C260" i="58"/>
  <c r="C249" i="37"/>
  <c r="C249" i="58"/>
  <c r="C238" i="58"/>
  <c r="C238" i="37"/>
  <c r="C228" i="37"/>
  <c r="C228" i="58"/>
  <c r="C216" i="37"/>
  <c r="C216" i="58"/>
  <c r="C205" i="37"/>
  <c r="C205" i="58"/>
  <c r="C193" i="58"/>
  <c r="C193" i="37"/>
  <c r="C182" i="58"/>
  <c r="C182" i="37"/>
  <c r="C171" i="58"/>
  <c r="C171" i="37"/>
  <c r="C156" i="37"/>
  <c r="C156" i="58"/>
  <c r="C145" i="58"/>
  <c r="C145" i="37"/>
  <c r="C133" i="37"/>
  <c r="C133" i="58"/>
  <c r="C124" i="37"/>
  <c r="C124" i="58"/>
  <c r="J117" i="58"/>
  <c r="J117" i="37"/>
  <c r="J97" i="37"/>
  <c r="J97" i="58"/>
  <c r="H101" i="58"/>
  <c r="H101" i="37"/>
  <c r="J111" i="58"/>
  <c r="J111" i="37"/>
  <c r="C392" i="58"/>
  <c r="C392" i="37"/>
  <c r="C381" i="58"/>
  <c r="C381" i="37"/>
  <c r="C370" i="37"/>
  <c r="C370" i="58"/>
  <c r="C359" i="58"/>
  <c r="C359" i="37"/>
  <c r="C348" i="58"/>
  <c r="C348" i="37"/>
  <c r="C336" i="37"/>
  <c r="C336" i="58"/>
  <c r="C325" i="37"/>
  <c r="C325" i="58"/>
  <c r="C313" i="37"/>
  <c r="C313" i="58"/>
  <c r="C302" i="37"/>
  <c r="C302" i="58"/>
  <c r="C291" i="37"/>
  <c r="C291" i="58"/>
  <c r="C280" i="58"/>
  <c r="C280" i="37"/>
  <c r="C259" i="58"/>
  <c r="C259" i="37"/>
  <c r="C237" i="58"/>
  <c r="C237" i="37"/>
  <c r="C227" i="58"/>
  <c r="C227" i="37"/>
  <c r="C215" i="58"/>
  <c r="C215" i="37"/>
  <c r="C204" i="58"/>
  <c r="C204" i="37"/>
  <c r="C192" i="58"/>
  <c r="C192" i="37"/>
  <c r="C181" i="58"/>
  <c r="C181" i="37"/>
  <c r="C170" i="37"/>
  <c r="C170" i="58"/>
  <c r="C155" i="37"/>
  <c r="C155" i="58"/>
  <c r="C144" i="37"/>
  <c r="C144" i="58"/>
  <c r="C132" i="37"/>
  <c r="C132" i="58"/>
  <c r="J83" i="58"/>
  <c r="J83" i="37"/>
  <c r="H96" i="58"/>
  <c r="H96" i="37"/>
  <c r="I101" i="37"/>
  <c r="I101" i="58"/>
  <c r="C321" i="58"/>
  <c r="C321" i="37"/>
  <c r="C211" i="58"/>
  <c r="C211" i="37"/>
  <c r="H9" i="58"/>
  <c r="H9" i="37"/>
  <c r="J96" i="58"/>
  <c r="J96" i="37"/>
  <c r="H99" i="58"/>
  <c r="H99" i="37"/>
  <c r="I118" i="37"/>
  <c r="I110" i="58"/>
  <c r="I110" i="37"/>
  <c r="I93" i="58"/>
  <c r="I93" i="37"/>
  <c r="I82" i="37"/>
  <c r="I82" i="58"/>
  <c r="C391" i="37"/>
  <c r="C391" i="58"/>
  <c r="C380" i="58"/>
  <c r="C380" i="37"/>
  <c r="C369" i="37"/>
  <c r="C369" i="58"/>
  <c r="C358" i="58"/>
  <c r="C358" i="37"/>
  <c r="C347" i="58"/>
  <c r="C347" i="37"/>
  <c r="C335" i="58"/>
  <c r="C335" i="37"/>
  <c r="C324" i="58"/>
  <c r="C324" i="37"/>
  <c r="C312" i="37"/>
  <c r="C312" i="58"/>
  <c r="C290" i="58"/>
  <c r="C290" i="37"/>
  <c r="C279" i="58"/>
  <c r="C279" i="37"/>
  <c r="C268" i="37"/>
  <c r="C268" i="58"/>
  <c r="C258" i="58"/>
  <c r="C258" i="37"/>
  <c r="C248" i="37"/>
  <c r="C248" i="58"/>
  <c r="C236" i="58"/>
  <c r="C236" i="37"/>
  <c r="C226" i="37"/>
  <c r="C226" i="58"/>
  <c r="C214" i="58"/>
  <c r="C214" i="37"/>
  <c r="C203" i="58"/>
  <c r="C203" i="37"/>
  <c r="C191" i="58"/>
  <c r="C191" i="37"/>
  <c r="C180" i="58"/>
  <c r="C180" i="37"/>
  <c r="C169" i="58"/>
  <c r="C169" i="37"/>
  <c r="C154" i="37"/>
  <c r="C154" i="58"/>
  <c r="C143" i="37"/>
  <c r="C143" i="58"/>
  <c r="C332" i="37"/>
  <c r="C332" i="58"/>
  <c r="C233" i="37"/>
  <c r="C233" i="58"/>
  <c r="J93" i="58"/>
  <c r="H98" i="37"/>
  <c r="H98" i="58"/>
  <c r="H109" i="37"/>
  <c r="H109" i="58"/>
  <c r="H2" i="58"/>
  <c r="H2" i="37"/>
  <c r="C390" i="58"/>
  <c r="C390" i="37"/>
  <c r="C379" i="58"/>
  <c r="C379" i="37"/>
  <c r="C368" i="37"/>
  <c r="C368" i="58"/>
  <c r="C357" i="58"/>
  <c r="C357" i="37"/>
  <c r="C346" i="37"/>
  <c r="C346" i="58"/>
  <c r="C334" i="37"/>
  <c r="C334" i="58"/>
  <c r="C323" i="58"/>
  <c r="C323" i="37"/>
  <c r="C311" i="37"/>
  <c r="C311" i="58"/>
  <c r="C301" i="58"/>
  <c r="C301" i="37"/>
  <c r="C289" i="58"/>
  <c r="C289" i="37"/>
  <c r="C278" i="37"/>
  <c r="C278" i="58"/>
  <c r="C267" i="37"/>
  <c r="C267" i="58"/>
  <c r="C257" i="58"/>
  <c r="C257" i="37"/>
  <c r="C247" i="58"/>
  <c r="C247" i="37"/>
  <c r="C235" i="37"/>
  <c r="C235" i="58"/>
  <c r="C225" i="58"/>
  <c r="C225" i="37"/>
  <c r="C213" i="37"/>
  <c r="C213" i="58"/>
  <c r="C202" i="58"/>
  <c r="C202" i="37"/>
  <c r="C179" i="58"/>
  <c r="C179" i="37"/>
  <c r="C153" i="58"/>
  <c r="C153" i="37"/>
  <c r="C142" i="37"/>
  <c r="C142" i="58"/>
  <c r="C131" i="58"/>
  <c r="C131" i="37"/>
  <c r="I9" i="58"/>
  <c r="I9" i="37"/>
  <c r="J118" i="37"/>
  <c r="J118" i="58"/>
  <c r="J85" i="37"/>
  <c r="J85" i="58"/>
  <c r="H97" i="37"/>
  <c r="H97" i="58"/>
  <c r="I117" i="37"/>
  <c r="J108" i="37"/>
  <c r="J108" i="58"/>
  <c r="C401" i="58"/>
  <c r="C401" i="37"/>
  <c r="C389" i="58"/>
  <c r="C389" i="37"/>
  <c r="C378" i="58"/>
  <c r="C378" i="37"/>
  <c r="C367" i="58"/>
  <c r="C367" i="37"/>
  <c r="C356" i="58"/>
  <c r="C356" i="37"/>
  <c r="C345" i="58"/>
  <c r="C345" i="37"/>
  <c r="C333" i="58"/>
  <c r="C333" i="37"/>
  <c r="C322" i="37"/>
  <c r="C322" i="58"/>
  <c r="C310" i="58"/>
  <c r="C310" i="37"/>
  <c r="C300" i="58"/>
  <c r="C300" i="37"/>
  <c r="C288" i="58"/>
  <c r="C288" i="37"/>
  <c r="C277" i="37"/>
  <c r="C277" i="58"/>
  <c r="C266" i="58"/>
  <c r="C266" i="37"/>
  <c r="C256" i="58"/>
  <c r="C256" i="37"/>
  <c r="C246" i="58"/>
  <c r="C246" i="37"/>
  <c r="C234" i="58"/>
  <c r="C234" i="37"/>
  <c r="C224" i="58"/>
  <c r="C224" i="37"/>
  <c r="C212" i="37"/>
  <c r="C212" i="58"/>
  <c r="C201" i="58"/>
  <c r="C201" i="37"/>
  <c r="C190" i="58"/>
  <c r="C190" i="37"/>
  <c r="C178" i="37"/>
  <c r="C178" i="58"/>
  <c r="C168" i="58"/>
  <c r="C168" i="37"/>
  <c r="C152" i="58"/>
  <c r="C152" i="37"/>
  <c r="C141" i="58"/>
  <c r="C141" i="37"/>
  <c r="C130" i="58"/>
  <c r="C130" i="37"/>
  <c r="I113" i="58" l="1"/>
  <c r="I113" i="41" s="1"/>
  <c r="I115" i="58"/>
  <c r="I118" i="58"/>
  <c r="I112" i="58"/>
  <c r="I117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I102" i="41"/>
  <c r="J114" i="41"/>
  <c r="I116" i="41"/>
  <c r="H93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290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194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46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98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242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I101" i="41"/>
  <c r="H86" i="41"/>
  <c r="H114" i="41"/>
  <c r="H82" i="41"/>
  <c r="H115" i="41"/>
  <c r="J112" i="41"/>
  <c r="J83" i="41"/>
  <c r="I85" i="41"/>
  <c r="H117" i="41"/>
  <c r="J113" i="41"/>
  <c r="H109" i="41"/>
  <c r="H98" i="41"/>
  <c r="J93" i="41"/>
  <c r="I82" i="41"/>
  <c r="I118" i="41"/>
  <c r="I112" i="41"/>
  <c r="H110" i="41"/>
  <c r="J99" i="41"/>
  <c r="J97" i="41"/>
  <c r="H113" i="41"/>
  <c r="J109" i="41"/>
  <c r="I96" i="41"/>
  <c r="H108" i="41"/>
  <c r="J98" i="41"/>
  <c r="I81" i="41"/>
  <c r="I97" i="41"/>
  <c r="H80" i="41"/>
  <c r="I111" i="37"/>
  <c r="I111" i="58"/>
  <c r="H111" i="58"/>
  <c r="H111" i="37"/>
  <c r="C211" i="41"/>
  <c r="C321" i="41"/>
  <c r="H96" i="41"/>
  <c r="H119" i="37"/>
  <c r="H119" i="58"/>
  <c r="J110" i="37"/>
  <c r="J110" i="58"/>
  <c r="J82" i="58"/>
  <c r="J82" i="37"/>
  <c r="H95" i="37"/>
  <c r="H95" i="58"/>
  <c r="H94" i="37"/>
  <c r="H94" i="58"/>
  <c r="J119" i="37"/>
  <c r="J119" i="58"/>
  <c r="J115" i="37"/>
  <c r="J115" i="58"/>
  <c r="I119" i="58"/>
  <c r="I119" i="37"/>
  <c r="H74" i="58"/>
  <c r="H74" i="37"/>
  <c r="I79" i="58"/>
  <c r="I79" i="37"/>
  <c r="I74" i="58"/>
  <c r="I74" i="37"/>
  <c r="C130" i="41"/>
  <c r="C141" i="41"/>
  <c r="C152" i="41"/>
  <c r="C168" i="41"/>
  <c r="C190" i="41"/>
  <c r="C201" i="41"/>
  <c r="C224" i="41"/>
  <c r="C234" i="41"/>
  <c r="C246" i="41"/>
  <c r="C256" i="41"/>
  <c r="C266" i="41"/>
  <c r="C288" i="41"/>
  <c r="C300" i="41"/>
  <c r="C310" i="41"/>
  <c r="C333" i="41"/>
  <c r="C345" i="41"/>
  <c r="C356" i="41"/>
  <c r="C367" i="41"/>
  <c r="C378" i="41"/>
  <c r="C389" i="41"/>
  <c r="C401" i="41"/>
  <c r="I114" i="37"/>
  <c r="I114" i="58"/>
  <c r="I83" i="37"/>
  <c r="I83" i="58"/>
  <c r="J74" i="58"/>
  <c r="J74" i="37"/>
  <c r="C178" i="41"/>
  <c r="C212" i="41"/>
  <c r="C277" i="41"/>
  <c r="C322" i="41"/>
  <c r="J108" i="41"/>
  <c r="I117" i="41"/>
  <c r="H97" i="41"/>
  <c r="J85" i="41"/>
  <c r="J118" i="41"/>
  <c r="F95" i="66"/>
  <c r="I9" i="41"/>
  <c r="D55" i="39" s="1"/>
  <c r="E119" i="38" s="1"/>
  <c r="J95" i="66" s="1"/>
  <c r="C131" i="41"/>
  <c r="C153" i="41"/>
  <c r="C179" i="41"/>
  <c r="C202" i="41"/>
  <c r="C225" i="41"/>
  <c r="C247" i="41"/>
  <c r="C257" i="41"/>
  <c r="C289" i="41"/>
  <c r="C301" i="41"/>
  <c r="C323" i="41"/>
  <c r="C357" i="41"/>
  <c r="C379" i="41"/>
  <c r="C390" i="41"/>
  <c r="H2" i="41"/>
  <c r="J94" i="37"/>
  <c r="J94" i="58"/>
  <c r="I108" i="37"/>
  <c r="I108" i="58"/>
  <c r="I95" i="37"/>
  <c r="I95" i="58"/>
  <c r="F239" i="66"/>
  <c r="C142" i="41"/>
  <c r="C213" i="41"/>
  <c r="C235" i="41"/>
  <c r="C267" i="41"/>
  <c r="C278" i="41"/>
  <c r="C311" i="41"/>
  <c r="C334" i="41"/>
  <c r="C346" i="41"/>
  <c r="C368" i="41"/>
  <c r="C233" i="41"/>
  <c r="C332" i="41"/>
  <c r="C169" i="41"/>
  <c r="C180" i="41"/>
  <c r="C191" i="41"/>
  <c r="C203" i="41"/>
  <c r="C214" i="41"/>
  <c r="C236" i="41"/>
  <c r="C258" i="41"/>
  <c r="C279" i="41"/>
  <c r="C290" i="41"/>
  <c r="C324" i="41"/>
  <c r="C335" i="41"/>
  <c r="C347" i="41"/>
  <c r="C358" i="41"/>
  <c r="C380" i="41"/>
  <c r="I93" i="41"/>
  <c r="I110" i="41"/>
  <c r="H99" i="41"/>
  <c r="J96" i="41"/>
  <c r="H9" i="41"/>
  <c r="C55" i="39" s="1"/>
  <c r="E102" i="38" s="1"/>
  <c r="F47" i="66"/>
  <c r="C143" i="41"/>
  <c r="C154" i="41"/>
  <c r="C226" i="41"/>
  <c r="C248" i="41"/>
  <c r="C268" i="41"/>
  <c r="C312" i="41"/>
  <c r="C369" i="41"/>
  <c r="C391" i="41"/>
  <c r="F191" i="66"/>
  <c r="I87" i="37"/>
  <c r="I87" i="58"/>
  <c r="J102" i="37"/>
  <c r="J102" i="58"/>
  <c r="J87" i="58"/>
  <c r="J87" i="37"/>
  <c r="I86" i="58"/>
  <c r="I86" i="37"/>
  <c r="J116" i="37"/>
  <c r="J116" i="58"/>
  <c r="H87" i="58"/>
  <c r="H87" i="37"/>
  <c r="I109" i="58"/>
  <c r="I109" i="37"/>
  <c r="H116" i="37"/>
  <c r="H116" i="58"/>
  <c r="J95" i="37"/>
  <c r="J95" i="58"/>
  <c r="H102" i="58"/>
  <c r="H102" i="37"/>
  <c r="H79" i="37"/>
  <c r="H79" i="58"/>
  <c r="C132" i="41"/>
  <c r="C144" i="41"/>
  <c r="C155" i="41"/>
  <c r="C170" i="41"/>
  <c r="C291" i="41"/>
  <c r="C302" i="41"/>
  <c r="C313" i="41"/>
  <c r="C325" i="41"/>
  <c r="C336" i="41"/>
  <c r="C370" i="41"/>
  <c r="H112" i="41"/>
  <c r="J101" i="41"/>
  <c r="C121" i="41"/>
  <c r="C136" i="41"/>
  <c r="C159" i="41"/>
  <c r="C173" i="41"/>
  <c r="C185" i="41"/>
  <c r="C196" i="41"/>
  <c r="C272" i="41"/>
  <c r="C295" i="41"/>
  <c r="C396" i="41"/>
  <c r="I99" i="41"/>
  <c r="H118" i="41"/>
  <c r="J81" i="41"/>
  <c r="F175" i="66"/>
  <c r="H7" i="41"/>
  <c r="C54" i="39" s="1"/>
  <c r="E101" i="38" s="1"/>
  <c r="F31" i="66"/>
  <c r="C127" i="41"/>
  <c r="C160" i="41"/>
  <c r="C174" i="41"/>
  <c r="C220" i="41"/>
  <c r="C231" i="41"/>
  <c r="C242" i="41"/>
  <c r="C285" i="41"/>
  <c r="C296" i="41"/>
  <c r="C318" i="41"/>
  <c r="C330" i="41"/>
  <c r="C364" i="41"/>
  <c r="C374" i="41"/>
  <c r="C386" i="41"/>
  <c r="C397" i="41"/>
  <c r="J2" i="41"/>
  <c r="C137" i="41"/>
  <c r="C186" i="41"/>
  <c r="C197" i="41"/>
  <c r="C209" i="41"/>
  <c r="C252" i="41"/>
  <c r="C264" i="41"/>
  <c r="C273" i="41"/>
  <c r="C341" i="41"/>
  <c r="C129" i="41"/>
  <c r="C140" i="41"/>
  <c r="C276" i="41"/>
  <c r="C377" i="41"/>
  <c r="J111" i="41"/>
  <c r="H101" i="41"/>
  <c r="J117" i="41"/>
  <c r="C126" i="41"/>
  <c r="C147" i="41"/>
  <c r="C158" i="41"/>
  <c r="C184" i="41"/>
  <c r="C195" i="41"/>
  <c r="C207" i="41"/>
  <c r="C229" i="41"/>
  <c r="C240" i="41"/>
  <c r="C262" i="41"/>
  <c r="C271" i="41"/>
  <c r="C305" i="41"/>
  <c r="C316" i="41"/>
  <c r="C351" i="41"/>
  <c r="C384" i="41"/>
  <c r="C395" i="41"/>
  <c r="I2" i="41"/>
  <c r="J79" i="41"/>
  <c r="H83" i="41"/>
  <c r="H81" i="41"/>
  <c r="J86" i="41"/>
  <c r="C255" i="41"/>
  <c r="C122" i="41"/>
  <c r="C138" i="41"/>
  <c r="C161" i="41"/>
  <c r="C175" i="41"/>
  <c r="C187" i="41"/>
  <c r="C198" i="41"/>
  <c r="C210" i="41"/>
  <c r="C232" i="41"/>
  <c r="C243" i="41"/>
  <c r="C253" i="41"/>
  <c r="C274" i="41"/>
  <c r="C286" i="41"/>
  <c r="C297" i="41"/>
  <c r="C307" i="41"/>
  <c r="C319" i="41"/>
  <c r="C342" i="41"/>
  <c r="C365" i="41"/>
  <c r="C375" i="41"/>
  <c r="J80" i="41"/>
  <c r="I7" i="41"/>
  <c r="D54" i="39" s="1"/>
  <c r="E118" i="38" s="1"/>
  <c r="J79" i="66" s="1"/>
  <c r="F79" i="66"/>
  <c r="C200" i="41"/>
  <c r="C309" i="41"/>
  <c r="C400" i="41"/>
  <c r="J9" i="41"/>
  <c r="E55" i="39" s="1"/>
  <c r="E136" i="38" s="1"/>
  <c r="J143" i="66" s="1"/>
  <c r="F143" i="66"/>
  <c r="C120" i="41"/>
  <c r="C125" i="41"/>
  <c r="C134" i="41"/>
  <c r="C157" i="41"/>
  <c r="C183" i="41"/>
  <c r="C206" i="41"/>
  <c r="C250" i="41"/>
  <c r="C261" i="41"/>
  <c r="C270" i="41"/>
  <c r="C282" i="41"/>
  <c r="C293" i="41"/>
  <c r="C315" i="41"/>
  <c r="C350" i="41"/>
  <c r="C394" i="41"/>
  <c r="I80" i="41"/>
  <c r="C299" i="41"/>
  <c r="C135" i="41"/>
  <c r="C218" i="41"/>
  <c r="C283" i="41"/>
  <c r="C294" i="41"/>
  <c r="C328" i="41"/>
  <c r="C339" i="41"/>
  <c r="C362" i="41"/>
  <c r="C372" i="41"/>
  <c r="C149" i="41"/>
  <c r="C221" i="41"/>
  <c r="C353" i="41"/>
  <c r="C387" i="41"/>
  <c r="C398" i="41"/>
  <c r="I94" i="41"/>
  <c r="I115" i="41"/>
  <c r="H85" i="41"/>
  <c r="F223" i="66"/>
  <c r="F287" i="66"/>
  <c r="C128" i="41"/>
  <c r="C139" i="41"/>
  <c r="C150" i="41"/>
  <c r="C176" i="41"/>
  <c r="C199" i="41"/>
  <c r="C244" i="41"/>
  <c r="C254" i="41"/>
  <c r="C265" i="41"/>
  <c r="C275" i="41"/>
  <c r="C298" i="41"/>
  <c r="C308" i="41"/>
  <c r="C331" i="41"/>
  <c r="C343" i="41"/>
  <c r="C354" i="41"/>
  <c r="C366" i="41"/>
  <c r="C376" i="41"/>
  <c r="C399" i="41"/>
  <c r="C146" i="41"/>
  <c r="C172" i="41"/>
  <c r="C194" i="41"/>
  <c r="C217" i="41"/>
  <c r="C239" i="41"/>
  <c r="C304" i="41"/>
  <c r="C327" i="41"/>
  <c r="C338" i="41"/>
  <c r="C361" i="41"/>
  <c r="C371" i="41"/>
  <c r="C383" i="41"/>
  <c r="H78" i="41"/>
  <c r="C188" i="41"/>
  <c r="C222" i="41"/>
  <c r="C320" i="41"/>
  <c r="C388" i="41"/>
  <c r="C145" i="41"/>
  <c r="C171" i="41"/>
  <c r="C182" i="41"/>
  <c r="C193" i="41"/>
  <c r="C238" i="41"/>
  <c r="C269" i="41"/>
  <c r="C281" i="41"/>
  <c r="C314" i="41"/>
  <c r="C326" i="41"/>
  <c r="C393" i="41"/>
  <c r="I78" i="41"/>
  <c r="C151" i="41"/>
  <c r="C177" i="41"/>
  <c r="C223" i="41"/>
  <c r="C245" i="41"/>
  <c r="C287" i="41"/>
  <c r="F127" i="66"/>
  <c r="J7" i="41"/>
  <c r="M54" i="39" s="1"/>
  <c r="E186" i="38" s="1"/>
  <c r="C124" i="41"/>
  <c r="C133" i="41"/>
  <c r="C156" i="41"/>
  <c r="C205" i="41"/>
  <c r="C216" i="41"/>
  <c r="C228" i="41"/>
  <c r="C249" i="41"/>
  <c r="C260" i="41"/>
  <c r="C292" i="41"/>
  <c r="C303" i="41"/>
  <c r="C337" i="41"/>
  <c r="C349" i="41"/>
  <c r="C360" i="41"/>
  <c r="C382" i="41"/>
  <c r="C123" i="41"/>
  <c r="C355" i="41"/>
  <c r="I98" i="41"/>
  <c r="J78" i="41"/>
  <c r="C181" i="41"/>
  <c r="C192" i="41"/>
  <c r="C204" i="41"/>
  <c r="C215" i="41"/>
  <c r="C227" i="41"/>
  <c r="C237" i="41"/>
  <c r="C259" i="41"/>
  <c r="C280" i="41"/>
  <c r="C348" i="41"/>
  <c r="C359" i="41"/>
  <c r="C381" i="41"/>
  <c r="C392" i="41"/>
  <c r="I3" i="41"/>
  <c r="J3" i="41"/>
  <c r="C189" i="41"/>
  <c r="C344" i="41"/>
  <c r="C148" i="41"/>
  <c r="C208" i="41"/>
  <c r="C219" i="41"/>
  <c r="C230" i="41"/>
  <c r="C241" i="41"/>
  <c r="C251" i="41"/>
  <c r="C263" i="41"/>
  <c r="C284" i="41"/>
  <c r="C306" i="41"/>
  <c r="C317" i="41"/>
  <c r="C329" i="41"/>
  <c r="C340" i="41"/>
  <c r="C352" i="41"/>
  <c r="C363" i="41"/>
  <c r="C373" i="41"/>
  <c r="C385" i="41"/>
  <c r="I111" i="41" l="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09" i="41"/>
  <c r="H87" i="41"/>
  <c r="M4" i="41" s="1"/>
  <c r="K55" i="39"/>
  <c r="E153" i="38" s="1"/>
  <c r="J191" i="66" s="1"/>
  <c r="J95" i="41"/>
  <c r="I95" i="41"/>
  <c r="I108" i="41"/>
  <c r="J94" i="41"/>
  <c r="I83" i="41"/>
  <c r="I114" i="41"/>
  <c r="J110" i="41"/>
  <c r="H119" i="41"/>
  <c r="I103" i="37"/>
  <c r="I103" i="58"/>
  <c r="C39" i="63" s="1"/>
  <c r="J271" i="66"/>
  <c r="J107" i="37"/>
  <c r="J107" i="58"/>
  <c r="F243" i="66" s="1"/>
  <c r="N243" i="66" s="1"/>
  <c r="J77" i="37"/>
  <c r="J77" i="58"/>
  <c r="J103" i="37"/>
  <c r="J103" i="58"/>
  <c r="H77" i="58"/>
  <c r="H77" i="37"/>
  <c r="I77" i="58"/>
  <c r="I77" i="37"/>
  <c r="I107" i="37"/>
  <c r="I107" i="58"/>
  <c r="F195" i="66" s="1"/>
  <c r="N195" i="66" s="1"/>
  <c r="H76" i="58"/>
  <c r="H76" i="37"/>
  <c r="H103" i="58"/>
  <c r="C30" i="63" s="1"/>
  <c r="H103" i="37"/>
  <c r="H105" i="58"/>
  <c r="H105" i="37"/>
  <c r="J76" i="58"/>
  <c r="J76" i="37"/>
  <c r="J75" i="37"/>
  <c r="J75" i="58"/>
  <c r="I76" i="58"/>
  <c r="I76" i="37"/>
  <c r="I105" i="37"/>
  <c r="I105" i="58"/>
  <c r="I75" i="58"/>
  <c r="I75" i="37"/>
  <c r="J105" i="37"/>
  <c r="J105" i="58"/>
  <c r="H107" i="58"/>
  <c r="F147" i="66" s="1"/>
  <c r="N147" i="66" s="1"/>
  <c r="H107" i="37"/>
  <c r="H75" i="58"/>
  <c r="H75" i="37"/>
  <c r="P79" i="66"/>
  <c r="S79" i="66"/>
  <c r="S143" i="66"/>
  <c r="P143" i="66"/>
  <c r="K54" i="39"/>
  <c r="E152" i="38" s="1"/>
  <c r="J31" i="66"/>
  <c r="J116" i="41"/>
  <c r="J47" i="66"/>
  <c r="J102" i="41"/>
  <c r="I87" i="41"/>
  <c r="N4" i="41" s="1"/>
  <c r="I86" i="41"/>
  <c r="J87" i="41"/>
  <c r="O4" i="41" s="1"/>
  <c r="H102" i="41"/>
  <c r="H116" i="41"/>
  <c r="H79" i="41"/>
  <c r="J410" i="58"/>
  <c r="J408" i="58"/>
  <c r="F286" i="66" s="1"/>
  <c r="N286" i="66" s="1"/>
  <c r="J411" i="58"/>
  <c r="J409" i="58"/>
  <c r="I410" i="37"/>
  <c r="I408" i="37"/>
  <c r="I411" i="37"/>
  <c r="I74" i="41"/>
  <c r="I409" i="37"/>
  <c r="I79" i="41"/>
  <c r="H111" i="41"/>
  <c r="I410" i="58"/>
  <c r="I411" i="58"/>
  <c r="I409" i="58"/>
  <c r="I408" i="58"/>
  <c r="F238" i="66" s="1"/>
  <c r="N238" i="66" s="1"/>
  <c r="H410" i="37"/>
  <c r="H408" i="37"/>
  <c r="H411" i="37"/>
  <c r="H74" i="41"/>
  <c r="J82" i="41"/>
  <c r="H410" i="58"/>
  <c r="H408" i="58"/>
  <c r="F190" i="66" s="1"/>
  <c r="N190" i="66" s="1"/>
  <c r="H411" i="58"/>
  <c r="I119" i="41"/>
  <c r="J115" i="41"/>
  <c r="J119" i="41"/>
  <c r="O6" i="41" s="1"/>
  <c r="H94" i="41"/>
  <c r="H95" i="41"/>
  <c r="P95" i="66"/>
  <c r="S95" i="66"/>
  <c r="J410" i="37"/>
  <c r="J411" i="37"/>
  <c r="J74" i="41"/>
  <c r="J408" i="37"/>
  <c r="J409" i="37"/>
  <c r="S223" i="66" l="1"/>
  <c r="M6" i="41"/>
  <c r="N6" i="41"/>
  <c r="J239" i="66"/>
  <c r="I409" i="41"/>
  <c r="H106" i="37"/>
  <c r="H106" i="58"/>
  <c r="J88" i="58"/>
  <c r="J88" i="37"/>
  <c r="J91" i="37"/>
  <c r="J91" i="58"/>
  <c r="J106" i="37"/>
  <c r="J106" i="58"/>
  <c r="H84" i="37"/>
  <c r="H84" i="58"/>
  <c r="J104" i="58"/>
  <c r="J104" i="37"/>
  <c r="J84" i="58"/>
  <c r="J84" i="37"/>
  <c r="H410" i="41"/>
  <c r="P127" i="66"/>
  <c r="S127" i="66"/>
  <c r="H411" i="41"/>
  <c r="I89" i="37"/>
  <c r="I89" i="58"/>
  <c r="I410" i="41"/>
  <c r="K41" i="39"/>
  <c r="E139" i="38" s="1"/>
  <c r="F155" i="66"/>
  <c r="H455" i="58"/>
  <c r="E370" i="38" s="1"/>
  <c r="K155" i="66" s="1"/>
  <c r="I104" i="58"/>
  <c r="I104" i="37"/>
  <c r="I408" i="41"/>
  <c r="F94" i="66"/>
  <c r="N94" i="66" s="1"/>
  <c r="J92" i="58"/>
  <c r="J92" i="37"/>
  <c r="J89" i="58"/>
  <c r="J89" i="37"/>
  <c r="H92" i="58"/>
  <c r="H92" i="37"/>
  <c r="I90" i="37"/>
  <c r="I90" i="58"/>
  <c r="J409" i="41"/>
  <c r="H104" i="37"/>
  <c r="H104" i="58"/>
  <c r="H89" i="58"/>
  <c r="H89" i="37"/>
  <c r="I411" i="41"/>
  <c r="H90" i="58"/>
  <c r="H90" i="37"/>
  <c r="F142" i="66"/>
  <c r="N142" i="66" s="1"/>
  <c r="J408" i="41"/>
  <c r="S47" i="66"/>
  <c r="P47" i="66"/>
  <c r="R47" i="66"/>
  <c r="H75" i="41"/>
  <c r="F45" i="66"/>
  <c r="J76" i="41"/>
  <c r="H88" i="37"/>
  <c r="H88" i="58"/>
  <c r="I91" i="37"/>
  <c r="I91" i="58"/>
  <c r="J411" i="41"/>
  <c r="F189" i="66"/>
  <c r="I92" i="37"/>
  <c r="I92" i="58"/>
  <c r="J90" i="58"/>
  <c r="J90" i="37"/>
  <c r="I88" i="58"/>
  <c r="I88" i="37"/>
  <c r="H91" i="37"/>
  <c r="H91" i="58"/>
  <c r="J410" i="41"/>
  <c r="J175" i="66"/>
  <c r="I75" i="41"/>
  <c r="D12" i="39" s="1"/>
  <c r="F93" i="66"/>
  <c r="D39" i="39"/>
  <c r="E103" i="38" s="1"/>
  <c r="R191" i="66"/>
  <c r="P191" i="66"/>
  <c r="S191" i="66"/>
  <c r="F237" i="66"/>
  <c r="L39" i="39"/>
  <c r="E154" i="38" s="1"/>
  <c r="I106" i="37"/>
  <c r="I106" i="58"/>
  <c r="I84" i="58"/>
  <c r="I84" i="37"/>
  <c r="F46" i="66"/>
  <c r="N46" i="66" s="1"/>
  <c r="H408" i="41"/>
  <c r="R31" i="66"/>
  <c r="P31" i="66"/>
  <c r="S31" i="66"/>
  <c r="P287" i="66"/>
  <c r="S287" i="66"/>
  <c r="C48" i="63"/>
  <c r="H77" i="41"/>
  <c r="J103" i="41"/>
  <c r="O5" i="41" s="1"/>
  <c r="C21" i="63"/>
  <c r="J77" i="41"/>
  <c r="S271" i="66"/>
  <c r="P271" i="66"/>
  <c r="I76" i="41"/>
  <c r="M41" i="39"/>
  <c r="E173" i="38" s="1"/>
  <c r="F251" i="66"/>
  <c r="E41" i="39"/>
  <c r="E122" i="38" s="1"/>
  <c r="J105" i="41"/>
  <c r="E14" i="39" s="1"/>
  <c r="F107" i="66"/>
  <c r="F203" i="66"/>
  <c r="L41" i="39"/>
  <c r="E156" i="38" s="1"/>
  <c r="H107" i="41"/>
  <c r="F3" i="66"/>
  <c r="N3" i="66" s="1"/>
  <c r="I105" i="41"/>
  <c r="D14" i="39" s="1"/>
  <c r="D41" i="39"/>
  <c r="E105" i="38" s="1"/>
  <c r="F59" i="66"/>
  <c r="H76" i="41"/>
  <c r="I107" i="41"/>
  <c r="F51" i="66"/>
  <c r="N51" i="66" s="1"/>
  <c r="I77" i="41"/>
  <c r="J107" i="41"/>
  <c r="F99" i="66"/>
  <c r="N99" i="66" s="1"/>
  <c r="I103" i="41"/>
  <c r="C12" i="63"/>
  <c r="F285" i="66"/>
  <c r="M39" i="39"/>
  <c r="E171" i="38" s="1"/>
  <c r="C3" i="63"/>
  <c r="H103" i="41"/>
  <c r="M5" i="41" s="1"/>
  <c r="E39" i="39"/>
  <c r="E120" i="38" s="1"/>
  <c r="J75" i="41"/>
  <c r="E12" i="39" s="1"/>
  <c r="F141" i="66"/>
  <c r="H105" i="41"/>
  <c r="C14" i="39" s="1"/>
  <c r="C41" i="39"/>
  <c r="E88" i="38" s="1"/>
  <c r="F11" i="66"/>
  <c r="H455" i="37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90" i="41"/>
  <c r="H84" i="41"/>
  <c r="J106" i="41"/>
  <c r="P239" i="66"/>
  <c r="S239" i="66"/>
  <c r="I84" i="41"/>
  <c r="I106" i="41"/>
  <c r="H90" i="41"/>
  <c r="T191" i="66"/>
  <c r="J90" i="41"/>
  <c r="I92" i="41"/>
  <c r="J92" i="41"/>
  <c r="I100" i="58"/>
  <c r="I100" i="37"/>
  <c r="O14" i="39"/>
  <c r="P14" i="39"/>
  <c r="Q14" i="39" s="1"/>
  <c r="M40" i="39"/>
  <c r="E172" i="38" s="1"/>
  <c r="F267" i="66"/>
  <c r="I104" i="41"/>
  <c r="I416" i="37"/>
  <c r="I417" i="37"/>
  <c r="T31" i="66"/>
  <c r="H405" i="58"/>
  <c r="F181" i="66"/>
  <c r="N181" i="66" s="1"/>
  <c r="H406" i="58"/>
  <c r="H407" i="58"/>
  <c r="F172" i="66" s="1"/>
  <c r="I412" i="37"/>
  <c r="I415" i="37"/>
  <c r="I414" i="37"/>
  <c r="I88" i="41"/>
  <c r="I413" i="37"/>
  <c r="I417" i="58"/>
  <c r="I416" i="58"/>
  <c r="F204" i="66" s="1"/>
  <c r="N204" i="66" s="1"/>
  <c r="I89" i="41"/>
  <c r="D13" i="39" s="1"/>
  <c r="L40" i="39"/>
  <c r="E155" i="38" s="1"/>
  <c r="F219" i="66"/>
  <c r="J84" i="41"/>
  <c r="J104" i="41"/>
  <c r="J416" i="37"/>
  <c r="J417" i="37"/>
  <c r="J11" i="66"/>
  <c r="Y51" i="66"/>
  <c r="Y195" i="66"/>
  <c r="Z51" i="66"/>
  <c r="Z195" i="66"/>
  <c r="J251" i="66"/>
  <c r="F37" i="66"/>
  <c r="N37" i="66" s="1"/>
  <c r="H406" i="37"/>
  <c r="H91" i="41"/>
  <c r="H407" i="37"/>
  <c r="H405" i="37"/>
  <c r="I412" i="58"/>
  <c r="F224" i="66" s="1"/>
  <c r="N224" i="66" s="1"/>
  <c r="I414" i="58"/>
  <c r="F235" i="66" s="1"/>
  <c r="I413" i="58"/>
  <c r="I415" i="58"/>
  <c r="F234" i="66" s="1"/>
  <c r="N234" i="66" s="1"/>
  <c r="D40" i="39"/>
  <c r="E104" i="38" s="1"/>
  <c r="F75" i="66"/>
  <c r="J416" i="58"/>
  <c r="F252" i="66" s="1"/>
  <c r="N252" i="66" s="1"/>
  <c r="J417" i="58"/>
  <c r="H100" i="37"/>
  <c r="H100" i="58"/>
  <c r="J437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91" i="41"/>
  <c r="J406" i="58"/>
  <c r="F277" i="66"/>
  <c r="N277" i="66" s="1"/>
  <c r="J407" i="58"/>
  <c r="F268" i="66" s="1"/>
  <c r="J405" i="58"/>
  <c r="J88" i="41"/>
  <c r="J415" i="37"/>
  <c r="J414" i="37"/>
  <c r="J412" i="37"/>
  <c r="J413" i="37"/>
  <c r="J437" i="37"/>
  <c r="J141" i="66"/>
  <c r="J203" i="66"/>
  <c r="T47" i="66"/>
  <c r="J405" i="37"/>
  <c r="J406" i="37"/>
  <c r="F133" i="66"/>
  <c r="N133" i="66" s="1"/>
  <c r="J407" i="37"/>
  <c r="J413" i="58"/>
  <c r="J414" i="58"/>
  <c r="F283" i="66" s="1"/>
  <c r="J415" i="58"/>
  <c r="F282" i="66" s="1"/>
  <c r="N282" i="66" s="1"/>
  <c r="J412" i="58"/>
  <c r="F272" i="66" s="1"/>
  <c r="N272" i="66" s="1"/>
  <c r="H106" i="41"/>
  <c r="Y3" i="66"/>
  <c r="Y147" i="66"/>
  <c r="Z147" i="66"/>
  <c r="Z3" i="66"/>
  <c r="J107" i="66"/>
  <c r="I405" i="58"/>
  <c r="I406" i="58"/>
  <c r="I407" i="58"/>
  <c r="F220" i="66" s="1"/>
  <c r="F229" i="66"/>
  <c r="N229" i="66" s="1"/>
  <c r="H414" i="58"/>
  <c r="F187" i="66" s="1"/>
  <c r="H415" i="58"/>
  <c r="F186" i="66" s="1"/>
  <c r="N186" i="66" s="1"/>
  <c r="H412" i="58"/>
  <c r="F176" i="66" s="1"/>
  <c r="N176" i="66" s="1"/>
  <c r="B3" i="39"/>
  <c r="C12" i="39" s="1"/>
  <c r="I437" i="37"/>
  <c r="J93" i="66"/>
  <c r="I91" i="41"/>
  <c r="I406" i="37"/>
  <c r="I407" i="37"/>
  <c r="F85" i="66"/>
  <c r="N85" i="66" s="1"/>
  <c r="I405" i="37"/>
  <c r="H412" i="37"/>
  <c r="H88" i="41"/>
  <c r="H415" i="37"/>
  <c r="H414" i="37"/>
  <c r="E43" i="39"/>
  <c r="E126" i="38" s="1"/>
  <c r="H89" i="41"/>
  <c r="B4" i="39" s="1"/>
  <c r="K40" i="39" s="1"/>
  <c r="E138" i="38" s="1"/>
  <c r="F27" i="66"/>
  <c r="H416" i="58"/>
  <c r="F156" i="66" s="1"/>
  <c r="N156" i="66" s="1"/>
  <c r="H92" i="41"/>
  <c r="E40" i="39"/>
  <c r="E121" i="38" s="1"/>
  <c r="J89" i="41"/>
  <c r="E13" i="39" s="1"/>
  <c r="F123" i="66"/>
  <c r="N5" i="41"/>
  <c r="Z46" i="66"/>
  <c r="Z190" i="66"/>
  <c r="Y46" i="66"/>
  <c r="Y190" i="66"/>
  <c r="F105" i="66"/>
  <c r="F171" i="66"/>
  <c r="H416" i="37"/>
  <c r="H104" i="41"/>
  <c r="H455" i="41"/>
  <c r="E352" i="38"/>
  <c r="K11" i="66" s="1"/>
  <c r="J59" i="66"/>
  <c r="I437" i="58"/>
  <c r="J237" i="66"/>
  <c r="J100" i="58"/>
  <c r="J100" i="37"/>
  <c r="R175" i="66"/>
  <c r="S175" i="66"/>
  <c r="P175" i="66"/>
  <c r="E16" i="39" l="1"/>
  <c r="J249" i="66"/>
  <c r="J201" i="66"/>
  <c r="D16" i="39"/>
  <c r="B7" i="39"/>
  <c r="H456" i="37" s="1"/>
  <c r="H406" i="41"/>
  <c r="T175" i="66"/>
  <c r="J100" i="41"/>
  <c r="I406" i="41"/>
  <c r="J417" i="41"/>
  <c r="H439" i="58"/>
  <c r="J171" i="66"/>
  <c r="O12" i="39"/>
  <c r="P12" i="39"/>
  <c r="J414" i="41"/>
  <c r="F139" i="66"/>
  <c r="I439" i="37"/>
  <c r="C18" i="63" s="1"/>
  <c r="J75" i="66"/>
  <c r="P59" i="66"/>
  <c r="S59" i="66"/>
  <c r="J439" i="37"/>
  <c r="C27" i="63" s="1"/>
  <c r="J123" i="66"/>
  <c r="H412" i="41"/>
  <c r="F32" i="66"/>
  <c r="N32" i="66" s="1"/>
  <c r="S251" i="66"/>
  <c r="P251" i="66"/>
  <c r="I414" i="41"/>
  <c r="F91" i="66"/>
  <c r="Z277" i="66"/>
  <c r="Y277" i="66"/>
  <c r="Z133" i="66"/>
  <c r="S203" i="66"/>
  <c r="P203" i="66"/>
  <c r="I405" i="41"/>
  <c r="F92" i="66"/>
  <c r="Y133" i="66"/>
  <c r="I415" i="41"/>
  <c r="F90" i="66"/>
  <c r="N90" i="66" s="1"/>
  <c r="P57" i="66"/>
  <c r="S57" i="66"/>
  <c r="J439" i="58"/>
  <c r="C54" i="63" s="1"/>
  <c r="J267" i="66"/>
  <c r="H414" i="41"/>
  <c r="F43" i="66"/>
  <c r="F108" i="66"/>
  <c r="N108" i="66" s="1"/>
  <c r="J416" i="41"/>
  <c r="H416" i="41"/>
  <c r="F12" i="66"/>
  <c r="N12" i="66" s="1"/>
  <c r="Y229" i="66"/>
  <c r="Z229" i="66"/>
  <c r="Y85" i="66"/>
  <c r="Z85" i="66"/>
  <c r="J406" i="41"/>
  <c r="H405" i="41"/>
  <c r="I412" i="41"/>
  <c r="F80" i="66"/>
  <c r="N80" i="66" s="1"/>
  <c r="I100" i="41"/>
  <c r="I407" i="41"/>
  <c r="F76" i="66"/>
  <c r="J105" i="66"/>
  <c r="F236" i="66"/>
  <c r="C13" i="39"/>
  <c r="H454" i="37"/>
  <c r="H454" i="58"/>
  <c r="E369" i="38" s="1"/>
  <c r="K171" i="66" s="1"/>
  <c r="I437" i="41"/>
  <c r="R155" i="66"/>
  <c r="S155" i="66"/>
  <c r="P155" i="66"/>
  <c r="H100" i="41"/>
  <c r="P237" i="66"/>
  <c r="S237" i="66"/>
  <c r="F28" i="66"/>
  <c r="H407" i="41"/>
  <c r="I439" i="58"/>
  <c r="J219" i="66"/>
  <c r="J415" i="41"/>
  <c r="F138" i="66"/>
  <c r="N138" i="66" s="1"/>
  <c r="C40" i="39"/>
  <c r="E87" i="38" s="1"/>
  <c r="C39" i="39"/>
  <c r="E86" i="38" s="1"/>
  <c r="H453" i="37"/>
  <c r="H453" i="58"/>
  <c r="E368" i="38" s="1"/>
  <c r="K189" i="66" s="1"/>
  <c r="K39" i="39"/>
  <c r="E137" i="38" s="1"/>
  <c r="J413" i="41"/>
  <c r="S285" i="66"/>
  <c r="P285" i="66"/>
  <c r="P11" i="66"/>
  <c r="R11" i="66"/>
  <c r="S11" i="66"/>
  <c r="I417" i="41"/>
  <c r="F124" i="66"/>
  <c r="J407" i="41"/>
  <c r="J412" i="41"/>
  <c r="F128" i="66"/>
  <c r="N128" i="66" s="1"/>
  <c r="Z37" i="66"/>
  <c r="Z181" i="66"/>
  <c r="Y37" i="66"/>
  <c r="Y181" i="66"/>
  <c r="I416" i="41"/>
  <c r="F60" i="66"/>
  <c r="N60" i="66" s="1"/>
  <c r="P93" i="66"/>
  <c r="S93" i="66"/>
  <c r="H415" i="41"/>
  <c r="F42" i="66"/>
  <c r="N42" i="66" s="1"/>
  <c r="S141" i="66"/>
  <c r="P141" i="66"/>
  <c r="S107" i="66"/>
  <c r="P107" i="66"/>
  <c r="J405" i="41"/>
  <c r="F140" i="66"/>
  <c r="J437" i="41"/>
  <c r="I413" i="41"/>
  <c r="F284" i="66"/>
  <c r="P249" i="66" l="1"/>
  <c r="S249" i="66"/>
  <c r="C16" i="39"/>
  <c r="O16" i="39" s="1"/>
  <c r="K43" i="39"/>
  <c r="E143" i="38" s="1"/>
  <c r="C43" i="39"/>
  <c r="E92" i="38" s="1"/>
  <c r="J9" i="66" s="1"/>
  <c r="H456" i="58"/>
  <c r="E371" i="38" s="1"/>
  <c r="K153" i="66" s="1"/>
  <c r="S201" i="66"/>
  <c r="P201" i="66"/>
  <c r="I439" i="41"/>
  <c r="T11" i="66"/>
  <c r="C45" i="63"/>
  <c r="T155" i="66"/>
  <c r="E351" i="38"/>
  <c r="K27" i="66" s="1"/>
  <c r="H454" i="41"/>
  <c r="P13" i="39"/>
  <c r="Q13" i="39" s="1"/>
  <c r="O13" i="39"/>
  <c r="Y90" i="66"/>
  <c r="Y234" i="66"/>
  <c r="Z90" i="66"/>
  <c r="Z234" i="66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39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39" i="37"/>
  <c r="J27" i="66"/>
  <c r="Z282" i="66"/>
  <c r="Z138" i="66"/>
  <c r="Y138" i="66"/>
  <c r="Y282" i="66"/>
  <c r="J189" i="66"/>
  <c r="H437" i="58"/>
  <c r="R171" i="66"/>
  <c r="S171" i="66"/>
  <c r="P171" i="66"/>
  <c r="S105" i="66"/>
  <c r="P105" i="66"/>
  <c r="E353" i="38"/>
  <c r="K9" i="66" s="1"/>
  <c r="E350" i="38"/>
  <c r="K45" i="66" s="1"/>
  <c r="H453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37" i="37"/>
  <c r="J153" i="66" l="1"/>
  <c r="R153" i="66" s="1"/>
  <c r="P16" i="39"/>
  <c r="Q16" i="39" s="1"/>
  <c r="H456" i="41"/>
  <c r="H437" i="41"/>
  <c r="C36" i="63"/>
  <c r="T171" i="66"/>
  <c r="R189" i="66"/>
  <c r="S189" i="66"/>
  <c r="P189" i="66"/>
  <c r="P9" i="66"/>
  <c r="S9" i="66"/>
  <c r="R9" i="66"/>
  <c r="S45" i="66"/>
  <c r="P45" i="66"/>
  <c r="R45" i="66"/>
  <c r="S27" i="66"/>
  <c r="P27" i="66"/>
  <c r="R27" i="66"/>
  <c r="C9" i="63"/>
  <c r="H439" i="41"/>
  <c r="S153" i="66" l="1"/>
  <c r="T153" i="66" s="1"/>
  <c r="P153" i="66"/>
  <c r="T9" i="66"/>
  <c r="T27" i="66"/>
  <c r="T189" i="66"/>
  <c r="T45" i="66"/>
  <c r="H3" i="58" l="1"/>
  <c r="H3" i="37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H3" i="41" l="1"/>
  <c r="B6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R7" i="9"/>
  <c r="E44" i="22"/>
  <c r="D23" i="26"/>
  <c r="D31" i="26"/>
  <c r="D35" i="26"/>
  <c r="D39" i="26"/>
  <c r="D38" i="26"/>
  <c r="D30" i="26"/>
  <c r="D34" i="26"/>
  <c r="E19" i="22"/>
  <c r="D26" i="26"/>
  <c r="M7" i="9"/>
  <c r="D22" i="26"/>
  <c r="D27" i="26"/>
  <c r="H39" i="26"/>
  <c r="I224" i="35" s="1"/>
  <c r="H26" i="26"/>
  <c r="H30" i="26"/>
  <c r="H27" i="26"/>
  <c r="I212" i="35" s="1"/>
  <c r="H31" i="26"/>
  <c r="I216" i="35" s="1"/>
  <c r="H35" i="26"/>
  <c r="I220" i="35" s="1"/>
  <c r="H23" i="26"/>
  <c r="I208" i="35" s="1"/>
  <c r="H34" i="26"/>
  <c r="H22" i="26"/>
  <c r="H38" i="26"/>
  <c r="E79" i="22"/>
  <c r="G39" i="26"/>
  <c r="G27" i="26"/>
  <c r="G31" i="26"/>
  <c r="G30" i="26"/>
  <c r="G26" i="26"/>
  <c r="G22" i="26"/>
  <c r="G23" i="26"/>
  <c r="E64" i="22"/>
  <c r="G34" i="26"/>
  <c r="G35" i="26"/>
  <c r="G38" i="26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C15" i="39" l="1"/>
  <c r="P15" i="39" s="1"/>
  <c r="C6" i="39"/>
  <c r="E30" i="26"/>
  <c r="E32" i="22"/>
  <c r="E34" i="26"/>
  <c r="I198" i="35" s="1"/>
  <c r="R40" i="9"/>
  <c r="E38" i="26"/>
  <c r="E22" i="26"/>
  <c r="O40" i="9"/>
  <c r="O30" i="9"/>
  <c r="E35" i="26"/>
  <c r="I199" i="35" s="1"/>
  <c r="E39" i="22"/>
  <c r="P9" i="9"/>
  <c r="K42" i="39"/>
  <c r="E140" i="38" s="1"/>
  <c r="C42" i="39"/>
  <c r="E89" i="38" s="1"/>
  <c r="O15" i="39"/>
  <c r="AA3" i="39"/>
  <c r="Q7" i="9"/>
  <c r="E39" i="26"/>
  <c r="I203" i="35" s="1"/>
  <c r="E23" i="26"/>
  <c r="I187" i="35" s="1"/>
  <c r="E27" i="26"/>
  <c r="I191" i="35" s="1"/>
  <c r="E26" i="26"/>
  <c r="I190" i="35" s="1"/>
  <c r="E31" i="26"/>
  <c r="I195" i="35" s="1"/>
  <c r="R30" i="9"/>
  <c r="N30" i="9"/>
  <c r="K10" i="9"/>
  <c r="H24" i="26"/>
  <c r="I209" i="35" s="1"/>
  <c r="H207" i="35"/>
  <c r="F49" i="26"/>
  <c r="I207" i="35"/>
  <c r="E40" i="26"/>
  <c r="I204" i="35" s="1"/>
  <c r="H202" i="35"/>
  <c r="C53" i="26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I223" i="35"/>
  <c r="H28" i="26"/>
  <c r="I213" i="35" s="1"/>
  <c r="H211" i="35"/>
  <c r="F50" i="26"/>
  <c r="I219" i="35"/>
  <c r="E29" i="26"/>
  <c r="I193" i="35" s="1"/>
  <c r="H191" i="35"/>
  <c r="E41" i="26"/>
  <c r="I205" i="35" s="1"/>
  <c r="H203" i="35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I211" i="35"/>
  <c r="H32" i="26"/>
  <c r="I217" i="35" s="1"/>
  <c r="H215" i="35"/>
  <c r="F51" i="26"/>
  <c r="E24" i="26"/>
  <c r="I188" i="35" s="1"/>
  <c r="H186" i="35"/>
  <c r="C49" i="26"/>
  <c r="E37" i="26"/>
  <c r="I201" i="35" s="1"/>
  <c r="H199" i="35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H33" i="26"/>
  <c r="I218" i="35" s="1"/>
  <c r="H216" i="35"/>
  <c r="E33" i="26"/>
  <c r="I197" i="35" s="1"/>
  <c r="H195" i="35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H37" i="26"/>
  <c r="I222" i="35" s="1"/>
  <c r="H220" i="35"/>
  <c r="H29" i="26"/>
  <c r="I214" i="35" s="1"/>
  <c r="H212" i="35"/>
  <c r="E28" i="26"/>
  <c r="I192" i="35" s="1"/>
  <c r="H190" i="35"/>
  <c r="C50" i="26"/>
  <c r="E25" i="26"/>
  <c r="I189" i="35" s="1"/>
  <c r="H187" i="35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I186" i="35"/>
  <c r="I202" i="35"/>
  <c r="H40" i="26"/>
  <c r="I225" i="35" s="1"/>
  <c r="F53" i="26"/>
  <c r="H223" i="35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H36" i="26"/>
  <c r="I221" i="35" s="1"/>
  <c r="F52" i="26"/>
  <c r="H219" i="35"/>
  <c r="H41" i="26"/>
  <c r="I226" i="35" s="1"/>
  <c r="H224" i="35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I215" i="35"/>
  <c r="E36" i="26"/>
  <c r="I200" i="35" s="1"/>
  <c r="H198" i="35"/>
  <c r="C52" i="26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H25" i="26"/>
  <c r="I210" i="35" s="1"/>
  <c r="H208" i="35"/>
  <c r="E32" i="26"/>
  <c r="I196" i="35" s="1"/>
  <c r="C51" i="26"/>
  <c r="H194" i="35"/>
  <c r="E30" i="22"/>
  <c r="O8" i="9"/>
  <c r="O10" i="9" s="1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I194" i="35"/>
  <c r="D26" i="17" l="1"/>
  <c r="D24" i="17"/>
  <c r="D28" i="17" s="1"/>
  <c r="E27" i="17"/>
  <c r="E25" i="17"/>
  <c r="D27" i="17"/>
  <c r="D25" i="17"/>
  <c r="E26" i="17"/>
  <c r="E24" i="17"/>
  <c r="D6" i="39"/>
  <c r="L42" i="39"/>
  <c r="E157" i="38" s="1"/>
  <c r="J236" i="66" s="1"/>
  <c r="D42" i="39"/>
  <c r="E106" i="38" s="1"/>
  <c r="J92" i="66" s="1"/>
  <c r="D15" i="39"/>
  <c r="AB3" i="39" s="1"/>
  <c r="Q10" i="9"/>
  <c r="E28" i="17"/>
  <c r="D53" i="26"/>
  <c r="D50" i="26"/>
  <c r="D51" i="26"/>
  <c r="G51" i="26"/>
  <c r="Q15" i="39"/>
  <c r="J44" i="66"/>
  <c r="J188" i="66"/>
  <c r="D49" i="2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G53" i="26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E18" i="22"/>
  <c r="M30" i="9"/>
  <c r="I431" i="18"/>
  <c r="H431" i="18"/>
  <c r="D52" i="26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G49" i="26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52" i="26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G50" i="26"/>
  <c r="I176" i="18"/>
  <c r="H176" i="18"/>
  <c r="I181" i="18"/>
  <c r="H181" i="18"/>
  <c r="I175" i="18"/>
  <c r="H175" i="18"/>
  <c r="I131" i="18"/>
  <c r="H131" i="18"/>
  <c r="H133" i="18"/>
  <c r="I133" i="18"/>
  <c r="N92" i="66" l="1"/>
  <c r="F15" i="39"/>
  <c r="S92" i="66"/>
  <c r="P92" i="66"/>
  <c r="N236" i="66"/>
  <c r="O236" i="66" s="1"/>
  <c r="Q236" i="66" s="1"/>
  <c r="R236" i="66" s="1"/>
  <c r="T236" i="66" s="1"/>
  <c r="S236" i="66"/>
  <c r="P236" i="66"/>
  <c r="E42" i="39"/>
  <c r="E123" i="38" s="1"/>
  <c r="J140" i="66" s="1"/>
  <c r="M42" i="39"/>
  <c r="E174" i="38" s="1"/>
  <c r="J284" i="66" s="1"/>
  <c r="E15" i="39"/>
  <c r="AC3" i="39" s="1"/>
  <c r="E48" i="17"/>
  <c r="E47" i="17" a="1"/>
  <c r="E47" i="17" s="1"/>
  <c r="D48" i="17"/>
  <c r="D47" i="17" a="1"/>
  <c r="D47" i="17" s="1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Y92" i="66" l="1"/>
  <c r="Y236" i="66"/>
  <c r="O92" i="66"/>
  <c r="Q92" i="66" s="1"/>
  <c r="R92" i="66" s="1"/>
  <c r="T92" i="66" s="1"/>
  <c r="Z92" i="66"/>
  <c r="Z236" i="66"/>
  <c r="N284" i="66"/>
  <c r="O284" i="66" s="1"/>
  <c r="Q284" i="66" s="1"/>
  <c r="R284" i="66" s="1"/>
  <c r="T284" i="66" s="1"/>
  <c r="P284" i="66"/>
  <c r="S284" i="66"/>
  <c r="N140" i="66"/>
  <c r="P140" i="66"/>
  <c r="S140" i="66"/>
  <c r="G15" i="39"/>
  <c r="O33" i="20"/>
  <c r="O34" i="20" s="1"/>
  <c r="O35" i="20" s="1"/>
  <c r="O36" i="20" s="1"/>
  <c r="O37" i="20" s="1"/>
  <c r="O38" i="20" s="1"/>
  <c r="O39" i="20" s="1"/>
  <c r="O40" i="20" s="1"/>
  <c r="O41" i="20" s="1"/>
  <c r="O42" i="20" s="1"/>
  <c r="O43" i="20" s="1"/>
  <c r="O44" i="20" s="1"/>
  <c r="O45" i="20" s="1"/>
  <c r="O46" i="20" s="1"/>
  <c r="F33" i="20"/>
  <c r="F34" i="20" s="1"/>
  <c r="F35" i="20" s="1"/>
  <c r="F36" i="20" s="1"/>
  <c r="F37" i="20" s="1"/>
  <c r="F38" i="20" s="1"/>
  <c r="F39" i="20" s="1"/>
  <c r="F40" i="20" s="1"/>
  <c r="F41" i="20" s="1"/>
  <c r="F42" i="20" s="1"/>
  <c r="F43" i="20" s="1"/>
  <c r="F44" i="20" s="1"/>
  <c r="F45" i="20" s="1"/>
  <c r="F46" i="20" s="1"/>
  <c r="O6" i="20"/>
  <c r="O7" i="20"/>
  <c r="F6" i="20"/>
  <c r="F8" i="20" s="1"/>
  <c r="F7" i="20"/>
  <c r="F9" i="20" s="1"/>
  <c r="R33" i="20"/>
  <c r="R34" i="20" s="1"/>
  <c r="R35" i="20" s="1"/>
  <c r="R36" i="20" s="1"/>
  <c r="R37" i="20" s="1"/>
  <c r="R38" i="20" s="1"/>
  <c r="R39" i="20" s="1"/>
  <c r="R40" i="20" s="1"/>
  <c r="R41" i="20" s="1"/>
  <c r="R42" i="20" s="1"/>
  <c r="R43" i="20" s="1"/>
  <c r="R44" i="20" s="1"/>
  <c r="R45" i="20" s="1"/>
  <c r="R46" i="20" s="1"/>
  <c r="I7" i="20"/>
  <c r="I9" i="20" s="1"/>
  <c r="R11" i="20" s="1"/>
  <c r="R6" i="20"/>
  <c r="I33" i="20"/>
  <c r="I34" i="20" s="1"/>
  <c r="I35" i="20" s="1"/>
  <c r="I36" i="20" s="1"/>
  <c r="I37" i="20" s="1"/>
  <c r="I38" i="20" s="1"/>
  <c r="I39" i="20" s="1"/>
  <c r="I40" i="20" s="1"/>
  <c r="I41" i="20" s="1"/>
  <c r="I42" i="20" s="1"/>
  <c r="I43" i="20" s="1"/>
  <c r="I44" i="20" s="1"/>
  <c r="I45" i="20" s="1"/>
  <c r="I46" i="20" s="1"/>
  <c r="I6" i="20"/>
  <c r="R8" i="20" s="1"/>
  <c r="R7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Y140" i="66" l="1"/>
  <c r="Z284" i="66"/>
  <c r="O140" i="66"/>
  <c r="Q140" i="66" s="1"/>
  <c r="R140" i="66" s="1"/>
  <c r="T140" i="66" s="1"/>
  <c r="Y284" i="66"/>
  <c r="Z140" i="66"/>
  <c r="R9" i="20"/>
  <c r="O8" i="20"/>
  <c r="F11" i="20"/>
  <c r="O11" i="20"/>
  <c r="O10" i="20"/>
  <c r="F10" i="20"/>
  <c r="I11" i="20"/>
  <c r="I8" i="20"/>
  <c r="O9" i="20"/>
  <c r="Q44" i="66"/>
  <c r="I10" i="20" l="1"/>
  <c r="R10" i="20"/>
  <c r="R13" i="20"/>
  <c r="I13" i="20"/>
  <c r="F12" i="20"/>
  <c r="O12" i="20"/>
  <c r="O13" i="20"/>
  <c r="F13" i="20"/>
  <c r="E466" i="58"/>
  <c r="E466" i="37"/>
  <c r="E466" i="41" s="1"/>
  <c r="E465" i="37"/>
  <c r="E465" i="41" s="1"/>
  <c r="E465" i="58"/>
  <c r="G466" i="37"/>
  <c r="G466" i="41" s="1"/>
  <c r="G466" i="58"/>
  <c r="G465" i="37"/>
  <c r="G465" i="41" s="1"/>
  <c r="G465" i="58"/>
  <c r="R15" i="20" l="1"/>
  <c r="I15" i="20"/>
  <c r="O15" i="20"/>
  <c r="F15" i="20"/>
  <c r="O14" i="20"/>
  <c r="F14" i="20"/>
  <c r="R12" i="20"/>
  <c r="I12" i="20"/>
  <c r="G473" i="58"/>
  <c r="G473" i="37"/>
  <c r="G473" i="41" s="1"/>
  <c r="E474" i="58"/>
  <c r="E474" i="37"/>
  <c r="E474" i="41" s="1"/>
  <c r="G474" i="58"/>
  <c r="G474" i="37"/>
  <c r="G474" i="41" s="1"/>
  <c r="E475" i="37"/>
  <c r="E475" i="41" s="1"/>
  <c r="E475" i="58"/>
  <c r="G475" i="58"/>
  <c r="G475" i="37"/>
  <c r="G475" i="41" s="1"/>
  <c r="E473" i="58"/>
  <c r="E473" i="37"/>
  <c r="E473" i="41" s="1"/>
  <c r="O16" i="20" l="1"/>
  <c r="F16" i="20"/>
  <c r="O17" i="20"/>
  <c r="F17" i="20"/>
  <c r="I14" i="20"/>
  <c r="R14" i="20"/>
  <c r="I17" i="20"/>
  <c r="R17" i="20"/>
  <c r="G335" i="18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37" i="37"/>
  <c r="E437" i="41" s="1"/>
  <c r="E437" i="58"/>
  <c r="G439" i="37"/>
  <c r="G439" i="41" s="1"/>
  <c r="G439" i="58"/>
  <c r="E439" i="37"/>
  <c r="E439" i="41" s="1"/>
  <c r="E439" i="58"/>
  <c r="G437" i="37"/>
  <c r="G437" i="41" s="1"/>
  <c r="G437" i="58"/>
  <c r="I16" i="20" l="1"/>
  <c r="R16" i="20"/>
  <c r="O19" i="20"/>
  <c r="F19" i="20"/>
  <c r="I19" i="20"/>
  <c r="R19" i="20"/>
  <c r="F18" i="20"/>
  <c r="O18" i="20"/>
  <c r="H49" i="35" s="1" a="1"/>
  <c r="H49" i="35" s="1"/>
  <c r="G287" i="18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G69" i="18" a="1"/>
  <c r="G69" i="18" s="1"/>
  <c r="H57" i="35" a="1"/>
  <c r="H57" i="35" s="1"/>
  <c r="G62" i="18" a="1"/>
  <c r="G62" i="18" s="1"/>
  <c r="G61" i="18" a="1"/>
  <c r="G61" i="18" s="1"/>
  <c r="R47" i="20"/>
  <c r="I284" i="18"/>
  <c r="H284" i="18"/>
  <c r="H310" i="18"/>
  <c r="I310" i="18"/>
  <c r="G70" i="18" a="1"/>
  <c r="G70" i="18" s="1"/>
  <c r="H132" i="35" a="1"/>
  <c r="H132" i="35" s="1"/>
  <c r="H290" i="18"/>
  <c r="I290" i="18"/>
  <c r="I321" i="18"/>
  <c r="H321" i="18"/>
  <c r="G63" i="18" a="1"/>
  <c r="G63" i="18" s="1"/>
  <c r="G68" i="18" a="1"/>
  <c r="G68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06" i="58"/>
  <c r="E406" i="37"/>
  <c r="E406" i="41" s="1"/>
  <c r="G406" i="58"/>
  <c r="G406" i="37"/>
  <c r="G406" i="41" s="1"/>
  <c r="H413" i="37"/>
  <c r="H413" i="58"/>
  <c r="G6" i="58"/>
  <c r="G6" i="37"/>
  <c r="G6" i="41" s="1"/>
  <c r="H417" i="58"/>
  <c r="H417" i="37"/>
  <c r="H409" i="58"/>
  <c r="H409" i="37"/>
  <c r="G64" i="18" l="1" a="1"/>
  <c r="G64" i="18" s="1"/>
  <c r="G16" i="18" a="1"/>
  <c r="G16" i="18" s="1"/>
  <c r="H6" i="35" a="1"/>
  <c r="H6" i="35" s="1"/>
  <c r="H55" i="35" a="1"/>
  <c r="H55" i="35" s="1"/>
  <c r="H15" i="35" a="1"/>
  <c r="H15" i="35" s="1"/>
  <c r="O20" i="20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R18" i="20"/>
  <c r="G82" i="18" s="1" a="1"/>
  <c r="G82" i="18" s="1"/>
  <c r="I18" i="20"/>
  <c r="I7" i="35" s="1" a="1"/>
  <c r="I7" i="35" s="1"/>
  <c r="G29" i="18" a="1"/>
  <c r="G29" i="18" s="1"/>
  <c r="I287" i="18"/>
  <c r="J287" i="18" s="1"/>
  <c r="H280" i="18"/>
  <c r="J280" i="18" s="1"/>
  <c r="H323" i="18"/>
  <c r="J323" i="18" s="1"/>
  <c r="I28" i="18"/>
  <c r="F28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H68" i="18"/>
  <c r="I68" i="18"/>
  <c r="F323" i="18"/>
  <c r="I58" i="18"/>
  <c r="J335" i="18"/>
  <c r="F335" i="18"/>
  <c r="F280" i="18"/>
  <c r="F279" i="18"/>
  <c r="I61" i="18"/>
  <c r="H61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70" i="18"/>
  <c r="H70" i="18"/>
  <c r="H16" i="18"/>
  <c r="I16" i="18"/>
  <c r="I332" i="18"/>
  <c r="H332" i="18"/>
  <c r="F268" i="18"/>
  <c r="J268" i="18"/>
  <c r="H281" i="18"/>
  <c r="I281" i="18"/>
  <c r="H69" i="18"/>
  <c r="I69" i="18"/>
  <c r="I331" i="18"/>
  <c r="H331" i="18"/>
  <c r="J314" i="18"/>
  <c r="F314" i="18"/>
  <c r="H417" i="41"/>
  <c r="H409" i="41"/>
  <c r="H413" i="41"/>
  <c r="I25" i="18" l="1"/>
  <c r="J25" i="18" s="1"/>
  <c r="I59" i="18"/>
  <c r="I27" i="18"/>
  <c r="J27" i="18" s="1"/>
  <c r="I71" i="18"/>
  <c r="J71" i="18" s="1"/>
  <c r="I60" i="18"/>
  <c r="I18" i="18"/>
  <c r="J18" i="18" s="1"/>
  <c r="F288" i="18"/>
  <c r="J328" i="18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18" i="18"/>
  <c r="F327" i="18"/>
  <c r="J28" i="18"/>
  <c r="J324" i="18"/>
  <c r="F275" i="18"/>
  <c r="F71" i="18"/>
  <c r="F337" i="18"/>
  <c r="F25" i="18"/>
  <c r="F332" i="18"/>
  <c r="J332" i="18"/>
  <c r="J291" i="18"/>
  <c r="F291" i="18"/>
  <c r="F64" i="18"/>
  <c r="J64" i="18"/>
  <c r="F27" i="18"/>
  <c r="F316" i="18"/>
  <c r="J316" i="18"/>
  <c r="F68" i="18"/>
  <c r="J68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J16" i="18"/>
  <c r="F16" i="18"/>
  <c r="F59" i="18"/>
  <c r="J59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J58" i="18"/>
  <c r="F58" i="18"/>
  <c r="F318" i="18"/>
  <c r="J318" i="18"/>
  <c r="J70" i="18"/>
  <c r="F70" i="18"/>
  <c r="J334" i="18"/>
  <c r="F334" i="18"/>
  <c r="F331" i="18"/>
  <c r="J331" i="18"/>
  <c r="F60" i="18"/>
  <c r="J60" i="18"/>
  <c r="F322" i="18"/>
  <c r="J322" i="18"/>
  <c r="I429" i="41"/>
  <c r="F17" i="18" l="1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62" i="58"/>
  <c r="G162" i="37"/>
  <c r="G162" i="41" s="1"/>
  <c r="G270" i="58"/>
  <c r="G270" i="37"/>
  <c r="G270" i="41" s="1"/>
  <c r="G220" i="58"/>
  <c r="G220" i="37"/>
  <c r="G220" i="41" s="1"/>
  <c r="G176" i="58"/>
  <c r="G176" i="37"/>
  <c r="G176" i="41" s="1"/>
  <c r="E446" i="37"/>
  <c r="E446" i="41" s="1"/>
  <c r="E446" i="58"/>
  <c r="E377" i="37"/>
  <c r="E377" i="41" s="1"/>
  <c r="E377" i="58"/>
  <c r="E305" i="37"/>
  <c r="E305" i="41" s="1"/>
  <c r="E305" i="58"/>
  <c r="E241" i="58"/>
  <c r="E241" i="37"/>
  <c r="E241" i="41" s="1"/>
  <c r="E195" i="58"/>
  <c r="E195" i="37"/>
  <c r="E195" i="41" s="1"/>
  <c r="E75" i="58"/>
  <c r="E75" i="37"/>
  <c r="E75" i="41" s="1"/>
  <c r="G91" i="37"/>
  <c r="G91" i="41" s="1"/>
  <c r="G91" i="58"/>
  <c r="G167" i="58"/>
  <c r="G167" i="37"/>
  <c r="G167" i="41" s="1"/>
  <c r="G414" i="58"/>
  <c r="G414" i="37"/>
  <c r="G414" i="41" s="1"/>
  <c r="G432" i="37"/>
  <c r="G432" i="41" s="1"/>
  <c r="G432" i="58"/>
  <c r="G459" i="37"/>
  <c r="G459" i="41" s="1"/>
  <c r="G459" i="58"/>
  <c r="G389" i="58"/>
  <c r="G389" i="37"/>
  <c r="G389" i="41" s="1"/>
  <c r="G365" i="37"/>
  <c r="G365" i="41" s="1"/>
  <c r="G365" i="58"/>
  <c r="G339" i="37"/>
  <c r="G339" i="41" s="1"/>
  <c r="G339" i="58"/>
  <c r="G318" i="58"/>
  <c r="G318" i="37"/>
  <c r="G318" i="41" s="1"/>
  <c r="G297" i="37"/>
  <c r="G297" i="41" s="1"/>
  <c r="G297" i="58"/>
  <c r="G265" i="58"/>
  <c r="G265" i="37"/>
  <c r="G265" i="41" s="1"/>
  <c r="G257" i="37"/>
  <c r="G257" i="41" s="1"/>
  <c r="G257" i="58"/>
  <c r="G233" i="58"/>
  <c r="G233" i="37"/>
  <c r="G233" i="41" s="1"/>
  <c r="G203" i="37"/>
  <c r="G203" i="41" s="1"/>
  <c r="G203" i="58"/>
  <c r="G171" i="58"/>
  <c r="G171" i="37"/>
  <c r="G171" i="41" s="1"/>
  <c r="G140" i="37"/>
  <c r="G140" i="41" s="1"/>
  <c r="G140" i="58"/>
  <c r="E450" i="58"/>
  <c r="E450" i="37"/>
  <c r="E450" i="41" s="1"/>
  <c r="E413" i="58"/>
  <c r="E413" i="37"/>
  <c r="E413" i="41" s="1"/>
  <c r="E388" i="37"/>
  <c r="E388" i="41" s="1"/>
  <c r="E388" i="58"/>
  <c r="E364" i="58"/>
  <c r="E364" i="37"/>
  <c r="E364" i="41" s="1"/>
  <c r="E332" i="37"/>
  <c r="E332" i="41" s="1"/>
  <c r="E332" i="58"/>
  <c r="E308" i="58"/>
  <c r="E308" i="37"/>
  <c r="E308" i="41" s="1"/>
  <c r="E276" i="37"/>
  <c r="E276" i="41" s="1"/>
  <c r="E276" i="58"/>
  <c r="E252" i="37"/>
  <c r="E252" i="41" s="1"/>
  <c r="E252" i="58"/>
  <c r="E228" i="58"/>
  <c r="E228" i="37"/>
  <c r="E228" i="41" s="1"/>
  <c r="E198" i="58"/>
  <c r="E198" i="37"/>
  <c r="E198" i="41" s="1"/>
  <c r="E174" i="58"/>
  <c r="E174" i="37"/>
  <c r="E174" i="41" s="1"/>
  <c r="E150" i="37"/>
  <c r="E150" i="41" s="1"/>
  <c r="E150" i="58"/>
  <c r="E126" i="58"/>
  <c r="E126" i="37"/>
  <c r="E126" i="41" s="1"/>
  <c r="E110" i="58"/>
  <c r="E110" i="37"/>
  <c r="E110" i="41" s="1"/>
  <c r="E78" i="58"/>
  <c r="E78" i="37"/>
  <c r="E78" i="41" s="1"/>
  <c r="E8" i="58"/>
  <c r="E8" i="37"/>
  <c r="E8" i="41" s="1"/>
  <c r="E64" i="37"/>
  <c r="E64" i="41" s="1"/>
  <c r="E64" i="58"/>
  <c r="E60" i="37"/>
  <c r="E60" i="41" s="1"/>
  <c r="E60" i="58"/>
  <c r="E56" i="37"/>
  <c r="E56" i="41" s="1"/>
  <c r="E56" i="58"/>
  <c r="E52" i="58"/>
  <c r="E52" i="37"/>
  <c r="E52" i="41" s="1"/>
  <c r="E48" i="37"/>
  <c r="E48" i="41" s="1"/>
  <c r="E48" i="58"/>
  <c r="E44" i="58"/>
  <c r="E44" i="37"/>
  <c r="E44" i="41" s="1"/>
  <c r="E40" i="37"/>
  <c r="E40" i="41" s="1"/>
  <c r="E40" i="58"/>
  <c r="E36" i="58"/>
  <c r="E36" i="37"/>
  <c r="E36" i="41" s="1"/>
  <c r="E32" i="58"/>
  <c r="E32" i="37"/>
  <c r="E32" i="41" s="1"/>
  <c r="E28" i="37"/>
  <c r="E28" i="41" s="1"/>
  <c r="E28" i="58"/>
  <c r="E24" i="58"/>
  <c r="E24" i="37"/>
  <c r="E24" i="41" s="1"/>
  <c r="E20" i="37"/>
  <c r="E20" i="41" s="1"/>
  <c r="E20" i="58"/>
  <c r="E16" i="37"/>
  <c r="E16" i="41" s="1"/>
  <c r="E16" i="58"/>
  <c r="E12" i="37"/>
  <c r="E12" i="41" s="1"/>
  <c r="E12" i="58"/>
  <c r="G469" i="37"/>
  <c r="G469" i="41" s="1"/>
  <c r="G469" i="58"/>
  <c r="G449" i="58"/>
  <c r="G449" i="37"/>
  <c r="G449" i="41" s="1"/>
  <c r="E217" i="58"/>
  <c r="E217" i="37"/>
  <c r="E217" i="41" s="1"/>
  <c r="E472" i="37"/>
  <c r="E472" i="41" s="1"/>
  <c r="E472" i="58"/>
  <c r="I451" i="37"/>
  <c r="I451" i="58"/>
  <c r="J451" i="58"/>
  <c r="J451" i="37"/>
  <c r="E232" i="38"/>
  <c r="E277" i="38"/>
  <c r="E224" i="38"/>
  <c r="G107" i="66" s="1"/>
  <c r="E269" i="38"/>
  <c r="G251" i="66" s="1"/>
  <c r="H438" i="58"/>
  <c r="H438" i="37"/>
  <c r="E242" i="38"/>
  <c r="E234" i="38"/>
  <c r="I440" i="37"/>
  <c r="I440" i="58"/>
  <c r="E261" i="38"/>
  <c r="E216" i="38"/>
  <c r="E255" i="38"/>
  <c r="G201" i="66" s="1"/>
  <c r="E210" i="38"/>
  <c r="J163" i="37"/>
  <c r="J163" i="58"/>
  <c r="G86" i="58"/>
  <c r="G86" i="37"/>
  <c r="G86" i="41" s="1"/>
  <c r="G341" i="37"/>
  <c r="G341" i="41" s="1"/>
  <c r="G341" i="58"/>
  <c r="G435" i="58"/>
  <c r="G435" i="37"/>
  <c r="G435" i="41" s="1"/>
  <c r="G362" i="37"/>
  <c r="G362" i="41" s="1"/>
  <c r="G362" i="58"/>
  <c r="G294" i="58"/>
  <c r="G294" i="37"/>
  <c r="G294" i="41" s="1"/>
  <c r="G238" i="58"/>
  <c r="G238" i="37"/>
  <c r="G238" i="41" s="1"/>
  <c r="G184" i="58"/>
  <c r="G184" i="37"/>
  <c r="G184" i="41" s="1"/>
  <c r="E436" i="37"/>
  <c r="E436" i="41" s="1"/>
  <c r="E436" i="58"/>
  <c r="E401" i="58"/>
  <c r="E401" i="37"/>
  <c r="E401" i="41" s="1"/>
  <c r="E353" i="37"/>
  <c r="E353" i="41" s="1"/>
  <c r="E353" i="58"/>
  <c r="E313" i="37"/>
  <c r="E313" i="41" s="1"/>
  <c r="E313" i="58"/>
  <c r="E249" i="37"/>
  <c r="E249" i="41" s="1"/>
  <c r="E249" i="58"/>
  <c r="E203" i="58"/>
  <c r="E203" i="37"/>
  <c r="E203" i="41" s="1"/>
  <c r="E115" i="37"/>
  <c r="E115" i="41" s="1"/>
  <c r="E115" i="58"/>
  <c r="G3" i="37"/>
  <c r="G3" i="41" s="1"/>
  <c r="G3" i="58"/>
  <c r="G99" i="58"/>
  <c r="G99" i="37"/>
  <c r="G99" i="41" s="1"/>
  <c r="G107" i="58"/>
  <c r="G107" i="37"/>
  <c r="G107" i="41" s="1"/>
  <c r="G115" i="37"/>
  <c r="G115" i="41" s="1"/>
  <c r="G115" i="58"/>
  <c r="G405" i="37"/>
  <c r="G405" i="41" s="1"/>
  <c r="G405" i="58"/>
  <c r="G442" i="37"/>
  <c r="G442" i="41" s="1"/>
  <c r="G442" i="58"/>
  <c r="G397" i="37"/>
  <c r="G397" i="41" s="1"/>
  <c r="G397" i="58"/>
  <c r="G373" i="58"/>
  <c r="G373" i="37"/>
  <c r="G373" i="41" s="1"/>
  <c r="G349" i="37"/>
  <c r="G349" i="41" s="1"/>
  <c r="G349" i="58"/>
  <c r="G273" i="58"/>
  <c r="G273" i="37"/>
  <c r="G273" i="41" s="1"/>
  <c r="G249" i="37"/>
  <c r="G249" i="41" s="1"/>
  <c r="G249" i="58"/>
  <c r="G214" i="58"/>
  <c r="G214" i="37"/>
  <c r="G214" i="41" s="1"/>
  <c r="G187" i="58"/>
  <c r="G187" i="37"/>
  <c r="G187" i="41" s="1"/>
  <c r="G157" i="58"/>
  <c r="G157" i="37"/>
  <c r="G157" i="41" s="1"/>
  <c r="G130" i="37"/>
  <c r="G130" i="41" s="1"/>
  <c r="G130" i="58"/>
  <c r="E441" i="37"/>
  <c r="E441" i="41" s="1"/>
  <c r="E441" i="58"/>
  <c r="E404" i="37"/>
  <c r="E404" i="41" s="1"/>
  <c r="E404" i="58"/>
  <c r="E380" i="58"/>
  <c r="E380" i="37"/>
  <c r="E380" i="41" s="1"/>
  <c r="E356" i="37"/>
  <c r="E356" i="41" s="1"/>
  <c r="E356" i="58"/>
  <c r="E340" i="58"/>
  <c r="E340" i="37"/>
  <c r="E340" i="41" s="1"/>
  <c r="E316" i="37"/>
  <c r="E316" i="41" s="1"/>
  <c r="E316" i="58"/>
  <c r="E292" i="37"/>
  <c r="E292" i="41" s="1"/>
  <c r="E292" i="58"/>
  <c r="E268" i="58"/>
  <c r="E268" i="37"/>
  <c r="E268" i="41" s="1"/>
  <c r="E244" i="37"/>
  <c r="E244" i="41" s="1"/>
  <c r="E244" i="58"/>
  <c r="E218" i="37"/>
  <c r="E218" i="41" s="1"/>
  <c r="E218" i="58"/>
  <c r="E190" i="37"/>
  <c r="E190" i="41" s="1"/>
  <c r="E190" i="58"/>
  <c r="E166" i="37"/>
  <c r="E166" i="41" s="1"/>
  <c r="E166" i="58"/>
  <c r="E142" i="58"/>
  <c r="E142" i="37"/>
  <c r="E142" i="41" s="1"/>
  <c r="E118" i="58"/>
  <c r="E118" i="37"/>
  <c r="E118" i="41" s="1"/>
  <c r="E86" i="58"/>
  <c r="E86" i="37"/>
  <c r="E86" i="41" s="1"/>
  <c r="E68" i="58"/>
  <c r="E68" i="37"/>
  <c r="E68" i="41" s="1"/>
  <c r="G4" i="37"/>
  <c r="G4" i="41" s="1"/>
  <c r="G4" i="58"/>
  <c r="G84" i="58"/>
  <c r="G84" i="37"/>
  <c r="G84" i="41" s="1"/>
  <c r="G108" i="58"/>
  <c r="G108" i="37"/>
  <c r="G108" i="41" s="1"/>
  <c r="G137" i="58"/>
  <c r="G137" i="37"/>
  <c r="G137" i="41" s="1"/>
  <c r="G333" i="58"/>
  <c r="G333" i="37"/>
  <c r="G333" i="41" s="1"/>
  <c r="G415" i="58"/>
  <c r="G415" i="37"/>
  <c r="G415" i="41" s="1"/>
  <c r="G423" i="37"/>
  <c r="G423" i="41" s="1"/>
  <c r="G423" i="58"/>
  <c r="G433" i="58"/>
  <c r="G433" i="37"/>
  <c r="G433" i="41" s="1"/>
  <c r="G443" i="37"/>
  <c r="G443" i="41" s="1"/>
  <c r="G443" i="58"/>
  <c r="G452" i="58"/>
  <c r="G452" i="37"/>
  <c r="G452" i="41" s="1"/>
  <c r="G460" i="37"/>
  <c r="G460" i="41" s="1"/>
  <c r="G460" i="58"/>
  <c r="G396" i="37"/>
  <c r="G396" i="41" s="1"/>
  <c r="G396" i="58"/>
  <c r="G388" i="37"/>
  <c r="G388" i="41" s="1"/>
  <c r="G388" i="58"/>
  <c r="G380" i="37"/>
  <c r="G380" i="41" s="1"/>
  <c r="G380" i="58"/>
  <c r="G372" i="37"/>
  <c r="G372" i="41" s="1"/>
  <c r="G372" i="58"/>
  <c r="G364" i="58"/>
  <c r="G364" i="37"/>
  <c r="G364" i="41" s="1"/>
  <c r="G356" i="58"/>
  <c r="G356" i="37"/>
  <c r="G356" i="41" s="1"/>
  <c r="G348" i="37"/>
  <c r="G348" i="41" s="1"/>
  <c r="G348" i="58"/>
  <c r="G338" i="37"/>
  <c r="G338" i="41" s="1"/>
  <c r="G338" i="58"/>
  <c r="G327" i="58"/>
  <c r="G327" i="37"/>
  <c r="G327" i="41" s="1"/>
  <c r="G316" i="58"/>
  <c r="G316" i="37"/>
  <c r="G316" i="41" s="1"/>
  <c r="G306" i="58"/>
  <c r="G306" i="37"/>
  <c r="G306" i="41" s="1"/>
  <c r="G296" i="37"/>
  <c r="G296" i="41" s="1"/>
  <c r="G296" i="58"/>
  <c r="G288" i="58"/>
  <c r="G288" i="37"/>
  <c r="G288" i="41" s="1"/>
  <c r="G280" i="37"/>
  <c r="G280" i="41" s="1"/>
  <c r="G280" i="58"/>
  <c r="G272" i="58"/>
  <c r="G272" i="37"/>
  <c r="G272" i="41" s="1"/>
  <c r="G264" i="58"/>
  <c r="G264" i="37"/>
  <c r="G264" i="41" s="1"/>
  <c r="G256" i="37"/>
  <c r="G256" i="41" s="1"/>
  <c r="G256" i="58"/>
  <c r="G248" i="58"/>
  <c r="G248" i="37"/>
  <c r="G248" i="41" s="1"/>
  <c r="G240" i="37"/>
  <c r="G240" i="41" s="1"/>
  <c r="G240" i="58"/>
  <c r="G232" i="37"/>
  <c r="G232" i="41" s="1"/>
  <c r="G232" i="58"/>
  <c r="G223" i="37"/>
  <c r="G223" i="41" s="1"/>
  <c r="G223" i="58"/>
  <c r="G212" i="37"/>
  <c r="G212" i="41" s="1"/>
  <c r="G212" i="58"/>
  <c r="G202" i="58"/>
  <c r="G202" i="37"/>
  <c r="G202" i="41" s="1"/>
  <c r="G194" i="58"/>
  <c r="G194" i="37"/>
  <c r="G194" i="41" s="1"/>
  <c r="G186" i="37"/>
  <c r="G186" i="41" s="1"/>
  <c r="G186" i="58"/>
  <c r="G178" i="58"/>
  <c r="G178" i="37"/>
  <c r="G178" i="41" s="1"/>
  <c r="G170" i="58"/>
  <c r="G170" i="37"/>
  <c r="G170" i="41" s="1"/>
  <c r="G156" i="58"/>
  <c r="G156" i="37"/>
  <c r="G156" i="41" s="1"/>
  <c r="G148" i="58"/>
  <c r="G148" i="37"/>
  <c r="G148" i="41" s="1"/>
  <c r="G139" i="37"/>
  <c r="G139" i="41" s="1"/>
  <c r="G139" i="58"/>
  <c r="G128" i="58"/>
  <c r="G128" i="37"/>
  <c r="G128" i="41" s="1"/>
  <c r="E467" i="37"/>
  <c r="E467" i="41" s="1"/>
  <c r="E467" i="58"/>
  <c r="E457" i="58"/>
  <c r="E457" i="37"/>
  <c r="E457" i="41" s="1"/>
  <c r="E448" i="37"/>
  <c r="E448" i="41" s="1"/>
  <c r="E448" i="58"/>
  <c r="E440" i="58"/>
  <c r="E440" i="37"/>
  <c r="E440" i="41" s="1"/>
  <c r="E428" i="58"/>
  <c r="E428" i="37"/>
  <c r="E428" i="41" s="1"/>
  <c r="E420" i="58"/>
  <c r="E420" i="37"/>
  <c r="E420" i="41" s="1"/>
  <c r="E412" i="37"/>
  <c r="E412" i="41" s="1"/>
  <c r="E412" i="58"/>
  <c r="E403" i="58"/>
  <c r="E403" i="37"/>
  <c r="E403" i="41" s="1"/>
  <c r="E395" i="58"/>
  <c r="E395" i="37"/>
  <c r="E395" i="41" s="1"/>
  <c r="E387" i="58"/>
  <c r="E387" i="37"/>
  <c r="E387" i="41" s="1"/>
  <c r="E379" i="58"/>
  <c r="E379" i="37"/>
  <c r="E379" i="41" s="1"/>
  <c r="E371" i="37"/>
  <c r="E371" i="41" s="1"/>
  <c r="E371" i="58"/>
  <c r="E363" i="37"/>
  <c r="E363" i="41" s="1"/>
  <c r="E363" i="58"/>
  <c r="E355" i="37"/>
  <c r="E355" i="41" s="1"/>
  <c r="E355" i="58"/>
  <c r="E347" i="58"/>
  <c r="E347" i="37"/>
  <c r="E347" i="41" s="1"/>
  <c r="E339" i="58"/>
  <c r="E339" i="37"/>
  <c r="E339" i="41" s="1"/>
  <c r="E331" i="58"/>
  <c r="E331" i="37"/>
  <c r="E331" i="41" s="1"/>
  <c r="E323" i="58"/>
  <c r="E323" i="37"/>
  <c r="E323" i="41" s="1"/>
  <c r="E315" i="37"/>
  <c r="E315" i="41" s="1"/>
  <c r="E315" i="58"/>
  <c r="E307" i="58"/>
  <c r="E307" i="37"/>
  <c r="E307" i="41" s="1"/>
  <c r="E299" i="37"/>
  <c r="E299" i="41" s="1"/>
  <c r="E299" i="58"/>
  <c r="E291" i="58"/>
  <c r="E291" i="37"/>
  <c r="E291" i="41" s="1"/>
  <c r="E283" i="58"/>
  <c r="E283" i="37"/>
  <c r="E283" i="41" s="1"/>
  <c r="E275" i="37"/>
  <c r="E275" i="41" s="1"/>
  <c r="E275" i="58"/>
  <c r="E267" i="37"/>
  <c r="E267" i="41" s="1"/>
  <c r="E267" i="58"/>
  <c r="E259" i="58"/>
  <c r="E259" i="37"/>
  <c r="E259" i="41" s="1"/>
  <c r="E251" i="37"/>
  <c r="E251" i="41" s="1"/>
  <c r="E251" i="58"/>
  <c r="E243" i="58"/>
  <c r="E243" i="37"/>
  <c r="E243" i="41" s="1"/>
  <c r="E235" i="58"/>
  <c r="E235" i="37"/>
  <c r="E235" i="41" s="1"/>
  <c r="E227" i="37"/>
  <c r="E227" i="41" s="1"/>
  <c r="E227" i="58"/>
  <c r="E216" i="58"/>
  <c r="E216" i="37"/>
  <c r="E216" i="41" s="1"/>
  <c r="E206" i="58"/>
  <c r="E206" i="37"/>
  <c r="E206" i="41" s="1"/>
  <c r="E197" i="37"/>
  <c r="E197" i="41" s="1"/>
  <c r="E197" i="58"/>
  <c r="E189" i="58"/>
  <c r="E189" i="37"/>
  <c r="E189" i="41" s="1"/>
  <c r="E181" i="37"/>
  <c r="E181" i="41" s="1"/>
  <c r="E181" i="58"/>
  <c r="E173" i="58"/>
  <c r="E173" i="37"/>
  <c r="E173" i="41" s="1"/>
  <c r="E165" i="37"/>
  <c r="E165" i="41" s="1"/>
  <c r="E165" i="58"/>
  <c r="E157" i="58"/>
  <c r="E157" i="37"/>
  <c r="E157" i="41" s="1"/>
  <c r="E149" i="58"/>
  <c r="E149" i="37"/>
  <c r="E149" i="41" s="1"/>
  <c r="E141" i="58"/>
  <c r="E141" i="37"/>
  <c r="E141" i="41" s="1"/>
  <c r="E133" i="58"/>
  <c r="E133" i="37"/>
  <c r="E133" i="41" s="1"/>
  <c r="E125" i="37"/>
  <c r="E125" i="41" s="1"/>
  <c r="E125" i="58"/>
  <c r="E117" i="58"/>
  <c r="E117" i="37"/>
  <c r="E117" i="41" s="1"/>
  <c r="E109" i="37"/>
  <c r="E109" i="41" s="1"/>
  <c r="E109" i="58"/>
  <c r="E101" i="37"/>
  <c r="E101" i="41" s="1"/>
  <c r="E101" i="58"/>
  <c r="E93" i="37"/>
  <c r="E93" i="41" s="1"/>
  <c r="E93" i="58"/>
  <c r="E85" i="37"/>
  <c r="E85" i="41" s="1"/>
  <c r="E85" i="58"/>
  <c r="E77" i="58"/>
  <c r="E77" i="37"/>
  <c r="E77" i="41" s="1"/>
  <c r="E7" i="37"/>
  <c r="E7" i="41" s="1"/>
  <c r="E7" i="58"/>
  <c r="G71" i="37"/>
  <c r="G71" i="41" s="1"/>
  <c r="G71" i="58"/>
  <c r="I71" i="58" s="1"/>
  <c r="G67" i="58"/>
  <c r="I67" i="58" s="1"/>
  <c r="G67" i="37"/>
  <c r="G67" i="41" s="1"/>
  <c r="G63" i="37"/>
  <c r="G63" i="41" s="1"/>
  <c r="G63" i="58"/>
  <c r="G59" i="37"/>
  <c r="G59" i="41" s="1"/>
  <c r="G59" i="58"/>
  <c r="H59" i="58" s="1"/>
  <c r="G55" i="58"/>
  <c r="H55" i="58" s="1"/>
  <c r="G55" i="37"/>
  <c r="G55" i="41" s="1"/>
  <c r="G51" i="58"/>
  <c r="G51" i="37"/>
  <c r="G51" i="41" s="1"/>
  <c r="G47" i="58"/>
  <c r="G47" i="37"/>
  <c r="G47" i="41" s="1"/>
  <c r="G43" i="37"/>
  <c r="G43" i="41" s="1"/>
  <c r="G43" i="58"/>
  <c r="H43" i="58" s="1"/>
  <c r="G39" i="58"/>
  <c r="H39" i="58" s="1"/>
  <c r="G39" i="37"/>
  <c r="G39" i="41" s="1"/>
  <c r="G35" i="58"/>
  <c r="H35" i="58" s="1"/>
  <c r="G35" i="37"/>
  <c r="G35" i="41" s="1"/>
  <c r="G31" i="58"/>
  <c r="J31" i="58" s="1"/>
  <c r="G31" i="37"/>
  <c r="G31" i="41" s="1"/>
  <c r="G27" i="37"/>
  <c r="G27" i="41" s="1"/>
  <c r="G27" i="58"/>
  <c r="H27" i="58" s="1"/>
  <c r="G23" i="58"/>
  <c r="H23" i="58" s="1"/>
  <c r="G23" i="37"/>
  <c r="G23" i="41" s="1"/>
  <c r="G19" i="58"/>
  <c r="I19" i="58" s="1"/>
  <c r="G19" i="37"/>
  <c r="G19" i="41" s="1"/>
  <c r="G15" i="58"/>
  <c r="G15" i="37"/>
  <c r="G11" i="37"/>
  <c r="G11" i="58"/>
  <c r="E469" i="37"/>
  <c r="E469" i="41" s="1"/>
  <c r="E469" i="58"/>
  <c r="E449" i="37"/>
  <c r="E449" i="41" s="1"/>
  <c r="E449" i="58"/>
  <c r="G205" i="37"/>
  <c r="G205" i="41" s="1"/>
  <c r="G205" i="58"/>
  <c r="E213" i="58"/>
  <c r="E213" i="37"/>
  <c r="E213" i="41" s="1"/>
  <c r="G472" i="37"/>
  <c r="G472" i="41" s="1"/>
  <c r="G472" i="58"/>
  <c r="I450" i="58"/>
  <c r="I450" i="37"/>
  <c r="J450" i="58"/>
  <c r="J450" i="37"/>
  <c r="E276" i="38"/>
  <c r="E231" i="38"/>
  <c r="E268" i="38"/>
  <c r="E223" i="38"/>
  <c r="H447" i="37"/>
  <c r="H447" i="58"/>
  <c r="H436" i="37"/>
  <c r="H436" i="58"/>
  <c r="E241" i="38"/>
  <c r="E233" i="38"/>
  <c r="I438" i="58"/>
  <c r="I438" i="37"/>
  <c r="E257" i="38"/>
  <c r="E212" i="38"/>
  <c r="H63" i="37"/>
  <c r="H63" i="58"/>
  <c r="H51" i="37"/>
  <c r="H51" i="58"/>
  <c r="H39" i="37"/>
  <c r="H15" i="58"/>
  <c r="G78" i="37"/>
  <c r="G78" i="41" s="1"/>
  <c r="G78" i="58"/>
  <c r="G309" i="37"/>
  <c r="G309" i="41" s="1"/>
  <c r="G309" i="58"/>
  <c r="G445" i="37"/>
  <c r="G445" i="41" s="1"/>
  <c r="G445" i="58"/>
  <c r="G386" i="58"/>
  <c r="G386" i="37"/>
  <c r="G386" i="41" s="1"/>
  <c r="G324" i="58"/>
  <c r="G324" i="37"/>
  <c r="G324" i="41" s="1"/>
  <c r="G262" i="58"/>
  <c r="G262" i="37"/>
  <c r="G262" i="41" s="1"/>
  <c r="G200" i="37"/>
  <c r="G200" i="41" s="1"/>
  <c r="G200" i="58"/>
  <c r="G146" i="37"/>
  <c r="G146" i="41" s="1"/>
  <c r="G146" i="58"/>
  <c r="E463" i="37"/>
  <c r="E463" i="41" s="1"/>
  <c r="E463" i="58"/>
  <c r="E393" i="37"/>
  <c r="E393" i="41" s="1"/>
  <c r="E393" i="58"/>
  <c r="E345" i="58"/>
  <c r="E345" i="37"/>
  <c r="E345" i="41" s="1"/>
  <c r="E273" i="37"/>
  <c r="E273" i="41" s="1"/>
  <c r="E273" i="58"/>
  <c r="E107" i="37"/>
  <c r="E107" i="41" s="1"/>
  <c r="E107" i="58"/>
  <c r="G75" i="58"/>
  <c r="G75" i="37"/>
  <c r="G75" i="41" s="1"/>
  <c r="G83" i="58"/>
  <c r="G83" i="37"/>
  <c r="G83" i="41" s="1"/>
  <c r="G133" i="37"/>
  <c r="G133" i="41" s="1"/>
  <c r="G133" i="58"/>
  <c r="G329" i="37"/>
  <c r="G329" i="41" s="1"/>
  <c r="G329" i="58"/>
  <c r="G422" i="37"/>
  <c r="G422" i="41" s="1"/>
  <c r="G422" i="58"/>
  <c r="G451" i="58"/>
  <c r="G451" i="37"/>
  <c r="G451" i="41" s="1"/>
  <c r="G381" i="58"/>
  <c r="G381" i="37"/>
  <c r="G381" i="41" s="1"/>
  <c r="G357" i="37"/>
  <c r="G357" i="41" s="1"/>
  <c r="G357" i="58"/>
  <c r="G328" i="58"/>
  <c r="G328" i="37"/>
  <c r="G328" i="41" s="1"/>
  <c r="G307" i="58"/>
  <c r="G307" i="37"/>
  <c r="G307" i="41" s="1"/>
  <c r="G289" i="37"/>
  <c r="G289" i="41" s="1"/>
  <c r="G289" i="58"/>
  <c r="G281" i="37"/>
  <c r="G281" i="41" s="1"/>
  <c r="G281" i="58"/>
  <c r="G241" i="58"/>
  <c r="G241" i="37"/>
  <c r="G241" i="41" s="1"/>
  <c r="G224" i="58"/>
  <c r="G224" i="37"/>
  <c r="G224" i="41" s="1"/>
  <c r="G195" i="58"/>
  <c r="G195" i="37"/>
  <c r="G195" i="41" s="1"/>
  <c r="G179" i="58"/>
  <c r="G179" i="37"/>
  <c r="G179" i="41" s="1"/>
  <c r="G149" i="58"/>
  <c r="G149" i="37"/>
  <c r="G149" i="41" s="1"/>
  <c r="E458" i="37"/>
  <c r="E458" i="41" s="1"/>
  <c r="E458" i="58"/>
  <c r="E431" i="58"/>
  <c r="E431" i="37"/>
  <c r="E431" i="41" s="1"/>
  <c r="E421" i="58"/>
  <c r="E421" i="37"/>
  <c r="E421" i="41" s="1"/>
  <c r="E396" i="37"/>
  <c r="E396" i="41" s="1"/>
  <c r="E396" i="58"/>
  <c r="E372" i="58"/>
  <c r="E372" i="37"/>
  <c r="E372" i="41" s="1"/>
  <c r="E348" i="58"/>
  <c r="E348" i="37"/>
  <c r="E348" i="41" s="1"/>
  <c r="E324" i="58"/>
  <c r="E324" i="37"/>
  <c r="E324" i="41" s="1"/>
  <c r="E300" i="37"/>
  <c r="E300" i="41" s="1"/>
  <c r="E300" i="58"/>
  <c r="E284" i="37"/>
  <c r="E284" i="41" s="1"/>
  <c r="E284" i="58"/>
  <c r="E260" i="37"/>
  <c r="E260" i="41" s="1"/>
  <c r="E260" i="58"/>
  <c r="E236" i="37"/>
  <c r="E236" i="41" s="1"/>
  <c r="E236" i="58"/>
  <c r="E207" i="37"/>
  <c r="E207" i="41" s="1"/>
  <c r="E207" i="58"/>
  <c r="E182" i="37"/>
  <c r="E182" i="41" s="1"/>
  <c r="E182" i="58"/>
  <c r="E158" i="58"/>
  <c r="E158" i="37"/>
  <c r="E158" i="41" s="1"/>
  <c r="E134" i="37"/>
  <c r="E134" i="41" s="1"/>
  <c r="E134" i="58"/>
  <c r="E102" i="58"/>
  <c r="E102" i="37"/>
  <c r="E102" i="41" s="1"/>
  <c r="E94" i="58"/>
  <c r="E94" i="37"/>
  <c r="E94" i="41" s="1"/>
  <c r="E72" i="58"/>
  <c r="E72" i="37"/>
  <c r="E72" i="41" s="1"/>
  <c r="G76" i="37"/>
  <c r="G76" i="41" s="1"/>
  <c r="G76" i="58"/>
  <c r="G92" i="37"/>
  <c r="G92" i="41" s="1"/>
  <c r="G92" i="58"/>
  <c r="G100" i="58"/>
  <c r="G100" i="37"/>
  <c r="G100" i="41" s="1"/>
  <c r="G116" i="37"/>
  <c r="G116" i="41" s="1"/>
  <c r="G116" i="58"/>
  <c r="G301" i="37"/>
  <c r="G301" i="41" s="1"/>
  <c r="G301" i="58"/>
  <c r="G407" i="58"/>
  <c r="G407" i="37"/>
  <c r="G407" i="41" s="1"/>
  <c r="G5" i="58"/>
  <c r="G5" i="37"/>
  <c r="G5" i="41" s="1"/>
  <c r="G77" i="58"/>
  <c r="G77" i="37"/>
  <c r="G77" i="41" s="1"/>
  <c r="G85" i="58"/>
  <c r="G85" i="37"/>
  <c r="G85" i="41" s="1"/>
  <c r="G93" i="58"/>
  <c r="G93" i="37"/>
  <c r="G93" i="41" s="1"/>
  <c r="G101" i="37"/>
  <c r="G101" i="41" s="1"/>
  <c r="G101" i="58"/>
  <c r="G109" i="37"/>
  <c r="G109" i="41" s="1"/>
  <c r="G109" i="58"/>
  <c r="G117" i="37"/>
  <c r="G117" i="41" s="1"/>
  <c r="G117" i="58"/>
  <c r="G141" i="58"/>
  <c r="G141" i="37"/>
  <c r="G141" i="41" s="1"/>
  <c r="G305" i="37"/>
  <c r="G305" i="41" s="1"/>
  <c r="G305" i="58"/>
  <c r="G337" i="58"/>
  <c r="G337" i="37"/>
  <c r="G337" i="41" s="1"/>
  <c r="G408" i="37"/>
  <c r="G408" i="41" s="1"/>
  <c r="G408" i="58"/>
  <c r="G416" i="37"/>
  <c r="G416" i="41" s="1"/>
  <c r="G416" i="58"/>
  <c r="G424" i="37"/>
  <c r="G424" i="41" s="1"/>
  <c r="G424" i="58"/>
  <c r="G434" i="58"/>
  <c r="G434" i="37"/>
  <c r="G434" i="41" s="1"/>
  <c r="G444" i="58"/>
  <c r="G444" i="37"/>
  <c r="G444" i="41" s="1"/>
  <c r="G453" i="58"/>
  <c r="G453" i="37"/>
  <c r="G453" i="41" s="1"/>
  <c r="G461" i="37"/>
  <c r="G461" i="41" s="1"/>
  <c r="G461" i="58"/>
  <c r="G395" i="58"/>
  <c r="G395" i="37"/>
  <c r="G395" i="41" s="1"/>
  <c r="G387" i="58"/>
  <c r="G387" i="37"/>
  <c r="G387" i="41" s="1"/>
  <c r="G379" i="37"/>
  <c r="G379" i="41" s="1"/>
  <c r="G379" i="58"/>
  <c r="G371" i="58"/>
  <c r="G371" i="37"/>
  <c r="G371" i="41" s="1"/>
  <c r="G363" i="58"/>
  <c r="G363" i="37"/>
  <c r="G363" i="41" s="1"/>
  <c r="G355" i="58"/>
  <c r="G355" i="37"/>
  <c r="G355" i="41" s="1"/>
  <c r="G347" i="37"/>
  <c r="G347" i="41" s="1"/>
  <c r="G347" i="58"/>
  <c r="G336" i="37"/>
  <c r="G336" i="41" s="1"/>
  <c r="G336" i="58"/>
  <c r="G326" i="37"/>
  <c r="G326" i="41" s="1"/>
  <c r="G326" i="58"/>
  <c r="G315" i="58"/>
  <c r="G315" i="37"/>
  <c r="G315" i="41" s="1"/>
  <c r="G304" i="37"/>
  <c r="G304" i="41" s="1"/>
  <c r="G304" i="58"/>
  <c r="G295" i="37"/>
  <c r="G295" i="41" s="1"/>
  <c r="G295" i="58"/>
  <c r="G287" i="58"/>
  <c r="G287" i="37"/>
  <c r="G287" i="41" s="1"/>
  <c r="G279" i="37"/>
  <c r="G279" i="41" s="1"/>
  <c r="G279" i="58"/>
  <c r="G271" i="58"/>
  <c r="G271" i="37"/>
  <c r="G271" i="41" s="1"/>
  <c r="G263" i="37"/>
  <c r="G263" i="41" s="1"/>
  <c r="G263" i="58"/>
  <c r="G255" i="58"/>
  <c r="G255" i="37"/>
  <c r="G255" i="41" s="1"/>
  <c r="G247" i="58"/>
  <c r="G247" i="37"/>
  <c r="G247" i="41" s="1"/>
  <c r="G239" i="58"/>
  <c r="G239" i="37"/>
  <c r="G239" i="41" s="1"/>
  <c r="G231" i="37"/>
  <c r="G231" i="41" s="1"/>
  <c r="G231" i="58"/>
  <c r="G222" i="37"/>
  <c r="G222" i="41" s="1"/>
  <c r="G222" i="58"/>
  <c r="G211" i="58"/>
  <c r="G211" i="37"/>
  <c r="G211" i="41" s="1"/>
  <c r="G201" i="58"/>
  <c r="G201" i="37"/>
  <c r="G201" i="41" s="1"/>
  <c r="G193" i="58"/>
  <c r="G193" i="37"/>
  <c r="G193" i="41" s="1"/>
  <c r="G185" i="37"/>
  <c r="G185" i="41" s="1"/>
  <c r="G185" i="58"/>
  <c r="G177" i="58"/>
  <c r="G177" i="37"/>
  <c r="G177" i="41" s="1"/>
  <c r="G169" i="58"/>
  <c r="G169" i="37"/>
  <c r="G169" i="41" s="1"/>
  <c r="G155" i="58"/>
  <c r="G155" i="37"/>
  <c r="G155" i="41" s="1"/>
  <c r="G147" i="37"/>
  <c r="G147" i="41" s="1"/>
  <c r="G147" i="58"/>
  <c r="G138" i="37"/>
  <c r="G138" i="41" s="1"/>
  <c r="G138" i="58"/>
  <c r="G127" i="58"/>
  <c r="G127" i="37"/>
  <c r="G127" i="41" s="1"/>
  <c r="E464" i="37"/>
  <c r="E464" i="41" s="1"/>
  <c r="E464" i="58"/>
  <c r="E456" i="58"/>
  <c r="E456" i="37"/>
  <c r="E456" i="41" s="1"/>
  <c r="E447" i="37"/>
  <c r="E447" i="41" s="1"/>
  <c r="E447" i="58"/>
  <c r="E438" i="58"/>
  <c r="E438" i="37"/>
  <c r="E438" i="41" s="1"/>
  <c r="E427" i="37"/>
  <c r="E427" i="41" s="1"/>
  <c r="E427" i="58"/>
  <c r="E419" i="37"/>
  <c r="E419" i="41" s="1"/>
  <c r="E419" i="58"/>
  <c r="E411" i="58"/>
  <c r="E411" i="37"/>
  <c r="E411" i="41" s="1"/>
  <c r="E402" i="37"/>
  <c r="E402" i="41" s="1"/>
  <c r="E402" i="58"/>
  <c r="E394" i="58"/>
  <c r="E394" i="37"/>
  <c r="E394" i="41" s="1"/>
  <c r="E386" i="58"/>
  <c r="E386" i="37"/>
  <c r="E386" i="41" s="1"/>
  <c r="E378" i="58"/>
  <c r="E378" i="37"/>
  <c r="E378" i="41" s="1"/>
  <c r="E370" i="37"/>
  <c r="E370" i="41" s="1"/>
  <c r="E370" i="58"/>
  <c r="E362" i="58"/>
  <c r="E362" i="37"/>
  <c r="E362" i="41" s="1"/>
  <c r="E354" i="58"/>
  <c r="E354" i="37"/>
  <c r="E354" i="41" s="1"/>
  <c r="E346" i="37"/>
  <c r="E346" i="41" s="1"/>
  <c r="E346" i="58"/>
  <c r="E338" i="58"/>
  <c r="E338" i="37"/>
  <c r="E338" i="41" s="1"/>
  <c r="E330" i="58"/>
  <c r="E330" i="37"/>
  <c r="E330" i="41" s="1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37"/>
  <c r="E290" i="41" s="1"/>
  <c r="E290" i="58"/>
  <c r="E282" i="37"/>
  <c r="E282" i="41" s="1"/>
  <c r="E282" i="58"/>
  <c r="E274" i="37"/>
  <c r="E274" i="41" s="1"/>
  <c r="E274" i="58"/>
  <c r="E266" i="58"/>
  <c r="E266" i="37"/>
  <c r="E266" i="41" s="1"/>
  <c r="E258" i="58"/>
  <c r="E258" i="37"/>
  <c r="E258" i="41" s="1"/>
  <c r="E250" i="58"/>
  <c r="E250" i="37"/>
  <c r="E250" i="41" s="1"/>
  <c r="E242" i="58"/>
  <c r="E242" i="37"/>
  <c r="E242" i="41" s="1"/>
  <c r="E234" i="58"/>
  <c r="E234" i="37"/>
  <c r="E234" i="41" s="1"/>
  <c r="E226" i="58"/>
  <c r="E226" i="37"/>
  <c r="E226" i="41" s="1"/>
  <c r="E215" i="37"/>
  <c r="E215" i="41" s="1"/>
  <c r="E215" i="58"/>
  <c r="E204" i="58"/>
  <c r="E204" i="37"/>
  <c r="E204" i="41" s="1"/>
  <c r="E196" i="37"/>
  <c r="E196" i="41" s="1"/>
  <c r="E196" i="58"/>
  <c r="E188" i="58"/>
  <c r="E188" i="37"/>
  <c r="E188" i="41" s="1"/>
  <c r="E180" i="37"/>
  <c r="E180" i="41" s="1"/>
  <c r="E180" i="58"/>
  <c r="E172" i="37"/>
  <c r="E172" i="41" s="1"/>
  <c r="E172" i="58"/>
  <c r="E164" i="37"/>
  <c r="E164" i="41" s="1"/>
  <c r="E164" i="58"/>
  <c r="E156" i="37"/>
  <c r="E156" i="41" s="1"/>
  <c r="E156" i="58"/>
  <c r="E148" i="37"/>
  <c r="E148" i="41" s="1"/>
  <c r="E148" i="58"/>
  <c r="E140" i="58"/>
  <c r="E140" i="37"/>
  <c r="E140" i="41" s="1"/>
  <c r="E132" i="58"/>
  <c r="E132" i="37"/>
  <c r="E132" i="41" s="1"/>
  <c r="E124" i="37"/>
  <c r="E124" i="41" s="1"/>
  <c r="E124" i="58"/>
  <c r="E116" i="58"/>
  <c r="E116" i="37"/>
  <c r="E116" i="41" s="1"/>
  <c r="E108" i="58"/>
  <c r="E108" i="37"/>
  <c r="E108" i="41" s="1"/>
  <c r="E100" i="58"/>
  <c r="E100" i="37"/>
  <c r="E100" i="41" s="1"/>
  <c r="E92" i="37"/>
  <c r="E92" i="41" s="1"/>
  <c r="E92" i="58"/>
  <c r="E84" i="58"/>
  <c r="E84" i="37"/>
  <c r="E84" i="41" s="1"/>
  <c r="E76" i="37"/>
  <c r="E76" i="41" s="1"/>
  <c r="E76" i="58"/>
  <c r="E5" i="58"/>
  <c r="E5" i="37"/>
  <c r="E5" i="41" s="1"/>
  <c r="E71" i="37"/>
  <c r="E71" i="41" s="1"/>
  <c r="E71" i="58"/>
  <c r="E67" i="37"/>
  <c r="E67" i="41" s="1"/>
  <c r="E67" i="58"/>
  <c r="E63" i="58"/>
  <c r="E63" i="37"/>
  <c r="E63" i="41" s="1"/>
  <c r="E59" i="37"/>
  <c r="E59" i="41" s="1"/>
  <c r="E59" i="58"/>
  <c r="E55" i="37"/>
  <c r="E55" i="41" s="1"/>
  <c r="E55" i="58"/>
  <c r="E51" i="37"/>
  <c r="E51" i="41" s="1"/>
  <c r="E51" i="58"/>
  <c r="E47" i="37"/>
  <c r="E47" i="41" s="1"/>
  <c r="E47" i="58"/>
  <c r="E43" i="58"/>
  <c r="E43" i="37"/>
  <c r="E43" i="41" s="1"/>
  <c r="E39" i="58"/>
  <c r="E39" i="37"/>
  <c r="E39" i="41" s="1"/>
  <c r="E35" i="37"/>
  <c r="E35" i="41" s="1"/>
  <c r="E35" i="58"/>
  <c r="E31" i="37"/>
  <c r="E31" i="41" s="1"/>
  <c r="E31" i="58"/>
  <c r="E27" i="58"/>
  <c r="E27" i="37"/>
  <c r="E27" i="41" s="1"/>
  <c r="E23" i="37"/>
  <c r="E23" i="41" s="1"/>
  <c r="E23" i="58"/>
  <c r="E19" i="58"/>
  <c r="E19" i="37"/>
  <c r="E19" i="41" s="1"/>
  <c r="E15" i="37"/>
  <c r="E15" i="41" s="1"/>
  <c r="E15" i="58"/>
  <c r="G430" i="37"/>
  <c r="G430" i="41" s="1"/>
  <c r="G430" i="58"/>
  <c r="G209" i="37"/>
  <c r="G209" i="41" s="1"/>
  <c r="G209" i="58"/>
  <c r="E221" i="58"/>
  <c r="E221" i="37"/>
  <c r="E221" i="41" s="1"/>
  <c r="J441" i="37"/>
  <c r="J441" i="58"/>
  <c r="E230" i="38"/>
  <c r="E275" i="38"/>
  <c r="E267" i="38"/>
  <c r="G267" i="66" s="1"/>
  <c r="E222" i="38"/>
  <c r="G123" i="66" s="1"/>
  <c r="H451" i="37"/>
  <c r="H451" i="58"/>
  <c r="H446" i="37"/>
  <c r="H446" i="58"/>
  <c r="E240" i="38"/>
  <c r="G153" i="66" s="1"/>
  <c r="N153" i="66" s="1"/>
  <c r="G9" i="66"/>
  <c r="N9" i="66" s="1"/>
  <c r="I436" i="37"/>
  <c r="I436" i="58"/>
  <c r="E260" i="38"/>
  <c r="E215" i="38"/>
  <c r="I430" i="41"/>
  <c r="E203" i="38"/>
  <c r="E248" i="38"/>
  <c r="E245" i="38"/>
  <c r="I163" i="58"/>
  <c r="I163" i="37"/>
  <c r="I59" i="37"/>
  <c r="I47" i="37"/>
  <c r="I47" i="58"/>
  <c r="I35" i="58"/>
  <c r="I23" i="37"/>
  <c r="J63" i="37"/>
  <c r="J63" i="58"/>
  <c r="G94" i="58"/>
  <c r="G94" i="37"/>
  <c r="G94" i="41" s="1"/>
  <c r="G409" i="37"/>
  <c r="G409" i="41" s="1"/>
  <c r="G409" i="58"/>
  <c r="G462" i="37"/>
  <c r="G462" i="41" s="1"/>
  <c r="G462" i="58"/>
  <c r="G354" i="58"/>
  <c r="G354" i="37"/>
  <c r="G354" i="41" s="1"/>
  <c r="G286" i="58"/>
  <c r="G286" i="37"/>
  <c r="G286" i="41" s="1"/>
  <c r="G230" i="58"/>
  <c r="G230" i="37"/>
  <c r="G230" i="41" s="1"/>
  <c r="G154" i="58"/>
  <c r="G154" i="37"/>
  <c r="G154" i="41" s="1"/>
  <c r="E455" i="37"/>
  <c r="E455" i="41" s="1"/>
  <c r="E455" i="58"/>
  <c r="E385" i="37"/>
  <c r="E385" i="41" s="1"/>
  <c r="E385" i="58"/>
  <c r="E337" i="37"/>
  <c r="E337" i="41" s="1"/>
  <c r="E337" i="58"/>
  <c r="E297" i="58"/>
  <c r="E297" i="37"/>
  <c r="E297" i="41" s="1"/>
  <c r="E257" i="58"/>
  <c r="E257" i="37"/>
  <c r="E257" i="41" s="1"/>
  <c r="E214" i="37"/>
  <c r="E214" i="41" s="1"/>
  <c r="E214" i="58"/>
  <c r="E171" i="37"/>
  <c r="E171" i="41" s="1"/>
  <c r="E171" i="58"/>
  <c r="E139" i="58"/>
  <c r="E139" i="37"/>
  <c r="E139" i="41" s="1"/>
  <c r="E123" i="58"/>
  <c r="E123" i="37"/>
  <c r="E123" i="41" s="1"/>
  <c r="E91" i="37"/>
  <c r="E91" i="41" s="1"/>
  <c r="E91" i="58"/>
  <c r="G62" i="58"/>
  <c r="I62" i="58" s="1"/>
  <c r="G62" i="37"/>
  <c r="G62" i="41" s="1"/>
  <c r="G58" i="37"/>
  <c r="G58" i="41" s="1"/>
  <c r="G58" i="58"/>
  <c r="G42" i="58"/>
  <c r="H42" i="58" s="1"/>
  <c r="G42" i="37"/>
  <c r="G42" i="41" s="1"/>
  <c r="G22" i="58"/>
  <c r="G22" i="37"/>
  <c r="G22" i="41" s="1"/>
  <c r="G95" i="58"/>
  <c r="G95" i="37"/>
  <c r="G95" i="41" s="1"/>
  <c r="G313" i="58"/>
  <c r="G313" i="37"/>
  <c r="G313" i="41" s="1"/>
  <c r="G426" i="37"/>
  <c r="G426" i="41" s="1"/>
  <c r="G426" i="58"/>
  <c r="G463" i="37"/>
  <c r="G463" i="41" s="1"/>
  <c r="G463" i="58"/>
  <c r="I8" i="58"/>
  <c r="I8" i="37"/>
  <c r="G385" i="37"/>
  <c r="G385" i="41" s="1"/>
  <c r="G385" i="58"/>
  <c r="G361" i="58"/>
  <c r="G361" i="37"/>
  <c r="G361" i="41" s="1"/>
  <c r="G353" i="58"/>
  <c r="G353" i="37"/>
  <c r="G353" i="41" s="1"/>
  <c r="G344" i="58"/>
  <c r="G344" i="37"/>
  <c r="G344" i="41" s="1"/>
  <c r="G334" i="37"/>
  <c r="G334" i="41" s="1"/>
  <c r="G334" i="58"/>
  <c r="G323" i="58"/>
  <c r="G323" i="37"/>
  <c r="G323" i="41" s="1"/>
  <c r="G312" i="37"/>
  <c r="G312" i="41" s="1"/>
  <c r="G312" i="58"/>
  <c r="G302" i="37"/>
  <c r="G302" i="41" s="1"/>
  <c r="G302" i="58"/>
  <c r="G293" i="37"/>
  <c r="G293" i="41" s="1"/>
  <c r="G293" i="58"/>
  <c r="G285" i="58"/>
  <c r="G285" i="37"/>
  <c r="G285" i="41" s="1"/>
  <c r="G277" i="37"/>
  <c r="G277" i="41" s="1"/>
  <c r="G277" i="58"/>
  <c r="G269" i="37"/>
  <c r="G269" i="41" s="1"/>
  <c r="G269" i="58"/>
  <c r="G261" i="58"/>
  <c r="G261" i="37"/>
  <c r="G261" i="41" s="1"/>
  <c r="G253" i="58"/>
  <c r="G253" i="37"/>
  <c r="G253" i="41" s="1"/>
  <c r="G245" i="58"/>
  <c r="G245" i="37"/>
  <c r="G245" i="41" s="1"/>
  <c r="G237" i="37"/>
  <c r="G237" i="41" s="1"/>
  <c r="G237" i="58"/>
  <c r="G229" i="37"/>
  <c r="G229" i="41" s="1"/>
  <c r="G229" i="58"/>
  <c r="G219" i="58"/>
  <c r="G219" i="37"/>
  <c r="G219" i="41" s="1"/>
  <c r="G208" i="58"/>
  <c r="G208" i="37"/>
  <c r="G208" i="41" s="1"/>
  <c r="G199" i="58"/>
  <c r="G199" i="37"/>
  <c r="G199" i="41" s="1"/>
  <c r="G191" i="37"/>
  <c r="G191" i="41" s="1"/>
  <c r="G191" i="58"/>
  <c r="G183" i="58"/>
  <c r="G183" i="37"/>
  <c r="G183" i="41" s="1"/>
  <c r="G175" i="37"/>
  <c r="G175" i="41" s="1"/>
  <c r="G175" i="58"/>
  <c r="G161" i="37"/>
  <c r="G161" i="41" s="1"/>
  <c r="G161" i="58"/>
  <c r="G153" i="37"/>
  <c r="G153" i="41" s="1"/>
  <c r="G153" i="58"/>
  <c r="G145" i="58"/>
  <c r="G145" i="37"/>
  <c r="G145" i="41" s="1"/>
  <c r="G135" i="37"/>
  <c r="G135" i="41" s="1"/>
  <c r="G135" i="58"/>
  <c r="G124" i="58"/>
  <c r="G124" i="37"/>
  <c r="G124" i="41" s="1"/>
  <c r="E462" i="58"/>
  <c r="E462" i="37"/>
  <c r="E462" i="41" s="1"/>
  <c r="E454" i="58"/>
  <c r="E454" i="37"/>
  <c r="E454" i="41" s="1"/>
  <c r="E445" i="58"/>
  <c r="E445" i="37"/>
  <c r="E445" i="41" s="1"/>
  <c r="E435" i="58"/>
  <c r="E435" i="37"/>
  <c r="E435" i="41" s="1"/>
  <c r="E425" i="58"/>
  <c r="E425" i="37"/>
  <c r="E425" i="41" s="1"/>
  <c r="E417" i="37"/>
  <c r="E417" i="41" s="1"/>
  <c r="E417" i="58"/>
  <c r="E409" i="58"/>
  <c r="E409" i="37"/>
  <c r="E409" i="41" s="1"/>
  <c r="E400" i="58"/>
  <c r="E400" i="37"/>
  <c r="E400" i="41" s="1"/>
  <c r="E392" i="58"/>
  <c r="E392" i="37"/>
  <c r="E392" i="41" s="1"/>
  <c r="E384" i="58"/>
  <c r="E384" i="37"/>
  <c r="E384" i="41" s="1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37"/>
  <c r="E344" i="41" s="1"/>
  <c r="E344" i="58"/>
  <c r="E336" i="58"/>
  <c r="E336" i="37"/>
  <c r="E336" i="41" s="1"/>
  <c r="E328" i="37"/>
  <c r="E328" i="41" s="1"/>
  <c r="E328" i="58"/>
  <c r="E320" i="37"/>
  <c r="E320" i="41" s="1"/>
  <c r="E320" i="58"/>
  <c r="E312" i="58"/>
  <c r="E312" i="37"/>
  <c r="E312" i="41" s="1"/>
  <c r="E304" i="58"/>
  <c r="E304" i="37"/>
  <c r="E304" i="41" s="1"/>
  <c r="E296" i="58"/>
  <c r="E296" i="37"/>
  <c r="E296" i="41" s="1"/>
  <c r="E288" i="58"/>
  <c r="E288" i="37"/>
  <c r="E288" i="41" s="1"/>
  <c r="E280" i="58"/>
  <c r="E280" i="37"/>
  <c r="E280" i="41" s="1"/>
  <c r="E272" i="37"/>
  <c r="E272" i="41" s="1"/>
  <c r="E272" i="58"/>
  <c r="E264" i="37"/>
  <c r="E264" i="41" s="1"/>
  <c r="E264" i="58"/>
  <c r="E256" i="37"/>
  <c r="E256" i="41" s="1"/>
  <c r="E256" i="58"/>
  <c r="E248" i="37"/>
  <c r="E248" i="41" s="1"/>
  <c r="E248" i="58"/>
  <c r="E240" i="37"/>
  <c r="E240" i="41" s="1"/>
  <c r="E240" i="58"/>
  <c r="E232" i="58"/>
  <c r="E232" i="37"/>
  <c r="E232" i="41" s="1"/>
  <c r="E223" i="58"/>
  <c r="E223" i="37"/>
  <c r="E223" i="41" s="1"/>
  <c r="E212" i="37"/>
  <c r="E212" i="41" s="1"/>
  <c r="E212" i="58"/>
  <c r="E202" i="37"/>
  <c r="E202" i="41" s="1"/>
  <c r="E202" i="58"/>
  <c r="E194" i="58"/>
  <c r="E194" i="37"/>
  <c r="E194" i="41" s="1"/>
  <c r="E186" i="37"/>
  <c r="E186" i="41" s="1"/>
  <c r="E186" i="58"/>
  <c r="E178" i="37"/>
  <c r="E178" i="41" s="1"/>
  <c r="E178" i="58"/>
  <c r="E170" i="58"/>
  <c r="E170" i="37"/>
  <c r="E170" i="41" s="1"/>
  <c r="E162" i="58"/>
  <c r="E162" i="37"/>
  <c r="E162" i="41" s="1"/>
  <c r="E154" i="37"/>
  <c r="E154" i="41" s="1"/>
  <c r="E154" i="58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58"/>
  <c r="E106" i="37"/>
  <c r="E106" i="41" s="1"/>
  <c r="E98" i="37"/>
  <c r="E98" i="41" s="1"/>
  <c r="E98" i="58"/>
  <c r="E90" i="58"/>
  <c r="E90" i="37"/>
  <c r="E90" i="41" s="1"/>
  <c r="E82" i="37"/>
  <c r="E82" i="41" s="1"/>
  <c r="E82" i="58"/>
  <c r="E74" i="58"/>
  <c r="E74" i="37"/>
  <c r="E74" i="41" s="1"/>
  <c r="E3" i="58"/>
  <c r="E3" i="37"/>
  <c r="E3" i="41" s="1"/>
  <c r="E70" i="37"/>
  <c r="E70" i="41" s="1"/>
  <c r="E70" i="58"/>
  <c r="E66" i="37"/>
  <c r="E66" i="41" s="1"/>
  <c r="E66" i="58"/>
  <c r="E62" i="58"/>
  <c r="E62" i="37"/>
  <c r="E62" i="41" s="1"/>
  <c r="E58" i="58"/>
  <c r="E58" i="37"/>
  <c r="E58" i="41" s="1"/>
  <c r="E54" i="58"/>
  <c r="E54" i="37"/>
  <c r="E54" i="41" s="1"/>
  <c r="E50" i="58"/>
  <c r="E50" i="37"/>
  <c r="E50" i="41" s="1"/>
  <c r="E46" i="37"/>
  <c r="E46" i="41" s="1"/>
  <c r="E46" i="58"/>
  <c r="E42" i="58"/>
  <c r="E42" i="37"/>
  <c r="E42" i="41" s="1"/>
  <c r="E38" i="37"/>
  <c r="E38" i="41" s="1"/>
  <c r="E38" i="58"/>
  <c r="E34" i="58"/>
  <c r="E34" i="37"/>
  <c r="E34" i="41" s="1"/>
  <c r="E30" i="58"/>
  <c r="E30" i="37"/>
  <c r="E30" i="41" s="1"/>
  <c r="E26" i="58"/>
  <c r="E26" i="37"/>
  <c r="E26" i="41" s="1"/>
  <c r="E22" i="37"/>
  <c r="E22" i="41" s="1"/>
  <c r="E22" i="58"/>
  <c r="E18" i="37"/>
  <c r="E18" i="41" s="1"/>
  <c r="E18" i="58"/>
  <c r="E14" i="37"/>
  <c r="E14" i="41" s="1"/>
  <c r="E14" i="58"/>
  <c r="E468" i="58"/>
  <c r="E468" i="37"/>
  <c r="E468" i="41" s="1"/>
  <c r="G429" i="58"/>
  <c r="G429" i="37"/>
  <c r="G429" i="41" s="1"/>
  <c r="G217" i="37"/>
  <c r="G217" i="41" s="1"/>
  <c r="G217" i="58"/>
  <c r="E205" i="37"/>
  <c r="E205" i="41" s="1"/>
  <c r="E205" i="58"/>
  <c r="I447" i="37"/>
  <c r="I447" i="58"/>
  <c r="J447" i="37"/>
  <c r="J447" i="58"/>
  <c r="J438" i="37"/>
  <c r="J438" i="58"/>
  <c r="E273" i="38"/>
  <c r="G245" i="66" s="1"/>
  <c r="E228" i="38"/>
  <c r="G101" i="66" s="1"/>
  <c r="E220" i="38"/>
  <c r="G141" i="66" s="1"/>
  <c r="E265" i="38"/>
  <c r="G285" i="66" s="1"/>
  <c r="E238" i="38"/>
  <c r="J67" i="37"/>
  <c r="J19" i="58"/>
  <c r="J19" i="37"/>
  <c r="I55" i="37"/>
  <c r="I31" i="37"/>
  <c r="H163" i="58"/>
  <c r="H163" i="37"/>
  <c r="H71" i="58"/>
  <c r="H59" i="37"/>
  <c r="H47" i="58"/>
  <c r="H47" i="37"/>
  <c r="H23" i="37"/>
  <c r="J39" i="37"/>
  <c r="G118" i="58"/>
  <c r="G118" i="37"/>
  <c r="G118" i="41" s="1"/>
  <c r="G454" i="58"/>
  <c r="G454" i="37"/>
  <c r="G454" i="41" s="1"/>
  <c r="G370" i="58"/>
  <c r="G370" i="37"/>
  <c r="G370" i="41" s="1"/>
  <c r="G314" i="58"/>
  <c r="G314" i="37"/>
  <c r="G314" i="41" s="1"/>
  <c r="G246" i="58"/>
  <c r="G246" i="37"/>
  <c r="G246" i="41" s="1"/>
  <c r="G168" i="58"/>
  <c r="G168" i="37"/>
  <c r="G168" i="41" s="1"/>
  <c r="E426" i="58"/>
  <c r="E426" i="37"/>
  <c r="E426" i="41" s="1"/>
  <c r="E369" i="37"/>
  <c r="E369" i="41" s="1"/>
  <c r="E369" i="58"/>
  <c r="E329" i="58"/>
  <c r="E329" i="37"/>
  <c r="E329" i="41" s="1"/>
  <c r="E289" i="37"/>
  <c r="E289" i="41" s="1"/>
  <c r="E289" i="58"/>
  <c r="E233" i="37"/>
  <c r="E233" i="41" s="1"/>
  <c r="E233" i="58"/>
  <c r="E187" i="58"/>
  <c r="E187" i="37"/>
  <c r="E187" i="41" s="1"/>
  <c r="E163" i="58"/>
  <c r="E163" i="37"/>
  <c r="E163" i="41" s="1"/>
  <c r="E131" i="58"/>
  <c r="E131" i="37"/>
  <c r="E131" i="41" s="1"/>
  <c r="E83" i="58"/>
  <c r="E83" i="37"/>
  <c r="E83" i="41" s="1"/>
  <c r="G66" i="58"/>
  <c r="J66" i="58" s="1"/>
  <c r="G66" i="37"/>
  <c r="G66" i="41" s="1"/>
  <c r="G54" i="58"/>
  <c r="G54" i="37"/>
  <c r="G54" i="41" s="1"/>
  <c r="G46" i="37"/>
  <c r="H46" i="37" s="1"/>
  <c r="G46" i="58"/>
  <c r="H46" i="58" s="1"/>
  <c r="G34" i="37"/>
  <c r="G34" i="41" s="1"/>
  <c r="G34" i="58"/>
  <c r="H34" i="58" s="1"/>
  <c r="G30" i="37"/>
  <c r="G30" i="41" s="1"/>
  <c r="G30" i="58"/>
  <c r="H30" i="58" s="1"/>
  <c r="G14" i="37"/>
  <c r="G14" i="41" s="1"/>
  <c r="G14" i="58"/>
  <c r="J14" i="58" s="1"/>
  <c r="G213" i="58"/>
  <c r="G213" i="37"/>
  <c r="G213" i="41" s="1"/>
  <c r="J440" i="58"/>
  <c r="J440" i="37"/>
  <c r="E266" i="38"/>
  <c r="E221" i="38"/>
  <c r="E239" i="38"/>
  <c r="G155" i="66" s="1"/>
  <c r="N155" i="66" s="1"/>
  <c r="G11" i="66"/>
  <c r="N11" i="66" s="1"/>
  <c r="E207" i="38"/>
  <c r="E252" i="38"/>
  <c r="G219" i="66" s="1"/>
  <c r="J22" i="58"/>
  <c r="G87" i="37"/>
  <c r="G87" i="41" s="1"/>
  <c r="G87" i="58"/>
  <c r="G111" i="58"/>
  <c r="G111" i="37"/>
  <c r="G111" i="41" s="1"/>
  <c r="G345" i="58"/>
  <c r="G345" i="37"/>
  <c r="G345" i="41" s="1"/>
  <c r="G455" i="58"/>
  <c r="G455" i="37"/>
  <c r="G455" i="41" s="1"/>
  <c r="G377" i="58"/>
  <c r="G377" i="37"/>
  <c r="G377" i="41" s="1"/>
  <c r="G88" i="37"/>
  <c r="G88" i="41" s="1"/>
  <c r="G88" i="58"/>
  <c r="G112" i="58"/>
  <c r="G112" i="37"/>
  <c r="G112" i="41" s="1"/>
  <c r="G164" i="37"/>
  <c r="G164" i="41" s="1"/>
  <c r="G164" i="58"/>
  <c r="G411" i="58"/>
  <c r="G411" i="37"/>
  <c r="G411" i="41" s="1"/>
  <c r="G419" i="37"/>
  <c r="G419" i="41" s="1"/>
  <c r="G419" i="58"/>
  <c r="G427" i="37"/>
  <c r="G427" i="41" s="1"/>
  <c r="G427" i="58"/>
  <c r="G438" i="58"/>
  <c r="G438" i="37"/>
  <c r="G438" i="41" s="1"/>
  <c r="G447" i="58"/>
  <c r="G447" i="37"/>
  <c r="G447" i="41" s="1"/>
  <c r="G456" i="37"/>
  <c r="G456" i="41" s="1"/>
  <c r="G456" i="58"/>
  <c r="G464" i="37"/>
  <c r="G464" i="41" s="1"/>
  <c r="G464" i="58"/>
  <c r="G400" i="37"/>
  <c r="G400" i="41" s="1"/>
  <c r="G400" i="58"/>
  <c r="G392" i="58"/>
  <c r="G392" i="37"/>
  <c r="G392" i="41" s="1"/>
  <c r="G384" i="37"/>
  <c r="G384" i="41" s="1"/>
  <c r="G384" i="58"/>
  <c r="G376" i="37"/>
  <c r="G376" i="41" s="1"/>
  <c r="G376" i="58"/>
  <c r="G368" i="37"/>
  <c r="G368" i="41" s="1"/>
  <c r="G368" i="58"/>
  <c r="G360" i="58"/>
  <c r="G360" i="37"/>
  <c r="G360" i="41" s="1"/>
  <c r="G352" i="58"/>
  <c r="G352" i="37"/>
  <c r="G352" i="41" s="1"/>
  <c r="G343" i="37"/>
  <c r="G343" i="41" s="1"/>
  <c r="G343" i="58"/>
  <c r="G332" i="58"/>
  <c r="G332" i="37"/>
  <c r="G332" i="41" s="1"/>
  <c r="G322" i="58"/>
  <c r="G322" i="37"/>
  <c r="G322" i="41" s="1"/>
  <c r="G311" i="37"/>
  <c r="G311" i="41" s="1"/>
  <c r="G311" i="58"/>
  <c r="G300" i="58"/>
  <c r="G300" i="37"/>
  <c r="G300" i="41" s="1"/>
  <c r="G292" i="58"/>
  <c r="G292" i="37"/>
  <c r="G292" i="41" s="1"/>
  <c r="G284" i="58"/>
  <c r="G284" i="37"/>
  <c r="G284" i="41" s="1"/>
  <c r="G276" i="58"/>
  <c r="G276" i="37"/>
  <c r="G276" i="41" s="1"/>
  <c r="G268" i="58"/>
  <c r="G268" i="37"/>
  <c r="G268" i="41" s="1"/>
  <c r="G260" i="58"/>
  <c r="G260" i="37"/>
  <c r="G260" i="41" s="1"/>
  <c r="G252" i="58"/>
  <c r="G252" i="37"/>
  <c r="G252" i="41" s="1"/>
  <c r="G244" i="37"/>
  <c r="G244" i="41" s="1"/>
  <c r="G244" i="58"/>
  <c r="G236" i="58"/>
  <c r="G236" i="37"/>
  <c r="G236" i="41" s="1"/>
  <c r="G228" i="58"/>
  <c r="G228" i="37"/>
  <c r="G228" i="41" s="1"/>
  <c r="G218" i="58"/>
  <c r="G218" i="37"/>
  <c r="G218" i="41" s="1"/>
  <c r="G207" i="37"/>
  <c r="G207" i="41" s="1"/>
  <c r="G207" i="58"/>
  <c r="G198" i="58"/>
  <c r="G198" i="37"/>
  <c r="G198" i="41" s="1"/>
  <c r="G190" i="58"/>
  <c r="G190" i="37"/>
  <c r="G190" i="41" s="1"/>
  <c r="G182" i="37"/>
  <c r="G182" i="41" s="1"/>
  <c r="G182" i="58"/>
  <c r="G174" i="58"/>
  <c r="G174" i="37"/>
  <c r="G174" i="41" s="1"/>
  <c r="G160" i="37"/>
  <c r="G160" i="41" s="1"/>
  <c r="G160" i="58"/>
  <c r="G152" i="37"/>
  <c r="G152" i="41" s="1"/>
  <c r="G152" i="58"/>
  <c r="G144" i="58"/>
  <c r="G144" i="37"/>
  <c r="G144" i="41" s="1"/>
  <c r="G134" i="58"/>
  <c r="G134" i="37"/>
  <c r="G134" i="41" s="1"/>
  <c r="G123" i="58"/>
  <c r="G123" i="37"/>
  <c r="G123" i="41" s="1"/>
  <c r="E461" i="37"/>
  <c r="E461" i="41" s="1"/>
  <c r="E461" i="58"/>
  <c r="E453" i="37"/>
  <c r="E453" i="41" s="1"/>
  <c r="E453" i="58"/>
  <c r="E444" i="58"/>
  <c r="E444" i="37"/>
  <c r="E444" i="41" s="1"/>
  <c r="E434" i="37"/>
  <c r="E434" i="41" s="1"/>
  <c r="E434" i="58"/>
  <c r="E424" i="37"/>
  <c r="E424" i="41" s="1"/>
  <c r="E424" i="58"/>
  <c r="E416" i="37"/>
  <c r="E416" i="41" s="1"/>
  <c r="E416" i="58"/>
  <c r="E408" i="37"/>
  <c r="E408" i="41" s="1"/>
  <c r="E408" i="58"/>
  <c r="E399" i="37"/>
  <c r="E399" i="41" s="1"/>
  <c r="E399" i="58"/>
  <c r="E391" i="37"/>
  <c r="E391" i="41" s="1"/>
  <c r="E391" i="58"/>
  <c r="E383" i="58"/>
  <c r="E383" i="37"/>
  <c r="E383" i="41" s="1"/>
  <c r="E375" i="37"/>
  <c r="E375" i="41" s="1"/>
  <c r="E375" i="58"/>
  <c r="E367" i="37"/>
  <c r="E367" i="41" s="1"/>
  <c r="E367" i="58"/>
  <c r="E359" i="37"/>
  <c r="E359" i="41" s="1"/>
  <c r="E359" i="58"/>
  <c r="E351" i="37"/>
  <c r="E351" i="41" s="1"/>
  <c r="E351" i="58"/>
  <c r="E343" i="58"/>
  <c r="E343" i="37"/>
  <c r="E343" i="41" s="1"/>
  <c r="E335" i="37"/>
  <c r="E335" i="41" s="1"/>
  <c r="E335" i="58"/>
  <c r="E327" i="58"/>
  <c r="E327" i="37"/>
  <c r="E327" i="41" s="1"/>
  <c r="E319" i="37"/>
  <c r="E319" i="41" s="1"/>
  <c r="E319" i="58"/>
  <c r="E311" i="37"/>
  <c r="E311" i="41" s="1"/>
  <c r="E311" i="58"/>
  <c r="E303" i="37"/>
  <c r="E303" i="41" s="1"/>
  <c r="E303" i="58"/>
  <c r="E295" i="58"/>
  <c r="E295" i="37"/>
  <c r="E295" i="41" s="1"/>
  <c r="E287" i="37"/>
  <c r="E287" i="41" s="1"/>
  <c r="E287" i="58"/>
  <c r="E279" i="37"/>
  <c r="E279" i="41" s="1"/>
  <c r="E279" i="58"/>
  <c r="E271" i="58"/>
  <c r="E271" i="37"/>
  <c r="E271" i="41" s="1"/>
  <c r="E263" i="58"/>
  <c r="E263" i="37"/>
  <c r="E263" i="41" s="1"/>
  <c r="E255" i="37"/>
  <c r="E255" i="41" s="1"/>
  <c r="E255" i="58"/>
  <c r="E247" i="37"/>
  <c r="E247" i="41" s="1"/>
  <c r="E247" i="58"/>
  <c r="E239" i="58"/>
  <c r="E239" i="37"/>
  <c r="E239" i="41" s="1"/>
  <c r="E231" i="37"/>
  <c r="E231" i="41" s="1"/>
  <c r="E231" i="58"/>
  <c r="E222" i="37"/>
  <c r="E222" i="41" s="1"/>
  <c r="E222" i="58"/>
  <c r="E211" i="58"/>
  <c r="E211" i="37"/>
  <c r="E211" i="41" s="1"/>
  <c r="E201" i="37"/>
  <c r="E201" i="41" s="1"/>
  <c r="E201" i="58"/>
  <c r="E193" i="37"/>
  <c r="E193" i="41" s="1"/>
  <c r="E193" i="58"/>
  <c r="E185" i="58"/>
  <c r="E185" i="37"/>
  <c r="E185" i="41" s="1"/>
  <c r="E177" i="37"/>
  <c r="E177" i="41" s="1"/>
  <c r="E177" i="58"/>
  <c r="E169" i="58"/>
  <c r="E169" i="37"/>
  <c r="E169" i="41" s="1"/>
  <c r="E161" i="37"/>
  <c r="E161" i="41" s="1"/>
  <c r="E161" i="58"/>
  <c r="E153" i="37"/>
  <c r="E153" i="41" s="1"/>
  <c r="E153" i="58"/>
  <c r="E145" i="58"/>
  <c r="E145" i="37"/>
  <c r="E145" i="41" s="1"/>
  <c r="E137" i="58"/>
  <c r="E137" i="37"/>
  <c r="E137" i="41" s="1"/>
  <c r="E129" i="37"/>
  <c r="E129" i="41" s="1"/>
  <c r="E129" i="58"/>
  <c r="E121" i="58"/>
  <c r="E121" i="37"/>
  <c r="E121" i="41" s="1"/>
  <c r="E113" i="58"/>
  <c r="E113" i="37"/>
  <c r="E113" i="41" s="1"/>
  <c r="E105" i="37"/>
  <c r="E105" i="41" s="1"/>
  <c r="E105" i="58"/>
  <c r="E97" i="37"/>
  <c r="E97" i="41" s="1"/>
  <c r="E97" i="58"/>
  <c r="E89" i="58"/>
  <c r="E89" i="37"/>
  <c r="E89" i="41" s="1"/>
  <c r="E81" i="37"/>
  <c r="E81" i="41" s="1"/>
  <c r="E81" i="58"/>
  <c r="E11" i="37"/>
  <c r="E11" i="41" s="1"/>
  <c r="E11" i="58"/>
  <c r="G73" i="58"/>
  <c r="I73" i="58" s="1"/>
  <c r="G73" i="37"/>
  <c r="G73" i="41" s="1"/>
  <c r="G69" i="37"/>
  <c r="G69" i="41" s="1"/>
  <c r="G69" i="58"/>
  <c r="I69" i="58" s="1"/>
  <c r="G65" i="58"/>
  <c r="H65" i="58" s="1"/>
  <c r="G65" i="37"/>
  <c r="G65" i="41" s="1"/>
  <c r="G61" i="37"/>
  <c r="G61" i="41" s="1"/>
  <c r="G61" i="58"/>
  <c r="I61" i="58" s="1"/>
  <c r="G57" i="58"/>
  <c r="I57" i="58" s="1"/>
  <c r="G57" i="37"/>
  <c r="H57" i="37" s="1"/>
  <c r="G53" i="37"/>
  <c r="G53" i="41" s="1"/>
  <c r="G53" i="58"/>
  <c r="J53" i="58" s="1"/>
  <c r="G49" i="37"/>
  <c r="G49" i="41" s="1"/>
  <c r="G49" i="58"/>
  <c r="I49" i="58" s="1"/>
  <c r="G45" i="58"/>
  <c r="J45" i="58" s="1"/>
  <c r="G45" i="37"/>
  <c r="G45" i="41" s="1"/>
  <c r="G41" i="37"/>
  <c r="G41" i="41" s="1"/>
  <c r="G41" i="58"/>
  <c r="H41" i="58" s="1"/>
  <c r="G37" i="37"/>
  <c r="G37" i="41" s="1"/>
  <c r="G37" i="58"/>
  <c r="H37" i="58" s="1"/>
  <c r="G33" i="37"/>
  <c r="G33" i="41" s="1"/>
  <c r="G33" i="58"/>
  <c r="I33" i="58" s="1"/>
  <c r="G29" i="58"/>
  <c r="H29" i="58" s="1"/>
  <c r="G29" i="37"/>
  <c r="G29" i="41" s="1"/>
  <c r="G25" i="58"/>
  <c r="J25" i="58" s="1"/>
  <c r="G25" i="37"/>
  <c r="G25" i="41" s="1"/>
  <c r="G21" i="58"/>
  <c r="H21" i="58" s="1"/>
  <c r="G21" i="37"/>
  <c r="G21" i="41" s="1"/>
  <c r="G17" i="37"/>
  <c r="G17" i="41" s="1"/>
  <c r="G17" i="58"/>
  <c r="H17" i="58" s="1"/>
  <c r="G13" i="58"/>
  <c r="G13" i="37"/>
  <c r="G468" i="37"/>
  <c r="G468" i="41" s="1"/>
  <c r="G468" i="58"/>
  <c r="E429" i="37"/>
  <c r="E429" i="41" s="1"/>
  <c r="E429" i="58"/>
  <c r="G221" i="37"/>
  <c r="G221" i="41" s="1"/>
  <c r="G221" i="58"/>
  <c r="E471" i="58"/>
  <c r="E471" i="37"/>
  <c r="E471" i="41" s="1"/>
  <c r="I446" i="37"/>
  <c r="I446" i="58"/>
  <c r="J446" i="58"/>
  <c r="J446" i="37"/>
  <c r="J436" i="58"/>
  <c r="J436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67" i="58"/>
  <c r="H67" i="37"/>
  <c r="H55" i="37"/>
  <c r="H43" i="37"/>
  <c r="H31" i="37"/>
  <c r="H19" i="58"/>
  <c r="H19" i="37"/>
  <c r="H162" i="58"/>
  <c r="H162" i="37"/>
  <c r="I54" i="58"/>
  <c r="I42" i="37"/>
  <c r="H45" i="58"/>
  <c r="J71" i="58"/>
  <c r="J71" i="37"/>
  <c r="J27" i="37"/>
  <c r="G110" i="37"/>
  <c r="G110" i="41" s="1"/>
  <c r="G110" i="58"/>
  <c r="G425" i="37"/>
  <c r="G425" i="41" s="1"/>
  <c r="G425" i="58"/>
  <c r="G378" i="58"/>
  <c r="G378" i="37"/>
  <c r="G378" i="41" s="1"/>
  <c r="G335" i="58"/>
  <c r="G335" i="37"/>
  <c r="G335" i="41" s="1"/>
  <c r="G278" i="58"/>
  <c r="G278" i="37"/>
  <c r="G278" i="41" s="1"/>
  <c r="G210" i="58"/>
  <c r="G210" i="37"/>
  <c r="G210" i="41" s="1"/>
  <c r="G136" i="58"/>
  <c r="G136" i="37"/>
  <c r="G136" i="41" s="1"/>
  <c r="E410" i="58"/>
  <c r="E410" i="37"/>
  <c r="E410" i="41" s="1"/>
  <c r="E321" i="37"/>
  <c r="E321" i="41" s="1"/>
  <c r="E321" i="58"/>
  <c r="E265" i="37"/>
  <c r="E265" i="41" s="1"/>
  <c r="E265" i="58"/>
  <c r="E224" i="37"/>
  <c r="E224" i="41" s="1"/>
  <c r="E224" i="58"/>
  <c r="E179" i="37"/>
  <c r="E179" i="41" s="1"/>
  <c r="E179" i="58"/>
  <c r="E155" i="37"/>
  <c r="E155" i="41" s="1"/>
  <c r="E155" i="58"/>
  <c r="E99" i="58"/>
  <c r="E99" i="37"/>
  <c r="E99" i="41" s="1"/>
  <c r="E4" i="37"/>
  <c r="E4" i="41" s="1"/>
  <c r="E4" i="58"/>
  <c r="G70" i="37"/>
  <c r="J70" i="37" s="1"/>
  <c r="G70" i="58"/>
  <c r="H70" i="58" s="1"/>
  <c r="G50" i="37"/>
  <c r="G50" i="41" s="1"/>
  <c r="G50" i="58"/>
  <c r="H50" i="58" s="1"/>
  <c r="G38" i="58"/>
  <c r="H38" i="58" s="1"/>
  <c r="G38" i="37"/>
  <c r="G38" i="41" s="1"/>
  <c r="G26" i="37"/>
  <c r="G26" i="41" s="1"/>
  <c r="G26" i="58"/>
  <c r="H26" i="58" s="1"/>
  <c r="G18" i="58"/>
  <c r="I18" i="58" s="1"/>
  <c r="G18" i="37"/>
  <c r="G18" i="41" s="1"/>
  <c r="E430" i="37"/>
  <c r="E430" i="41" s="1"/>
  <c r="E430" i="58"/>
  <c r="E209" i="58"/>
  <c r="E209" i="37"/>
  <c r="E209" i="41" s="1"/>
  <c r="H450" i="58"/>
  <c r="H450" i="37"/>
  <c r="G79" i="58"/>
  <c r="G79" i="37"/>
  <c r="G79" i="41" s="1"/>
  <c r="G163" i="37"/>
  <c r="G163" i="41" s="1"/>
  <c r="G163" i="58"/>
  <c r="G418" i="37"/>
  <c r="G418" i="41" s="1"/>
  <c r="G418" i="58"/>
  <c r="G446" i="58"/>
  <c r="G446" i="37"/>
  <c r="G446" i="41" s="1"/>
  <c r="G393" i="37"/>
  <c r="G393" i="41" s="1"/>
  <c r="G393" i="58"/>
  <c r="G9" i="37"/>
  <c r="G9" i="41" s="1"/>
  <c r="G9" i="58"/>
  <c r="G104" i="58"/>
  <c r="G104" i="37"/>
  <c r="G104" i="41" s="1"/>
  <c r="G317" i="37"/>
  <c r="G317" i="41" s="1"/>
  <c r="G317" i="58"/>
  <c r="G10" i="58"/>
  <c r="G10" i="37"/>
  <c r="G10" i="41" s="1"/>
  <c r="G89" i="37"/>
  <c r="G89" i="41" s="1"/>
  <c r="G89" i="58"/>
  <c r="G113" i="58"/>
  <c r="G113" i="37"/>
  <c r="G113" i="41" s="1"/>
  <c r="G165" i="58"/>
  <c r="G165" i="37"/>
  <c r="G165" i="41" s="1"/>
  <c r="G403" i="58"/>
  <c r="G403" i="37"/>
  <c r="G403" i="41" s="1"/>
  <c r="G420" i="58"/>
  <c r="G420" i="37"/>
  <c r="G420" i="41" s="1"/>
  <c r="G440" i="37"/>
  <c r="G440" i="41" s="1"/>
  <c r="G440" i="58"/>
  <c r="G448" i="58"/>
  <c r="G448" i="37"/>
  <c r="G448" i="41" s="1"/>
  <c r="G457" i="58"/>
  <c r="G457" i="37"/>
  <c r="G457" i="41" s="1"/>
  <c r="G467" i="58"/>
  <c r="G467" i="37"/>
  <c r="G467" i="41" s="1"/>
  <c r="I453" i="37"/>
  <c r="I453" i="58"/>
  <c r="E374" i="38" s="1"/>
  <c r="K237" i="66" s="1"/>
  <c r="I455" i="58"/>
  <c r="E376" i="38" s="1"/>
  <c r="K203" i="66" s="1"/>
  <c r="I455" i="37"/>
  <c r="I454" i="58"/>
  <c r="E375" i="38" s="1"/>
  <c r="K219" i="66" s="1"/>
  <c r="I456" i="58"/>
  <c r="E377" i="38" s="1"/>
  <c r="K201" i="66" s="1"/>
  <c r="I454" i="37"/>
  <c r="I456" i="37"/>
  <c r="G399" i="37"/>
  <c r="G399" i="41" s="1"/>
  <c r="G399" i="58"/>
  <c r="G391" i="37"/>
  <c r="G391" i="41" s="1"/>
  <c r="G391" i="58"/>
  <c r="G383" i="58"/>
  <c r="G383" i="37"/>
  <c r="G383" i="41" s="1"/>
  <c r="G375" i="58"/>
  <c r="G375" i="37"/>
  <c r="G375" i="41" s="1"/>
  <c r="G367" i="37"/>
  <c r="G367" i="41" s="1"/>
  <c r="G367" i="58"/>
  <c r="G359" i="58"/>
  <c r="G359" i="37"/>
  <c r="G359" i="41" s="1"/>
  <c r="G351" i="37"/>
  <c r="G351" i="41" s="1"/>
  <c r="G351" i="58"/>
  <c r="G342" i="37"/>
  <c r="G342" i="41" s="1"/>
  <c r="G342" i="58"/>
  <c r="G331" i="58"/>
  <c r="G331" i="37"/>
  <c r="G331" i="41" s="1"/>
  <c r="G320" i="37"/>
  <c r="G320" i="41" s="1"/>
  <c r="G320" i="58"/>
  <c r="G310" i="58"/>
  <c r="G310" i="37"/>
  <c r="G310" i="41" s="1"/>
  <c r="G299" i="37"/>
  <c r="G299" i="41" s="1"/>
  <c r="G299" i="58"/>
  <c r="G291" i="58"/>
  <c r="G291" i="37"/>
  <c r="G291" i="41" s="1"/>
  <c r="G283" i="37"/>
  <c r="G283" i="41" s="1"/>
  <c r="G283" i="58"/>
  <c r="G275" i="37"/>
  <c r="G275" i="41" s="1"/>
  <c r="G275" i="58"/>
  <c r="G267" i="58"/>
  <c r="G267" i="37"/>
  <c r="G267" i="41" s="1"/>
  <c r="G259" i="37"/>
  <c r="G259" i="41" s="1"/>
  <c r="G259" i="58"/>
  <c r="G251" i="37"/>
  <c r="G251" i="41" s="1"/>
  <c r="G251" i="58"/>
  <c r="G243" i="37"/>
  <c r="G243" i="41" s="1"/>
  <c r="G243" i="58"/>
  <c r="G235" i="58"/>
  <c r="G235" i="37"/>
  <c r="G235" i="41" s="1"/>
  <c r="G227" i="58"/>
  <c r="G227" i="37"/>
  <c r="G227" i="41" s="1"/>
  <c r="G216" i="58"/>
  <c r="G216" i="37"/>
  <c r="G216" i="41" s="1"/>
  <c r="G206" i="58"/>
  <c r="G206" i="37"/>
  <c r="G206" i="41" s="1"/>
  <c r="G197" i="58"/>
  <c r="G197" i="37"/>
  <c r="G197" i="41" s="1"/>
  <c r="G189" i="58"/>
  <c r="G189" i="37"/>
  <c r="G189" i="41" s="1"/>
  <c r="G181" i="58"/>
  <c r="G181" i="37"/>
  <c r="G181" i="41" s="1"/>
  <c r="G173" i="58"/>
  <c r="G173" i="37"/>
  <c r="G173" i="41" s="1"/>
  <c r="G159" i="58"/>
  <c r="G159" i="37"/>
  <c r="G159" i="41" s="1"/>
  <c r="G151" i="37"/>
  <c r="G151" i="41" s="1"/>
  <c r="G151" i="58"/>
  <c r="G143" i="37"/>
  <c r="G143" i="41" s="1"/>
  <c r="G143" i="58"/>
  <c r="G132" i="58"/>
  <c r="G132" i="37"/>
  <c r="G132" i="41" s="1"/>
  <c r="G122" i="58"/>
  <c r="G122" i="37"/>
  <c r="G122" i="41" s="1"/>
  <c r="E460" i="58"/>
  <c r="E460" i="37"/>
  <c r="E460" i="41" s="1"/>
  <c r="E452" i="37"/>
  <c r="E452" i="41" s="1"/>
  <c r="E452" i="58"/>
  <c r="E443" i="58"/>
  <c r="E443" i="37"/>
  <c r="E443" i="41" s="1"/>
  <c r="E433" i="37"/>
  <c r="E433" i="41" s="1"/>
  <c r="E433" i="58"/>
  <c r="E423" i="37"/>
  <c r="E423" i="41" s="1"/>
  <c r="E423" i="58"/>
  <c r="E415" i="58"/>
  <c r="E415" i="37"/>
  <c r="E415" i="41" s="1"/>
  <c r="E407" i="37"/>
  <c r="E407" i="41" s="1"/>
  <c r="E407" i="58"/>
  <c r="E398" i="58"/>
  <c r="E398" i="37"/>
  <c r="E398" i="41" s="1"/>
  <c r="E390" i="58"/>
  <c r="E390" i="37"/>
  <c r="E390" i="41" s="1"/>
  <c r="E382" i="58"/>
  <c r="E382" i="37"/>
  <c r="E382" i="41" s="1"/>
  <c r="E374" i="58"/>
  <c r="E374" i="37"/>
  <c r="E374" i="41" s="1"/>
  <c r="E366" i="37"/>
  <c r="E366" i="41" s="1"/>
  <c r="E366" i="58"/>
  <c r="E358" i="37"/>
  <c r="E358" i="41" s="1"/>
  <c r="E358" i="58"/>
  <c r="E350" i="37"/>
  <c r="E350" i="41" s="1"/>
  <c r="E350" i="58"/>
  <c r="E342" i="58"/>
  <c r="E342" i="37"/>
  <c r="E342" i="41" s="1"/>
  <c r="E334" i="58"/>
  <c r="E334" i="37"/>
  <c r="E334" i="41" s="1"/>
  <c r="E326" i="37"/>
  <c r="E326" i="41" s="1"/>
  <c r="E326" i="58"/>
  <c r="E318" i="58"/>
  <c r="E318" i="37"/>
  <c r="E318" i="41" s="1"/>
  <c r="E310" i="37"/>
  <c r="E310" i="41" s="1"/>
  <c r="E310" i="58"/>
  <c r="E302" i="58"/>
  <c r="E302" i="37"/>
  <c r="E302" i="41" s="1"/>
  <c r="E294" i="58"/>
  <c r="E294" i="37"/>
  <c r="E294" i="41" s="1"/>
  <c r="E286" i="37"/>
  <c r="E286" i="41" s="1"/>
  <c r="E286" i="58"/>
  <c r="E278" i="58"/>
  <c r="E278" i="37"/>
  <c r="E278" i="41" s="1"/>
  <c r="E270" i="58"/>
  <c r="E270" i="37"/>
  <c r="E270" i="41" s="1"/>
  <c r="E262" i="58"/>
  <c r="E262" i="37"/>
  <c r="E262" i="41" s="1"/>
  <c r="E254" i="58"/>
  <c r="E254" i="37"/>
  <c r="E254" i="41" s="1"/>
  <c r="E246" i="58"/>
  <c r="E246" i="37"/>
  <c r="E246" i="41" s="1"/>
  <c r="E238" i="58"/>
  <c r="E238" i="37"/>
  <c r="E238" i="41" s="1"/>
  <c r="E230" i="37"/>
  <c r="E230" i="41" s="1"/>
  <c r="E230" i="58"/>
  <c r="E220" i="58"/>
  <c r="E220" i="37"/>
  <c r="E220" i="41" s="1"/>
  <c r="E210" i="37"/>
  <c r="E210" i="41" s="1"/>
  <c r="E210" i="58"/>
  <c r="E200" i="37"/>
  <c r="E200" i="41" s="1"/>
  <c r="E200" i="58"/>
  <c r="E192" i="58"/>
  <c r="E192" i="37"/>
  <c r="E192" i="41" s="1"/>
  <c r="E184" i="37"/>
  <c r="E184" i="41" s="1"/>
  <c r="E184" i="58"/>
  <c r="E176" i="37"/>
  <c r="E176" i="41" s="1"/>
  <c r="E176" i="58"/>
  <c r="E168" i="58"/>
  <c r="E168" i="37"/>
  <c r="E168" i="41" s="1"/>
  <c r="E160" i="37"/>
  <c r="E160" i="41" s="1"/>
  <c r="E160" i="58"/>
  <c r="E152" i="37"/>
  <c r="E152" i="41" s="1"/>
  <c r="E152" i="58"/>
  <c r="E144" i="37"/>
  <c r="E144" i="41" s="1"/>
  <c r="E144" i="58"/>
  <c r="E136" i="37"/>
  <c r="E136" i="41" s="1"/>
  <c r="E136" i="58"/>
  <c r="E128" i="37"/>
  <c r="E128" i="41" s="1"/>
  <c r="E128" i="58"/>
  <c r="E120" i="58"/>
  <c r="E120" i="37"/>
  <c r="E120" i="41" s="1"/>
  <c r="E112" i="37"/>
  <c r="E112" i="41" s="1"/>
  <c r="E112" i="58"/>
  <c r="E104" i="37"/>
  <c r="E104" i="41" s="1"/>
  <c r="E104" i="58"/>
  <c r="E96" i="37"/>
  <c r="E96" i="41" s="1"/>
  <c r="E96" i="58"/>
  <c r="E88" i="58"/>
  <c r="E88" i="37"/>
  <c r="E88" i="41" s="1"/>
  <c r="E80" i="37"/>
  <c r="E80" i="41" s="1"/>
  <c r="E80" i="58"/>
  <c r="E10" i="37"/>
  <c r="E10" i="41" s="1"/>
  <c r="E10" i="58"/>
  <c r="E73" i="37"/>
  <c r="E73" i="41" s="1"/>
  <c r="E73" i="58"/>
  <c r="E69" i="58"/>
  <c r="E69" i="37"/>
  <c r="E69" i="41" s="1"/>
  <c r="E65" i="58"/>
  <c r="E65" i="37"/>
  <c r="E65" i="41" s="1"/>
  <c r="E61" i="37"/>
  <c r="E61" i="41" s="1"/>
  <c r="E61" i="58"/>
  <c r="E57" i="58"/>
  <c r="E57" i="37"/>
  <c r="E57" i="41" s="1"/>
  <c r="E53" i="58"/>
  <c r="E53" i="37"/>
  <c r="E53" i="41" s="1"/>
  <c r="E49" i="58"/>
  <c r="E49" i="37"/>
  <c r="E49" i="41" s="1"/>
  <c r="E45" i="37"/>
  <c r="E45" i="41" s="1"/>
  <c r="E45" i="58"/>
  <c r="E41" i="37"/>
  <c r="E41" i="41" s="1"/>
  <c r="E41" i="58"/>
  <c r="E37" i="58"/>
  <c r="E37" i="37"/>
  <c r="E37" i="41" s="1"/>
  <c r="E33" i="58"/>
  <c r="E33" i="37"/>
  <c r="E33" i="41" s="1"/>
  <c r="E29" i="58"/>
  <c r="E29" i="37"/>
  <c r="E29" i="41" s="1"/>
  <c r="E25" i="58"/>
  <c r="E25" i="37"/>
  <c r="E25" i="41" s="1"/>
  <c r="E21" i="37"/>
  <c r="E21" i="41" s="1"/>
  <c r="E21" i="58"/>
  <c r="E17" i="58"/>
  <c r="E17" i="37"/>
  <c r="E17" i="41" s="1"/>
  <c r="E13" i="37"/>
  <c r="E13" i="41" s="1"/>
  <c r="E13" i="58"/>
  <c r="G470" i="37"/>
  <c r="G470" i="41" s="1"/>
  <c r="G470" i="58"/>
  <c r="G225" i="58"/>
  <c r="G225" i="37"/>
  <c r="G225" i="41" s="1"/>
  <c r="G471" i="58"/>
  <c r="G471" i="37"/>
  <c r="G471" i="41" s="1"/>
  <c r="E271" i="38"/>
  <c r="E226" i="38"/>
  <c r="E218" i="38"/>
  <c r="E263" i="38"/>
  <c r="H441" i="37"/>
  <c r="H441" i="58"/>
  <c r="E246" i="38"/>
  <c r="E236" i="38"/>
  <c r="E204" i="38"/>
  <c r="E249" i="38"/>
  <c r="G22" i="66"/>
  <c r="E244" i="38"/>
  <c r="G166" i="66" s="1"/>
  <c r="J61" i="37"/>
  <c r="J61" i="58"/>
  <c r="J37" i="58"/>
  <c r="I49" i="37"/>
  <c r="I65" i="58"/>
  <c r="I65" i="37"/>
  <c r="I53" i="58"/>
  <c r="I53" i="37"/>
  <c r="I29" i="58"/>
  <c r="I29" i="37"/>
  <c r="I17" i="58"/>
  <c r="J59" i="37"/>
  <c r="J54" i="58"/>
  <c r="G7" i="37"/>
  <c r="G7" i="41" s="1"/>
  <c r="G7" i="58"/>
  <c r="G102" i="37"/>
  <c r="G102" i="41" s="1"/>
  <c r="G102" i="58"/>
  <c r="G417" i="58"/>
  <c r="G417" i="37"/>
  <c r="G417" i="41" s="1"/>
  <c r="G394" i="58"/>
  <c r="G394" i="37"/>
  <c r="G394" i="41" s="1"/>
  <c r="G346" i="58"/>
  <c r="G346" i="37"/>
  <c r="G346" i="41" s="1"/>
  <c r="G303" i="58"/>
  <c r="G303" i="37"/>
  <c r="G303" i="41" s="1"/>
  <c r="G254" i="37"/>
  <c r="G254" i="41" s="1"/>
  <c r="G254" i="58"/>
  <c r="G192" i="58"/>
  <c r="G192" i="37"/>
  <c r="G192" i="41" s="1"/>
  <c r="G126" i="58"/>
  <c r="G126" i="37"/>
  <c r="G126" i="41" s="1"/>
  <c r="E418" i="58"/>
  <c r="E418" i="37"/>
  <c r="E418" i="41" s="1"/>
  <c r="E361" i="37"/>
  <c r="E361" i="41" s="1"/>
  <c r="E361" i="58"/>
  <c r="E281" i="58"/>
  <c r="E281" i="37"/>
  <c r="E281" i="41" s="1"/>
  <c r="E147" i="58"/>
  <c r="E147" i="37"/>
  <c r="E147" i="41" s="1"/>
  <c r="E254" i="38"/>
  <c r="G203" i="66" s="1"/>
  <c r="E209" i="38"/>
  <c r="E250" i="38"/>
  <c r="G237" i="66" s="1"/>
  <c r="E205" i="38"/>
  <c r="J46" i="37"/>
  <c r="I58" i="37"/>
  <c r="I58" i="58"/>
  <c r="H58" i="37"/>
  <c r="H58" i="58"/>
  <c r="H22" i="58"/>
  <c r="J51" i="37"/>
  <c r="J51" i="58"/>
  <c r="G8" i="37"/>
  <c r="G8" i="41" s="1"/>
  <c r="G8" i="58"/>
  <c r="G103" i="58"/>
  <c r="G103" i="37"/>
  <c r="G103" i="41" s="1"/>
  <c r="G119" i="37"/>
  <c r="G119" i="41" s="1"/>
  <c r="G119" i="58"/>
  <c r="G410" i="37"/>
  <c r="G410" i="41" s="1"/>
  <c r="G410" i="58"/>
  <c r="G436" i="37"/>
  <c r="G436" i="41" s="1"/>
  <c r="G436" i="58"/>
  <c r="G401" i="58"/>
  <c r="G401" i="37"/>
  <c r="G401" i="41" s="1"/>
  <c r="G369" i="37"/>
  <c r="G369" i="41" s="1"/>
  <c r="G369" i="58"/>
  <c r="G80" i="58"/>
  <c r="G80" i="37"/>
  <c r="G80" i="41" s="1"/>
  <c r="G96" i="37"/>
  <c r="G96" i="41" s="1"/>
  <c r="G96" i="58"/>
  <c r="G121" i="37"/>
  <c r="G121" i="41" s="1"/>
  <c r="G121" i="58"/>
  <c r="G402" i="58"/>
  <c r="G402" i="37"/>
  <c r="G402" i="41" s="1"/>
  <c r="G81" i="58"/>
  <c r="G81" i="37"/>
  <c r="G81" i="41" s="1"/>
  <c r="G97" i="37"/>
  <c r="G97" i="41" s="1"/>
  <c r="G97" i="58"/>
  <c r="G105" i="37"/>
  <c r="G105" i="41" s="1"/>
  <c r="G105" i="58"/>
  <c r="G125" i="37"/>
  <c r="G125" i="41" s="1"/>
  <c r="G125" i="58"/>
  <c r="G321" i="37"/>
  <c r="G321" i="41" s="1"/>
  <c r="G321" i="58"/>
  <c r="G412" i="58"/>
  <c r="G412" i="37"/>
  <c r="G412" i="41" s="1"/>
  <c r="G428" i="58"/>
  <c r="G428" i="37"/>
  <c r="G428" i="41" s="1"/>
  <c r="G74" i="58"/>
  <c r="G74" i="37"/>
  <c r="G74" i="41" s="1"/>
  <c r="G82" i="58"/>
  <c r="G82" i="37"/>
  <c r="G82" i="41" s="1"/>
  <c r="G90" i="37"/>
  <c r="G90" i="41" s="1"/>
  <c r="G90" i="58"/>
  <c r="G98" i="58"/>
  <c r="G98" i="37"/>
  <c r="G98" i="41" s="1"/>
  <c r="G106" i="58"/>
  <c r="G106" i="37"/>
  <c r="G106" i="41" s="1"/>
  <c r="G114" i="37"/>
  <c r="G114" i="41" s="1"/>
  <c r="G114" i="58"/>
  <c r="G129" i="37"/>
  <c r="G129" i="41" s="1"/>
  <c r="G129" i="58"/>
  <c r="G166" i="37"/>
  <c r="G166" i="41" s="1"/>
  <c r="G166" i="58"/>
  <c r="G325" i="58"/>
  <c r="G325" i="37"/>
  <c r="G325" i="41" s="1"/>
  <c r="G404" i="58"/>
  <c r="G404" i="37"/>
  <c r="G404" i="41" s="1"/>
  <c r="G413" i="37"/>
  <c r="G413" i="41" s="1"/>
  <c r="G413" i="58"/>
  <c r="G421" i="37"/>
  <c r="G421" i="41" s="1"/>
  <c r="G421" i="58"/>
  <c r="G431" i="58"/>
  <c r="G431" i="37"/>
  <c r="G431" i="41" s="1"/>
  <c r="G441" i="37"/>
  <c r="G441" i="41" s="1"/>
  <c r="G441" i="58"/>
  <c r="G450" i="37"/>
  <c r="G450" i="41" s="1"/>
  <c r="G450" i="58"/>
  <c r="G458" i="58"/>
  <c r="G458" i="37"/>
  <c r="G458" i="41" s="1"/>
  <c r="G398" i="58"/>
  <c r="G398" i="37"/>
  <c r="G398" i="41" s="1"/>
  <c r="G390" i="58"/>
  <c r="G390" i="37"/>
  <c r="G390" i="41" s="1"/>
  <c r="G382" i="37"/>
  <c r="G382" i="41" s="1"/>
  <c r="G382" i="58"/>
  <c r="G374" i="37"/>
  <c r="G374" i="41" s="1"/>
  <c r="G374" i="58"/>
  <c r="G366" i="58"/>
  <c r="G366" i="37"/>
  <c r="G366" i="41" s="1"/>
  <c r="G358" i="37"/>
  <c r="G358" i="41" s="1"/>
  <c r="G358" i="58"/>
  <c r="G350" i="58"/>
  <c r="G350" i="37"/>
  <c r="G350" i="41" s="1"/>
  <c r="G340" i="37"/>
  <c r="G340" i="41" s="1"/>
  <c r="G340" i="58"/>
  <c r="G330" i="58"/>
  <c r="G330" i="37"/>
  <c r="G330" i="41" s="1"/>
  <c r="G319" i="58"/>
  <c r="G319" i="37"/>
  <c r="G319" i="41" s="1"/>
  <c r="G308" i="58"/>
  <c r="G308" i="37"/>
  <c r="G308" i="41" s="1"/>
  <c r="G298" i="58"/>
  <c r="G298" i="37"/>
  <c r="G298" i="41" s="1"/>
  <c r="G290" i="58"/>
  <c r="G290" i="37"/>
  <c r="G290" i="41" s="1"/>
  <c r="G282" i="58"/>
  <c r="G282" i="37"/>
  <c r="G282" i="41" s="1"/>
  <c r="G274" i="58"/>
  <c r="G274" i="37"/>
  <c r="G274" i="41" s="1"/>
  <c r="G266" i="37"/>
  <c r="G266" i="41" s="1"/>
  <c r="G266" i="58"/>
  <c r="G258" i="37"/>
  <c r="G258" i="41" s="1"/>
  <c r="G258" i="58"/>
  <c r="G250" i="37"/>
  <c r="G250" i="41" s="1"/>
  <c r="G250" i="58"/>
  <c r="G242" i="37"/>
  <c r="G242" i="41" s="1"/>
  <c r="G242" i="58"/>
  <c r="G234" i="58"/>
  <c r="G234" i="37"/>
  <c r="G234" i="41" s="1"/>
  <c r="G226" i="37"/>
  <c r="G226" i="41" s="1"/>
  <c r="G226" i="58"/>
  <c r="G215" i="58"/>
  <c r="G215" i="37"/>
  <c r="G215" i="41" s="1"/>
  <c r="G204" i="58"/>
  <c r="G204" i="37"/>
  <c r="G204" i="41" s="1"/>
  <c r="G196" i="37"/>
  <c r="G196" i="41" s="1"/>
  <c r="G196" i="58"/>
  <c r="G188" i="58"/>
  <c r="G188" i="37"/>
  <c r="G188" i="41" s="1"/>
  <c r="G180" i="37"/>
  <c r="G180" i="41" s="1"/>
  <c r="G180" i="58"/>
  <c r="G172" i="58"/>
  <c r="G172" i="37"/>
  <c r="G172" i="41" s="1"/>
  <c r="G158" i="58"/>
  <c r="G158" i="37"/>
  <c r="G158" i="41" s="1"/>
  <c r="G150" i="58"/>
  <c r="G150" i="37"/>
  <c r="G150" i="41" s="1"/>
  <c r="G142" i="58"/>
  <c r="G142" i="37"/>
  <c r="G142" i="41" s="1"/>
  <c r="G131" i="37"/>
  <c r="G131" i="41" s="1"/>
  <c r="G131" i="58"/>
  <c r="G120" i="58"/>
  <c r="G120" i="37"/>
  <c r="G120" i="41" s="1"/>
  <c r="E459" i="58"/>
  <c r="E459" i="37"/>
  <c r="E459" i="41" s="1"/>
  <c r="E451" i="58"/>
  <c r="E451" i="37"/>
  <c r="E451" i="41" s="1"/>
  <c r="E442" i="58"/>
  <c r="E442" i="37"/>
  <c r="E442" i="41" s="1"/>
  <c r="E432" i="58"/>
  <c r="E432" i="37"/>
  <c r="E432" i="41" s="1"/>
  <c r="E422" i="58"/>
  <c r="E422" i="37"/>
  <c r="E422" i="41" s="1"/>
  <c r="E414" i="58"/>
  <c r="E414" i="37"/>
  <c r="E414" i="41" s="1"/>
  <c r="E405" i="58"/>
  <c r="E405" i="37"/>
  <c r="E405" i="41" s="1"/>
  <c r="E397" i="58"/>
  <c r="E397" i="37"/>
  <c r="E397" i="41" s="1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37"/>
  <c r="E357" i="41" s="1"/>
  <c r="E357" i="58"/>
  <c r="E349" i="37"/>
  <c r="E349" i="41" s="1"/>
  <c r="E349" i="58"/>
  <c r="E341" i="58"/>
  <c r="E341" i="37"/>
  <c r="E341" i="41" s="1"/>
  <c r="E333" i="37"/>
  <c r="E333" i="41" s="1"/>
  <c r="E333" i="58"/>
  <c r="E325" i="37"/>
  <c r="E325" i="41" s="1"/>
  <c r="E325" i="58"/>
  <c r="E317" i="58"/>
  <c r="E317" i="37"/>
  <c r="E317" i="41" s="1"/>
  <c r="E309" i="37"/>
  <c r="E309" i="41" s="1"/>
  <c r="E309" i="58"/>
  <c r="E301" i="37"/>
  <c r="E301" i="41" s="1"/>
  <c r="E301" i="58"/>
  <c r="E293" i="58"/>
  <c r="E293" i="37"/>
  <c r="E293" i="41" s="1"/>
  <c r="E285" i="58"/>
  <c r="E285" i="37"/>
  <c r="E285" i="41" s="1"/>
  <c r="E277" i="58"/>
  <c r="E277" i="37"/>
  <c r="E277" i="41" s="1"/>
  <c r="E269" i="58"/>
  <c r="E269" i="37"/>
  <c r="E269" i="41" s="1"/>
  <c r="E261" i="58"/>
  <c r="E261" i="37"/>
  <c r="E261" i="41" s="1"/>
  <c r="E253" i="58"/>
  <c r="E253" i="37"/>
  <c r="E253" i="41" s="1"/>
  <c r="E245" i="58"/>
  <c r="E245" i="37"/>
  <c r="E245" i="41" s="1"/>
  <c r="E237" i="58"/>
  <c r="E237" i="37"/>
  <c r="E237" i="41" s="1"/>
  <c r="E229" i="58"/>
  <c r="E229" i="37"/>
  <c r="E229" i="41" s="1"/>
  <c r="E219" i="58"/>
  <c r="E219" i="37"/>
  <c r="E219" i="41" s="1"/>
  <c r="E208" i="58"/>
  <c r="E208" i="37"/>
  <c r="E208" i="41" s="1"/>
  <c r="E199" i="37"/>
  <c r="E199" i="41" s="1"/>
  <c r="E199" i="58"/>
  <c r="E191" i="58"/>
  <c r="E191" i="37"/>
  <c r="E191" i="41" s="1"/>
  <c r="E183" i="37"/>
  <c r="E183" i="41" s="1"/>
  <c r="E183" i="58"/>
  <c r="E175" i="58"/>
  <c r="E175" i="37"/>
  <c r="E175" i="41" s="1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58"/>
  <c r="E135" i="37"/>
  <c r="E135" i="41" s="1"/>
  <c r="E127" i="37"/>
  <c r="E127" i="41" s="1"/>
  <c r="E127" i="58"/>
  <c r="E119" i="37"/>
  <c r="E119" i="41" s="1"/>
  <c r="E119" i="58"/>
  <c r="E111" i="37"/>
  <c r="E111" i="41" s="1"/>
  <c r="E111" i="58"/>
  <c r="E103" i="37"/>
  <c r="E103" i="41" s="1"/>
  <c r="E103" i="58"/>
  <c r="E95" i="58"/>
  <c r="E95" i="37"/>
  <c r="E95" i="41" s="1"/>
  <c r="E87" i="58"/>
  <c r="E87" i="37"/>
  <c r="E87" i="41" s="1"/>
  <c r="E79" i="37"/>
  <c r="E79" i="41" s="1"/>
  <c r="E79" i="58"/>
  <c r="E9" i="37"/>
  <c r="E9" i="41" s="1"/>
  <c r="E9" i="58"/>
  <c r="G72" i="58"/>
  <c r="I72" i="58" s="1"/>
  <c r="G72" i="37"/>
  <c r="G72" i="41" s="1"/>
  <c r="G68" i="58"/>
  <c r="I68" i="58" s="1"/>
  <c r="G68" i="37"/>
  <c r="G68" i="41" s="1"/>
  <c r="G64" i="58"/>
  <c r="H64" i="58" s="1"/>
  <c r="G64" i="37"/>
  <c r="G64" i="41" s="1"/>
  <c r="G60" i="37"/>
  <c r="G60" i="41" s="1"/>
  <c r="G60" i="58"/>
  <c r="H60" i="58" s="1"/>
  <c r="G56" i="37"/>
  <c r="G56" i="41" s="1"/>
  <c r="G56" i="58"/>
  <c r="I56" i="58" s="1"/>
  <c r="G52" i="37"/>
  <c r="G52" i="41" s="1"/>
  <c r="G52" i="58"/>
  <c r="I52" i="58" s="1"/>
  <c r="G48" i="37"/>
  <c r="G48" i="41" s="1"/>
  <c r="G48" i="58"/>
  <c r="H48" i="58" s="1"/>
  <c r="G44" i="58"/>
  <c r="I44" i="58" s="1"/>
  <c r="G44" i="37"/>
  <c r="G44" i="41" s="1"/>
  <c r="G40" i="37"/>
  <c r="G40" i="41" s="1"/>
  <c r="G40" i="58"/>
  <c r="I40" i="58" s="1"/>
  <c r="G36" i="37"/>
  <c r="G36" i="41" s="1"/>
  <c r="G36" i="58"/>
  <c r="I36" i="58" s="1"/>
  <c r="G32" i="58"/>
  <c r="I32" i="58" s="1"/>
  <c r="G32" i="37"/>
  <c r="G32" i="41" s="1"/>
  <c r="G28" i="58"/>
  <c r="I28" i="58" s="1"/>
  <c r="G28" i="37"/>
  <c r="G28" i="41" s="1"/>
  <c r="G24" i="58"/>
  <c r="H24" i="58" s="1"/>
  <c r="G24" i="37"/>
  <c r="G24" i="41" s="1"/>
  <c r="G20" i="37"/>
  <c r="G20" i="41" s="1"/>
  <c r="G20" i="58"/>
  <c r="H20" i="58" s="1"/>
  <c r="G16" i="37"/>
  <c r="G16" i="41" s="1"/>
  <c r="G16" i="58"/>
  <c r="H16" i="58" s="1"/>
  <c r="G12" i="58"/>
  <c r="G12" i="37"/>
  <c r="E470" i="58"/>
  <c r="E470" i="37"/>
  <c r="E470" i="41" s="1"/>
  <c r="E225" i="58"/>
  <c r="E225" i="37"/>
  <c r="E225" i="41" s="1"/>
  <c r="H8" i="37"/>
  <c r="H8" i="58"/>
  <c r="E270" i="38"/>
  <c r="G249" i="66" s="1"/>
  <c r="E225" i="38"/>
  <c r="G105" i="66" s="1"/>
  <c r="H440" i="58"/>
  <c r="H440" i="37"/>
  <c r="E243" i="38"/>
  <c r="G149" i="66" s="1"/>
  <c r="G5" i="66"/>
  <c r="E235" i="38"/>
  <c r="G189" i="66" s="1"/>
  <c r="N189" i="66" s="1"/>
  <c r="G45" i="66"/>
  <c r="N45" i="66" s="1"/>
  <c r="I441" i="37"/>
  <c r="I441" i="58"/>
  <c r="E253" i="38"/>
  <c r="E208" i="38"/>
  <c r="E251" i="38"/>
  <c r="E206" i="38"/>
  <c r="J58" i="37"/>
  <c r="J58" i="58"/>
  <c r="J34" i="58"/>
  <c r="I70" i="58"/>
  <c r="I22" i="58"/>
  <c r="I63" i="58"/>
  <c r="I63" i="37"/>
  <c r="I51" i="37"/>
  <c r="I51" i="58"/>
  <c r="I39" i="37"/>
  <c r="I39" i="58"/>
  <c r="I27" i="37"/>
  <c r="I15" i="58"/>
  <c r="I15" i="37"/>
  <c r="H66" i="58"/>
  <c r="H54" i="58"/>
  <c r="H54" i="37"/>
  <c r="H42" i="37"/>
  <c r="H30" i="37"/>
  <c r="H18" i="37"/>
  <c r="H18" i="58"/>
  <c r="J65" i="58"/>
  <c r="J65" i="37"/>
  <c r="J47" i="37"/>
  <c r="J47" i="58"/>
  <c r="J42" i="37"/>
  <c r="J26" i="58"/>
  <c r="J21" i="37"/>
  <c r="J21" i="58"/>
  <c r="J18" i="58"/>
  <c r="J18" i="37"/>
  <c r="J15" i="37"/>
  <c r="J15" i="58"/>
  <c r="G14" i="39" l="1"/>
  <c r="J43" i="37"/>
  <c r="H35" i="37"/>
  <c r="H22" i="37"/>
  <c r="J46" i="58"/>
  <c r="H21" i="37"/>
  <c r="I35" i="37"/>
  <c r="J24" i="58"/>
  <c r="H40" i="58"/>
  <c r="J26" i="37"/>
  <c r="G12" i="39"/>
  <c r="H45" i="37"/>
  <c r="H45" i="41" s="1"/>
  <c r="I66" i="58"/>
  <c r="J34" i="37"/>
  <c r="H69" i="58"/>
  <c r="H40" i="37"/>
  <c r="J73" i="37"/>
  <c r="J67" i="58"/>
  <c r="J67" i="41" s="1"/>
  <c r="I70" i="37"/>
  <c r="G13" i="39"/>
  <c r="G16" i="39"/>
  <c r="H64" i="37"/>
  <c r="H73" i="58"/>
  <c r="H33" i="37"/>
  <c r="H31" i="58"/>
  <c r="I46" i="58"/>
  <c r="I25" i="37"/>
  <c r="J38" i="37"/>
  <c r="J54" i="37"/>
  <c r="J23" i="37"/>
  <c r="I45" i="37"/>
  <c r="J22" i="37"/>
  <c r="I17" i="37"/>
  <c r="I31" i="58"/>
  <c r="I22" i="37"/>
  <c r="I22" i="41" s="1"/>
  <c r="H28" i="37"/>
  <c r="I30" i="37"/>
  <c r="I34" i="37"/>
  <c r="H27" i="37"/>
  <c r="J38" i="58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H35" i="41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J37" i="37"/>
  <c r="J37" i="41" s="1"/>
  <c r="I72" i="37"/>
  <c r="I72" i="41" s="1"/>
  <c r="J33" i="37"/>
  <c r="J33" i="58"/>
  <c r="H33" i="58"/>
  <c r="J73" i="58"/>
  <c r="J73" i="41" s="1"/>
  <c r="H72" i="37"/>
  <c r="I49" i="41"/>
  <c r="H446" i="41"/>
  <c r="H21" i="41"/>
  <c r="H28" i="58"/>
  <c r="H32" i="37"/>
  <c r="H60" i="37"/>
  <c r="H60" i="41" s="1"/>
  <c r="I61" i="37"/>
  <c r="I61" i="41" s="1"/>
  <c r="J20" i="58"/>
  <c r="H44" i="37"/>
  <c r="J23" i="58"/>
  <c r="H44" i="58"/>
  <c r="H57" i="58"/>
  <c r="H57" i="41" s="1"/>
  <c r="I45" i="58"/>
  <c r="I45" i="41" s="1"/>
  <c r="J70" i="58"/>
  <c r="J70" i="41" s="1"/>
  <c r="J39" i="58"/>
  <c r="J39" i="41" s="1"/>
  <c r="H62" i="37"/>
  <c r="I16" i="37"/>
  <c r="J30" i="37"/>
  <c r="I25" i="58"/>
  <c r="I25" i="41" s="1"/>
  <c r="I18" i="37"/>
  <c r="I18" i="41" s="1"/>
  <c r="J40" i="58"/>
  <c r="I55" i="58"/>
  <c r="I55" i="41" s="1"/>
  <c r="H62" i="58"/>
  <c r="I71" i="37"/>
  <c r="I71" i="41" s="1"/>
  <c r="J52" i="58"/>
  <c r="J35" i="37"/>
  <c r="I30" i="58"/>
  <c r="I30" i="41" s="1"/>
  <c r="I69" i="37"/>
  <c r="I69" i="41" s="1"/>
  <c r="J62" i="37"/>
  <c r="H71" i="37"/>
  <c r="H71" i="41" s="1"/>
  <c r="H17" i="37"/>
  <c r="H17" i="41" s="1"/>
  <c r="J24" i="37"/>
  <c r="J24" i="41" s="1"/>
  <c r="I41" i="37"/>
  <c r="J62" i="58"/>
  <c r="I20" i="58"/>
  <c r="I23" i="58"/>
  <c r="I23" i="41" s="1"/>
  <c r="J71" i="41"/>
  <c r="H162" i="41"/>
  <c r="H67" i="41"/>
  <c r="J65" i="41"/>
  <c r="I63" i="41"/>
  <c r="H18" i="41"/>
  <c r="J440" i="41"/>
  <c r="H22" i="41"/>
  <c r="H19" i="41"/>
  <c r="H39" i="41"/>
  <c r="H63" i="41"/>
  <c r="I15" i="41"/>
  <c r="I39" i="41"/>
  <c r="H441" i="41"/>
  <c r="J15" i="41"/>
  <c r="J61" i="41"/>
  <c r="I446" i="41"/>
  <c r="I35" i="41"/>
  <c r="I436" i="41"/>
  <c r="H58" i="41"/>
  <c r="J63" i="41"/>
  <c r="I47" i="41"/>
  <c r="H23" i="41"/>
  <c r="H51" i="41"/>
  <c r="J34" i="41"/>
  <c r="H450" i="41"/>
  <c r="H55" i="41"/>
  <c r="H47" i="41"/>
  <c r="I31" i="41"/>
  <c r="J47" i="41"/>
  <c r="J58" i="41"/>
  <c r="I58" i="41"/>
  <c r="J54" i="41"/>
  <c r="I29" i="41"/>
  <c r="J436" i="41"/>
  <c r="J51" i="41"/>
  <c r="J447" i="41"/>
  <c r="I163" i="41"/>
  <c r="J450" i="41"/>
  <c r="H440" i="41"/>
  <c r="H46" i="41"/>
  <c r="I313" i="58"/>
  <c r="I313" i="37"/>
  <c r="G10" i="66"/>
  <c r="H429" i="37"/>
  <c r="G112" i="66"/>
  <c r="J427" i="37"/>
  <c r="J428" i="37"/>
  <c r="G124" i="66"/>
  <c r="N124" i="66" s="1"/>
  <c r="I425" i="58"/>
  <c r="G239" i="66"/>
  <c r="I363" i="58"/>
  <c r="I363" i="37"/>
  <c r="I395" i="37"/>
  <c r="I395" i="58"/>
  <c r="J141" i="37"/>
  <c r="J141" i="58"/>
  <c r="I230" i="37"/>
  <c r="I230" i="58"/>
  <c r="H30" i="41"/>
  <c r="H16" i="37"/>
  <c r="H16" i="41" s="1"/>
  <c r="H64" i="41"/>
  <c r="H420" i="37"/>
  <c r="G24" i="66"/>
  <c r="C34" i="63"/>
  <c r="G231" i="66"/>
  <c r="I424" i="58"/>
  <c r="J36" i="37"/>
  <c r="H20" i="37"/>
  <c r="H20" i="41" s="1"/>
  <c r="H68" i="37"/>
  <c r="G187" i="66"/>
  <c r="N187" i="66" s="1"/>
  <c r="H431" i="58"/>
  <c r="I455" i="41"/>
  <c r="E358" i="38"/>
  <c r="K59" i="66" s="1"/>
  <c r="J48" i="58"/>
  <c r="I52" i="37"/>
  <c r="I52" i="41" s="1"/>
  <c r="G223" i="66"/>
  <c r="I426" i="58"/>
  <c r="G165" i="66"/>
  <c r="N165" i="66" s="1"/>
  <c r="H432" i="58"/>
  <c r="I21" i="58"/>
  <c r="G183" i="66"/>
  <c r="H424" i="58"/>
  <c r="I46" i="37"/>
  <c r="I46" i="41" s="1"/>
  <c r="G46" i="41"/>
  <c r="J60" i="37"/>
  <c r="H59" i="41"/>
  <c r="I68" i="37"/>
  <c r="I68" i="41" s="1"/>
  <c r="G29" i="66"/>
  <c r="H423" i="37"/>
  <c r="J72" i="58"/>
  <c r="H26" i="37"/>
  <c r="H26" i="41" s="1"/>
  <c r="I37" i="37"/>
  <c r="H430" i="37"/>
  <c r="G17" i="66"/>
  <c r="E386" i="38"/>
  <c r="J422" i="58"/>
  <c r="G281" i="66"/>
  <c r="J14" i="37"/>
  <c r="J14" i="41" s="1"/>
  <c r="J41" i="37"/>
  <c r="I48" i="58"/>
  <c r="H49" i="58"/>
  <c r="I64" i="58"/>
  <c r="J53" i="37"/>
  <c r="J53" i="41" s="1"/>
  <c r="H53" i="58"/>
  <c r="I38" i="58"/>
  <c r="J55" i="58"/>
  <c r="G163" i="66"/>
  <c r="H419" i="58"/>
  <c r="G279" i="66"/>
  <c r="J424" i="58"/>
  <c r="I361" i="58"/>
  <c r="I361" i="37"/>
  <c r="I162" i="58"/>
  <c r="I162" i="37"/>
  <c r="H404" i="37"/>
  <c r="H404" i="58"/>
  <c r="F174" i="66" s="1"/>
  <c r="N174" i="66" s="1"/>
  <c r="G175" i="66"/>
  <c r="N175" i="66" s="1"/>
  <c r="H426" i="58"/>
  <c r="I50" i="37"/>
  <c r="J208" i="37"/>
  <c r="J208" i="58"/>
  <c r="J341" i="58"/>
  <c r="J341" i="37"/>
  <c r="I235" i="58"/>
  <c r="I235" i="37"/>
  <c r="J162" i="58"/>
  <c r="J162" i="37"/>
  <c r="H251" i="58"/>
  <c r="H251" i="37"/>
  <c r="J21" i="41"/>
  <c r="H42" i="41"/>
  <c r="I27" i="58"/>
  <c r="I27" i="41" s="1"/>
  <c r="H420" i="58"/>
  <c r="G168" i="66"/>
  <c r="H8" i="41"/>
  <c r="C7" i="63"/>
  <c r="J36" i="58"/>
  <c r="H32" i="58"/>
  <c r="I17" i="41"/>
  <c r="I65" i="41"/>
  <c r="G43" i="66"/>
  <c r="N43" i="66" s="1"/>
  <c r="H431" i="37"/>
  <c r="J56" i="37"/>
  <c r="J48" i="37"/>
  <c r="I66" i="37"/>
  <c r="I66" i="41" s="1"/>
  <c r="H43" i="41"/>
  <c r="J16" i="37"/>
  <c r="G220" i="66"/>
  <c r="I428" i="58"/>
  <c r="G259" i="66"/>
  <c r="J419" i="58"/>
  <c r="J22" i="41"/>
  <c r="G100" i="66"/>
  <c r="J421" i="37"/>
  <c r="J60" i="58"/>
  <c r="H163" i="41"/>
  <c r="J43" i="58"/>
  <c r="J43" i="41" s="1"/>
  <c r="G264" i="66"/>
  <c r="J420" i="58"/>
  <c r="I447" i="41"/>
  <c r="H36" i="37"/>
  <c r="J45" i="37"/>
  <c r="J45" i="41" s="1"/>
  <c r="H38" i="37"/>
  <c r="H38" i="41" s="1"/>
  <c r="I37" i="58"/>
  <c r="H430" i="58"/>
  <c r="G161" i="66"/>
  <c r="E389" i="38"/>
  <c r="G47" i="66"/>
  <c r="N47" i="66" s="1"/>
  <c r="H425" i="37"/>
  <c r="E391" i="38"/>
  <c r="J430" i="58"/>
  <c r="G257" i="66"/>
  <c r="J17" i="37"/>
  <c r="J57" i="37"/>
  <c r="I60" i="37"/>
  <c r="H61" i="58"/>
  <c r="J28" i="37"/>
  <c r="H418" i="58"/>
  <c r="G169" i="66"/>
  <c r="G125" i="66"/>
  <c r="J423" i="37"/>
  <c r="J69" i="58"/>
  <c r="H53" i="37"/>
  <c r="I38" i="37"/>
  <c r="I19" i="37"/>
  <c r="I19" i="41" s="1"/>
  <c r="J55" i="37"/>
  <c r="G19" i="66"/>
  <c r="H419" i="37"/>
  <c r="G135" i="66"/>
  <c r="J424" i="37"/>
  <c r="J181" i="37"/>
  <c r="J181" i="58"/>
  <c r="J292" i="58"/>
  <c r="J292" i="37"/>
  <c r="I157" i="37"/>
  <c r="I157" i="58"/>
  <c r="I283" i="58"/>
  <c r="I283" i="37"/>
  <c r="H175" i="37"/>
  <c r="H175" i="58"/>
  <c r="J276" i="37"/>
  <c r="J276" i="58"/>
  <c r="H152" i="58"/>
  <c r="H152" i="37"/>
  <c r="H54" i="41"/>
  <c r="I421" i="37"/>
  <c r="G52" i="66"/>
  <c r="H428" i="37"/>
  <c r="G28" i="66"/>
  <c r="N28" i="66" s="1"/>
  <c r="J38" i="41"/>
  <c r="G154" i="66"/>
  <c r="H429" i="58"/>
  <c r="H73" i="37"/>
  <c r="H73" i="41" s="1"/>
  <c r="J56" i="58"/>
  <c r="J50" i="58"/>
  <c r="J16" i="58"/>
  <c r="G76" i="66"/>
  <c r="I428" i="37"/>
  <c r="G115" i="66"/>
  <c r="J419" i="37"/>
  <c r="J421" i="58"/>
  <c r="G244" i="66"/>
  <c r="G120" i="66"/>
  <c r="J420" i="37"/>
  <c r="H36" i="58"/>
  <c r="H50" i="37"/>
  <c r="H50" i="41" s="1"/>
  <c r="H425" i="58"/>
  <c r="G191" i="66"/>
  <c r="N191" i="66" s="1"/>
  <c r="G113" i="66"/>
  <c r="E388" i="38"/>
  <c r="J430" i="37"/>
  <c r="J17" i="58"/>
  <c r="J57" i="58"/>
  <c r="I60" i="58"/>
  <c r="H61" i="37"/>
  <c r="J28" i="58"/>
  <c r="H418" i="37"/>
  <c r="G25" i="66"/>
  <c r="J423" i="58"/>
  <c r="G269" i="66"/>
  <c r="J69" i="37"/>
  <c r="H65" i="37"/>
  <c r="H65" i="41" s="1"/>
  <c r="I50" i="58"/>
  <c r="I43" i="37"/>
  <c r="G95" i="66"/>
  <c r="I425" i="37"/>
  <c r="G16" i="66"/>
  <c r="H427" i="37"/>
  <c r="G261" i="66"/>
  <c r="N261" i="66" s="1"/>
  <c r="J432" i="58"/>
  <c r="G117" i="66"/>
  <c r="N117" i="66" s="1"/>
  <c r="J432" i="37"/>
  <c r="G139" i="66"/>
  <c r="N139" i="66" s="1"/>
  <c r="J431" i="37"/>
  <c r="J11" i="58"/>
  <c r="I11" i="58"/>
  <c r="H11" i="58"/>
  <c r="G160" i="66"/>
  <c r="H427" i="58"/>
  <c r="I357" i="37"/>
  <c r="I357" i="58"/>
  <c r="H40" i="41"/>
  <c r="G77" i="66"/>
  <c r="I423" i="37"/>
  <c r="H24" i="37"/>
  <c r="H24" i="41" s="1"/>
  <c r="J46" i="41"/>
  <c r="I419" i="58"/>
  <c r="G211" i="66"/>
  <c r="E359" i="38"/>
  <c r="K57" i="66" s="1"/>
  <c r="I456" i="41"/>
  <c r="J455" i="58"/>
  <c r="E382" i="38" s="1"/>
  <c r="K251" i="66" s="1"/>
  <c r="N251" i="66" s="1"/>
  <c r="J453" i="37"/>
  <c r="J453" i="58"/>
  <c r="E380" i="38" s="1"/>
  <c r="K285" i="66" s="1"/>
  <c r="N285" i="66" s="1"/>
  <c r="J455" i="37"/>
  <c r="J454" i="58"/>
  <c r="E381" i="38" s="1"/>
  <c r="K267" i="66" s="1"/>
  <c r="N267" i="66" s="1"/>
  <c r="J454" i="37"/>
  <c r="J456" i="58"/>
  <c r="E383" i="38" s="1"/>
  <c r="K249" i="66" s="1"/>
  <c r="N249" i="66" s="1"/>
  <c r="J456" i="37"/>
  <c r="J40" i="37"/>
  <c r="G69" i="66"/>
  <c r="I432" i="37"/>
  <c r="G256" i="66"/>
  <c r="J427" i="58"/>
  <c r="I20" i="37"/>
  <c r="G268" i="66"/>
  <c r="N268" i="66" s="1"/>
  <c r="J428" i="58"/>
  <c r="H72" i="58"/>
  <c r="J68" i="58"/>
  <c r="I59" i="58"/>
  <c r="I59" i="41" s="1"/>
  <c r="J25" i="37"/>
  <c r="J25" i="41" s="1"/>
  <c r="J441" i="41"/>
  <c r="J20" i="37"/>
  <c r="H27" i="41"/>
  <c r="I24" i="58"/>
  <c r="H25" i="58"/>
  <c r="I16" i="58"/>
  <c r="J52" i="37"/>
  <c r="G31" i="66"/>
  <c r="N31" i="66" s="1"/>
  <c r="H426" i="37"/>
  <c r="G283" i="66"/>
  <c r="N283" i="66" s="1"/>
  <c r="J431" i="58"/>
  <c r="G11" i="41"/>
  <c r="J11" i="37"/>
  <c r="H11" i="37"/>
  <c r="I11" i="37"/>
  <c r="J30" i="58"/>
  <c r="I14" i="37"/>
  <c r="I62" i="37"/>
  <c r="I62" i="41" s="1"/>
  <c r="G91" i="66"/>
  <c r="I431" i="37"/>
  <c r="H438" i="41"/>
  <c r="J451" i="41"/>
  <c r="I213" i="58"/>
  <c r="I213" i="37"/>
  <c r="I379" i="37"/>
  <c r="I379" i="58"/>
  <c r="J26" i="41"/>
  <c r="H66" i="37"/>
  <c r="H66" i="41" s="1"/>
  <c r="I51" i="41"/>
  <c r="H52" i="37"/>
  <c r="I70" i="41"/>
  <c r="I423" i="58"/>
  <c r="G221" i="66"/>
  <c r="G72" i="66"/>
  <c r="I420" i="37"/>
  <c r="H56" i="37"/>
  <c r="G67" i="66"/>
  <c r="I419" i="37"/>
  <c r="E357" i="38"/>
  <c r="K75" i="66" s="1"/>
  <c r="N75" i="66" s="1"/>
  <c r="I454" i="41"/>
  <c r="H70" i="37"/>
  <c r="H70" i="41" s="1"/>
  <c r="G70" i="41"/>
  <c r="J27" i="58"/>
  <c r="J27" i="41" s="1"/>
  <c r="J66" i="37"/>
  <c r="J66" i="41" s="1"/>
  <c r="I28" i="37"/>
  <c r="I28" i="41" s="1"/>
  <c r="J64" i="58"/>
  <c r="H422" i="58"/>
  <c r="G185" i="66"/>
  <c r="G13" i="41"/>
  <c r="I13" i="37"/>
  <c r="H13" i="37"/>
  <c r="J13" i="37"/>
  <c r="H48" i="37"/>
  <c r="H48" i="41" s="1"/>
  <c r="G233" i="66"/>
  <c r="I422" i="58"/>
  <c r="I32" i="37"/>
  <c r="I32" i="41" s="1"/>
  <c r="C16" i="63"/>
  <c r="I8" i="41"/>
  <c r="I33" i="37"/>
  <c r="I33" i="41" s="1"/>
  <c r="J68" i="37"/>
  <c r="E387" i="38"/>
  <c r="G65" i="66"/>
  <c r="I430" i="37"/>
  <c r="I24" i="37"/>
  <c r="H25" i="37"/>
  <c r="I427" i="37"/>
  <c r="G64" i="66"/>
  <c r="H15" i="37"/>
  <c r="H15" i="41" s="1"/>
  <c r="G15" i="41"/>
  <c r="H29" i="37"/>
  <c r="H29" i="41" s="1"/>
  <c r="I14" i="58"/>
  <c r="I67" i="37"/>
  <c r="I67" i="41" s="1"/>
  <c r="G235" i="66"/>
  <c r="I431" i="58"/>
  <c r="H428" i="58"/>
  <c r="G172" i="66"/>
  <c r="N172" i="66" s="1"/>
  <c r="I453" i="41"/>
  <c r="E356" i="38"/>
  <c r="K93" i="66" s="1"/>
  <c r="J50" i="37"/>
  <c r="I43" i="58"/>
  <c r="J235" i="58"/>
  <c r="J235" i="37"/>
  <c r="H290" i="37"/>
  <c r="H290" i="58"/>
  <c r="J8" i="58"/>
  <c r="J8" i="37"/>
  <c r="H52" i="58"/>
  <c r="G143" i="66"/>
  <c r="J425" i="37"/>
  <c r="G12" i="41"/>
  <c r="H12" i="37"/>
  <c r="J12" i="37"/>
  <c r="I12" i="37"/>
  <c r="G216" i="66"/>
  <c r="I420" i="58"/>
  <c r="J59" i="58"/>
  <c r="J59" i="41" s="1"/>
  <c r="H56" i="58"/>
  <c r="I41" i="58"/>
  <c r="G148" i="66"/>
  <c r="H421" i="58"/>
  <c r="G127" i="66"/>
  <c r="J426" i="37"/>
  <c r="J32" i="37"/>
  <c r="I42" i="58"/>
  <c r="I42" i="41" s="1"/>
  <c r="J64" i="37"/>
  <c r="G41" i="66"/>
  <c r="H422" i="37"/>
  <c r="I13" i="58"/>
  <c r="J13" i="58"/>
  <c r="H13" i="58"/>
  <c r="G89" i="66"/>
  <c r="I422" i="37"/>
  <c r="J44" i="58"/>
  <c r="I44" i="37"/>
  <c r="I44" i="41" s="1"/>
  <c r="E259" i="38"/>
  <c r="G214" i="66" s="1"/>
  <c r="D18" i="34"/>
  <c r="E214" i="38"/>
  <c r="J438" i="41"/>
  <c r="C43" i="63"/>
  <c r="J29" i="58"/>
  <c r="H14" i="37"/>
  <c r="J49" i="37"/>
  <c r="G209" i="66"/>
  <c r="I430" i="58"/>
  <c r="E390" i="38"/>
  <c r="H451" i="41"/>
  <c r="I36" i="37"/>
  <c r="I36" i="41" s="1"/>
  <c r="H37" i="37"/>
  <c r="H37" i="41" s="1"/>
  <c r="I40" i="37"/>
  <c r="I40" i="41" s="1"/>
  <c r="G208" i="66"/>
  <c r="I427" i="58"/>
  <c r="H436" i="41"/>
  <c r="J35" i="58"/>
  <c r="I26" i="37"/>
  <c r="J31" i="37"/>
  <c r="J31" i="41" s="1"/>
  <c r="G196" i="66"/>
  <c r="I421" i="58"/>
  <c r="G213" i="66"/>
  <c r="I432" i="58"/>
  <c r="I57" i="37"/>
  <c r="I57" i="41" s="1"/>
  <c r="G57" i="41"/>
  <c r="I73" i="37"/>
  <c r="I73" i="41" s="1"/>
  <c r="I418" i="37"/>
  <c r="J230" i="37"/>
  <c r="J230" i="58"/>
  <c r="J266" i="37"/>
  <c r="J266" i="58"/>
  <c r="I208" i="58"/>
  <c r="I208" i="37"/>
  <c r="I298" i="37"/>
  <c r="I298" i="58"/>
  <c r="I256" i="58"/>
  <c r="I256" i="37"/>
  <c r="J18" i="41"/>
  <c r="J42" i="58"/>
  <c r="J42" i="41" s="1"/>
  <c r="I441" i="41"/>
  <c r="G287" i="66"/>
  <c r="N287" i="66" s="1"/>
  <c r="J425" i="58"/>
  <c r="J12" i="58"/>
  <c r="H12" i="58"/>
  <c r="I12" i="58"/>
  <c r="G87" i="66"/>
  <c r="I424" i="37"/>
  <c r="H68" i="58"/>
  <c r="I53" i="41"/>
  <c r="H421" i="37"/>
  <c r="G4" i="66"/>
  <c r="G271" i="66"/>
  <c r="N271" i="66" s="1"/>
  <c r="J426" i="58"/>
  <c r="J32" i="58"/>
  <c r="H69" i="37"/>
  <c r="H69" i="41" s="1"/>
  <c r="I54" i="37"/>
  <c r="I54" i="41" s="1"/>
  <c r="H31" i="41"/>
  <c r="G79" i="66"/>
  <c r="I426" i="37"/>
  <c r="G21" i="66"/>
  <c r="N21" i="66" s="1"/>
  <c r="H432" i="37"/>
  <c r="J446" i="41"/>
  <c r="I21" i="37"/>
  <c r="I34" i="58"/>
  <c r="H424" i="37"/>
  <c r="G39" i="66"/>
  <c r="J44" i="37"/>
  <c r="I56" i="37"/>
  <c r="I56" i="41" s="1"/>
  <c r="J19" i="41"/>
  <c r="G173" i="66"/>
  <c r="H423" i="58"/>
  <c r="J72" i="37"/>
  <c r="H34" i="37"/>
  <c r="H34" i="41" s="1"/>
  <c r="J29" i="37"/>
  <c r="H14" i="58"/>
  <c r="J49" i="58"/>
  <c r="G137" i="66"/>
  <c r="J422" i="37"/>
  <c r="J41" i="58"/>
  <c r="I48" i="37"/>
  <c r="H49" i="37"/>
  <c r="I64" i="37"/>
  <c r="I438" i="41"/>
  <c r="H447" i="41"/>
  <c r="I450" i="41"/>
  <c r="H41" i="37"/>
  <c r="H41" i="41" s="1"/>
  <c r="I26" i="58"/>
  <c r="J163" i="41"/>
  <c r="I440" i="41"/>
  <c r="I451" i="41"/>
  <c r="N57" i="66" l="1"/>
  <c r="O201" i="66" s="1"/>
  <c r="Q201" i="66" s="1"/>
  <c r="R201" i="66" s="1"/>
  <c r="T201" i="66" s="1"/>
  <c r="J23" i="41"/>
  <c r="G27" i="39"/>
  <c r="H33" i="41"/>
  <c r="N59" i="66"/>
  <c r="H28" i="41"/>
  <c r="H6" i="6"/>
  <c r="G28" i="39"/>
  <c r="N93" i="66"/>
  <c r="H7" i="6"/>
  <c r="M65" i="66"/>
  <c r="M209" i="66"/>
  <c r="M169" i="66"/>
  <c r="M25" i="66"/>
  <c r="G70" i="66"/>
  <c r="Q153" i="66"/>
  <c r="I424" i="41"/>
  <c r="J55" i="41"/>
  <c r="O203" i="66"/>
  <c r="G73" i="66"/>
  <c r="I418" i="58"/>
  <c r="G217" i="66"/>
  <c r="J419" i="41"/>
  <c r="Q155" i="66"/>
  <c r="Q171" i="66"/>
  <c r="Q27" i="66"/>
  <c r="Q11" i="66"/>
  <c r="Q9" i="66"/>
  <c r="Q45" i="66"/>
  <c r="I64" i="41"/>
  <c r="J33" i="41"/>
  <c r="H72" i="41"/>
  <c r="I20" i="41"/>
  <c r="J50" i="41"/>
  <c r="H61" i="41"/>
  <c r="H62" i="41"/>
  <c r="J62" i="41"/>
  <c r="H424" i="41"/>
  <c r="H418" i="41"/>
  <c r="J72" i="41"/>
  <c r="H32" i="41"/>
  <c r="J40" i="41"/>
  <c r="I16" i="41"/>
  <c r="I428" i="41"/>
  <c r="I426" i="41"/>
  <c r="H49" i="41"/>
  <c r="I363" i="41"/>
  <c r="J30" i="41"/>
  <c r="J20" i="41"/>
  <c r="I21" i="41"/>
  <c r="J52" i="41"/>
  <c r="I425" i="41"/>
  <c r="H44" i="41"/>
  <c r="I41" i="41"/>
  <c r="J35" i="41"/>
  <c r="J141" i="41"/>
  <c r="H432" i="41"/>
  <c r="O191" i="66"/>
  <c r="Q191" i="66" s="1"/>
  <c r="I48" i="41"/>
  <c r="H68" i="41"/>
  <c r="H419" i="41"/>
  <c r="H422" i="41"/>
  <c r="J235" i="41"/>
  <c r="J420" i="41"/>
  <c r="I420" i="41"/>
  <c r="H175" i="41"/>
  <c r="J181" i="41"/>
  <c r="I213" i="41"/>
  <c r="J431" i="41"/>
  <c r="J29" i="41"/>
  <c r="I26" i="41"/>
  <c r="I422" i="41"/>
  <c r="J432" i="41"/>
  <c r="J64" i="41"/>
  <c r="H290" i="41"/>
  <c r="H431" i="41"/>
  <c r="J424" i="41"/>
  <c r="I313" i="41"/>
  <c r="H152" i="41"/>
  <c r="I361" i="41"/>
  <c r="I208" i="41"/>
  <c r="I38" i="41"/>
  <c r="H423" i="41"/>
  <c r="H25" i="41"/>
  <c r="I24" i="41"/>
  <c r="J292" i="41"/>
  <c r="I235" i="41"/>
  <c r="J428" i="41"/>
  <c r="I427" i="41"/>
  <c r="I43" i="41"/>
  <c r="J230" i="41"/>
  <c r="I423" i="41"/>
  <c r="J422" i="41"/>
  <c r="H14" i="41"/>
  <c r="J68" i="41"/>
  <c r="J69" i="41"/>
  <c r="I283" i="41"/>
  <c r="H53" i="41"/>
  <c r="I60" i="41"/>
  <c r="H251" i="41"/>
  <c r="J36" i="41"/>
  <c r="H285" i="37"/>
  <c r="H285" i="58"/>
  <c r="H365" i="37"/>
  <c r="H365" i="58"/>
  <c r="J327" i="58"/>
  <c r="J327" i="37"/>
  <c r="I356" i="58"/>
  <c r="I356" i="37"/>
  <c r="I243" i="37"/>
  <c r="I243" i="58"/>
  <c r="I140" i="58"/>
  <c r="I140" i="37"/>
  <c r="I137" i="37"/>
  <c r="I137" i="58"/>
  <c r="H387" i="58"/>
  <c r="H387" i="37"/>
  <c r="H319" i="37"/>
  <c r="H319" i="58"/>
  <c r="H236" i="37"/>
  <c r="H236" i="58"/>
  <c r="J172" i="37"/>
  <c r="J172" i="58"/>
  <c r="I310" i="58"/>
  <c r="I310" i="37"/>
  <c r="H375" i="58"/>
  <c r="H375" i="37"/>
  <c r="I287" i="37"/>
  <c r="I287" i="58"/>
  <c r="I152" i="37"/>
  <c r="I152" i="58"/>
  <c r="I207" i="58"/>
  <c r="I207" i="37"/>
  <c r="H232" i="37"/>
  <c r="H232" i="58"/>
  <c r="I380" i="37"/>
  <c r="I380" i="58"/>
  <c r="H253" i="37"/>
  <c r="H253" i="58"/>
  <c r="I227" i="37"/>
  <c r="I227" i="58"/>
  <c r="H280" i="58"/>
  <c r="H280" i="37"/>
  <c r="H346" i="37"/>
  <c r="H346" i="58"/>
  <c r="J335" i="58"/>
  <c r="J335" i="37"/>
  <c r="H371" i="37"/>
  <c r="H371" i="58"/>
  <c r="I228" i="37"/>
  <c r="I228" i="58"/>
  <c r="H208" i="37"/>
  <c r="H208" i="58"/>
  <c r="I144" i="37"/>
  <c r="I144" i="58"/>
  <c r="J140" i="37"/>
  <c r="J140" i="58"/>
  <c r="I337" i="37"/>
  <c r="I337" i="58"/>
  <c r="I294" i="37"/>
  <c r="I294" i="58"/>
  <c r="J137" i="58"/>
  <c r="J137" i="37"/>
  <c r="J344" i="58"/>
  <c r="J344" i="37"/>
  <c r="H348" i="58"/>
  <c r="H348" i="37"/>
  <c r="J174" i="37"/>
  <c r="J174" i="58"/>
  <c r="J328" i="37"/>
  <c r="J328" i="58"/>
  <c r="H369" i="37"/>
  <c r="H369" i="58"/>
  <c r="H123" i="58"/>
  <c r="H123" i="37"/>
  <c r="I400" i="37"/>
  <c r="I400" i="58"/>
  <c r="H262" i="58"/>
  <c r="H262" i="37"/>
  <c r="H149" i="37"/>
  <c r="H149" i="58"/>
  <c r="H264" i="58"/>
  <c r="H264" i="37"/>
  <c r="J151" i="58"/>
  <c r="J151" i="37"/>
  <c r="H197" i="37"/>
  <c r="H197" i="58"/>
  <c r="H353" i="58"/>
  <c r="H353" i="37"/>
  <c r="J155" i="58"/>
  <c r="J155" i="37"/>
  <c r="I277" i="58"/>
  <c r="I277" i="37"/>
  <c r="I145" i="58"/>
  <c r="I145" i="37"/>
  <c r="I175" i="37"/>
  <c r="I175" i="58"/>
  <c r="J206" i="37"/>
  <c r="J206" i="58"/>
  <c r="H314" i="58"/>
  <c r="H314" i="37"/>
  <c r="I203" i="37"/>
  <c r="I203" i="58"/>
  <c r="I141" i="58"/>
  <c r="I141" i="37"/>
  <c r="J266" i="41"/>
  <c r="I379" i="41"/>
  <c r="I14" i="41"/>
  <c r="H426" i="41"/>
  <c r="E365" i="38"/>
  <c r="K105" i="66" s="1"/>
  <c r="N105" i="66" s="1"/>
  <c r="O249" i="66" s="1"/>
  <c r="J456" i="41"/>
  <c r="Z117" i="66"/>
  <c r="Z261" i="66"/>
  <c r="Y261" i="66"/>
  <c r="Y117" i="66"/>
  <c r="Z172" i="66"/>
  <c r="Y28" i="66"/>
  <c r="Z28" i="66"/>
  <c r="Y172" i="66"/>
  <c r="J276" i="41"/>
  <c r="M256" i="66"/>
  <c r="J470" i="58"/>
  <c r="J469" i="58"/>
  <c r="F250" i="66" s="1"/>
  <c r="J468" i="58"/>
  <c r="F257" i="66" s="1"/>
  <c r="N257" i="66" s="1"/>
  <c r="J16" i="41"/>
  <c r="O175" i="66"/>
  <c r="I34" i="41"/>
  <c r="Z203" i="66"/>
  <c r="Z59" i="66"/>
  <c r="Y203" i="66"/>
  <c r="Y59" i="66"/>
  <c r="O59" i="66"/>
  <c r="I395" i="41"/>
  <c r="J427" i="41"/>
  <c r="H239" i="58"/>
  <c r="H239" i="37"/>
  <c r="H170" i="58"/>
  <c r="H170" i="37"/>
  <c r="J164" i="58"/>
  <c r="J164" i="37"/>
  <c r="H367" i="58"/>
  <c r="H367" i="37"/>
  <c r="I155" i="58"/>
  <c r="I155" i="37"/>
  <c r="I326" i="37"/>
  <c r="I326" i="58"/>
  <c r="J144" i="58"/>
  <c r="J144" i="37"/>
  <c r="J267" i="58"/>
  <c r="J267" i="37"/>
  <c r="J305" i="37"/>
  <c r="J305" i="58"/>
  <c r="J384" i="37"/>
  <c r="J384" i="58"/>
  <c r="J189" i="37"/>
  <c r="J189" i="58"/>
  <c r="J228" i="58"/>
  <c r="J228" i="37"/>
  <c r="H129" i="37"/>
  <c r="H129" i="58"/>
  <c r="J146" i="58"/>
  <c r="J146" i="37"/>
  <c r="H315" i="37"/>
  <c r="H315" i="58"/>
  <c r="H209" i="37"/>
  <c r="H209" i="58"/>
  <c r="H254" i="37"/>
  <c r="H254" i="58"/>
  <c r="I211" i="58"/>
  <c r="I211" i="37"/>
  <c r="H161" i="58"/>
  <c r="H161" i="37"/>
  <c r="J319" i="37"/>
  <c r="J319" i="58"/>
  <c r="J282" i="58"/>
  <c r="J282" i="37"/>
  <c r="O75" i="66"/>
  <c r="Z219" i="66"/>
  <c r="Y219" i="66"/>
  <c r="Y75" i="66"/>
  <c r="Z75" i="66"/>
  <c r="Z43" i="66"/>
  <c r="Y43" i="66"/>
  <c r="Y187" i="66"/>
  <c r="Z187" i="66"/>
  <c r="I226" i="37"/>
  <c r="I226" i="58"/>
  <c r="H138" i="37"/>
  <c r="H138" i="58"/>
  <c r="J184" i="58"/>
  <c r="J184" i="37"/>
  <c r="I164" i="58"/>
  <c r="I164" i="37"/>
  <c r="J122" i="37"/>
  <c r="J122" i="58"/>
  <c r="H133" i="37"/>
  <c r="H133" i="58"/>
  <c r="I331" i="58"/>
  <c r="I331" i="37"/>
  <c r="J154" i="37"/>
  <c r="J154" i="58"/>
  <c r="H176" i="58"/>
  <c r="H176" i="37"/>
  <c r="I335" i="37"/>
  <c r="I335" i="58"/>
  <c r="H198" i="37"/>
  <c r="H198" i="58"/>
  <c r="I384" i="37"/>
  <c r="I384" i="58"/>
  <c r="I340" i="58"/>
  <c r="I340" i="37"/>
  <c r="J224" i="37"/>
  <c r="J224" i="58"/>
  <c r="H291" i="37"/>
  <c r="H291" i="58"/>
  <c r="H132" i="37"/>
  <c r="H132" i="58"/>
  <c r="H224" i="37"/>
  <c r="H224" i="58"/>
  <c r="J291" i="58"/>
  <c r="J291" i="37"/>
  <c r="J345" i="58"/>
  <c r="J345" i="37"/>
  <c r="I153" i="37"/>
  <c r="I153" i="58"/>
  <c r="I321" i="37"/>
  <c r="I321" i="58"/>
  <c r="I305" i="58"/>
  <c r="I305" i="37"/>
  <c r="J288" i="37"/>
  <c r="J288" i="58"/>
  <c r="I217" i="37"/>
  <c r="I217" i="58"/>
  <c r="I231" i="58"/>
  <c r="I231" i="37"/>
  <c r="J186" i="58"/>
  <c r="J186" i="37"/>
  <c r="I151" i="37"/>
  <c r="I151" i="58"/>
  <c r="J207" i="37"/>
  <c r="J207" i="58"/>
  <c r="H258" i="58"/>
  <c r="H258" i="37"/>
  <c r="I233" i="58"/>
  <c r="I233" i="37"/>
  <c r="J349" i="58"/>
  <c r="J349" i="37"/>
  <c r="H300" i="37"/>
  <c r="H300" i="58"/>
  <c r="J367" i="58"/>
  <c r="J367" i="37"/>
  <c r="I170" i="37"/>
  <c r="I170" i="58"/>
  <c r="H339" i="58"/>
  <c r="H339" i="37"/>
  <c r="J275" i="58"/>
  <c r="J275" i="37"/>
  <c r="J199" i="37"/>
  <c r="J199" i="58"/>
  <c r="H223" i="58"/>
  <c r="H223" i="37"/>
  <c r="I229" i="37"/>
  <c r="I229" i="58"/>
  <c r="J306" i="37"/>
  <c r="J306" i="58"/>
  <c r="H345" i="37"/>
  <c r="H345" i="58"/>
  <c r="J368" i="58"/>
  <c r="J368" i="37"/>
  <c r="J169" i="37"/>
  <c r="J169" i="58"/>
  <c r="H120" i="58"/>
  <c r="H120" i="37"/>
  <c r="J307" i="58"/>
  <c r="J307" i="37"/>
  <c r="J226" i="58"/>
  <c r="J226" i="37"/>
  <c r="I257" i="37"/>
  <c r="I257" i="58"/>
  <c r="J363" i="58"/>
  <c r="J363" i="37"/>
  <c r="H395" i="37"/>
  <c r="H395" i="58"/>
  <c r="J147" i="58"/>
  <c r="J147" i="37"/>
  <c r="J152" i="37"/>
  <c r="J152" i="58"/>
  <c r="J256" i="58"/>
  <c r="J256" i="37"/>
  <c r="I386" i="37"/>
  <c r="I386" i="58"/>
  <c r="J382" i="37"/>
  <c r="J382" i="58"/>
  <c r="J236" i="58"/>
  <c r="J236" i="37"/>
  <c r="J196" i="37"/>
  <c r="J196" i="58"/>
  <c r="H384" i="37"/>
  <c r="H384" i="58"/>
  <c r="H305" i="58"/>
  <c r="H305" i="37"/>
  <c r="J271" i="37"/>
  <c r="J271" i="58"/>
  <c r="I346" i="58"/>
  <c r="I346" i="37"/>
  <c r="J374" i="37"/>
  <c r="J374" i="58"/>
  <c r="J391" i="37"/>
  <c r="J391" i="58"/>
  <c r="H167" i="37"/>
  <c r="H167" i="58"/>
  <c r="H222" i="58"/>
  <c r="H222" i="37"/>
  <c r="I330" i="37"/>
  <c r="I330" i="58"/>
  <c r="H202" i="37"/>
  <c r="H202" i="58"/>
  <c r="J126" i="37"/>
  <c r="J126" i="58"/>
  <c r="J211" i="37"/>
  <c r="J211" i="58"/>
  <c r="H195" i="37"/>
  <c r="H195" i="58"/>
  <c r="H137" i="37"/>
  <c r="H137" i="58"/>
  <c r="J272" i="37"/>
  <c r="J272" i="58"/>
  <c r="J339" i="37"/>
  <c r="J339" i="58"/>
  <c r="J123" i="37"/>
  <c r="J123" i="58"/>
  <c r="H214" i="58"/>
  <c r="H214" i="37"/>
  <c r="H134" i="37"/>
  <c r="H134" i="58"/>
  <c r="H282" i="37"/>
  <c r="H282" i="58"/>
  <c r="H145" i="37"/>
  <c r="H145" i="58"/>
  <c r="I149" i="58"/>
  <c r="I149" i="37"/>
  <c r="H242" i="37"/>
  <c r="H242" i="58"/>
  <c r="H392" i="58"/>
  <c r="H392" i="37"/>
  <c r="H245" i="37"/>
  <c r="H245" i="58"/>
  <c r="H397" i="37"/>
  <c r="H397" i="58"/>
  <c r="J351" i="58"/>
  <c r="J351" i="37"/>
  <c r="I369" i="58"/>
  <c r="I369" i="37"/>
  <c r="I186" i="37"/>
  <c r="I186" i="58"/>
  <c r="H189" i="58"/>
  <c r="H189" i="37"/>
  <c r="I328" i="37"/>
  <c r="I328" i="58"/>
  <c r="I129" i="37"/>
  <c r="I129" i="58"/>
  <c r="J183" i="58"/>
  <c r="J183" i="37"/>
  <c r="J375" i="37"/>
  <c r="J375" i="58"/>
  <c r="I381" i="37"/>
  <c r="I381" i="58"/>
  <c r="J360" i="58"/>
  <c r="J360" i="37"/>
  <c r="I324" i="37"/>
  <c r="I324" i="58"/>
  <c r="H166" i="37"/>
  <c r="H166" i="58"/>
  <c r="J221" i="37"/>
  <c r="J221" i="58"/>
  <c r="I279" i="37"/>
  <c r="I279" i="58"/>
  <c r="J304" i="37"/>
  <c r="J304" i="58"/>
  <c r="J124" i="37"/>
  <c r="J124" i="58"/>
  <c r="I124" i="58"/>
  <c r="I124" i="37"/>
  <c r="J317" i="37"/>
  <c r="J317" i="58"/>
  <c r="I291" i="37"/>
  <c r="I291" i="58"/>
  <c r="H288" i="37"/>
  <c r="H288" i="58"/>
  <c r="I261" i="58"/>
  <c r="I261" i="37"/>
  <c r="J354" i="37"/>
  <c r="J354" i="58"/>
  <c r="J133" i="37"/>
  <c r="J133" i="58"/>
  <c r="I121" i="37"/>
  <c r="I121" i="58"/>
  <c r="J258" i="58"/>
  <c r="J258" i="37"/>
  <c r="I216" i="37"/>
  <c r="I216" i="58"/>
  <c r="H180" i="37"/>
  <c r="H180" i="58"/>
  <c r="I387" i="37"/>
  <c r="I387" i="58"/>
  <c r="J380" i="37"/>
  <c r="J380" i="58"/>
  <c r="J218" i="37"/>
  <c r="J218" i="58"/>
  <c r="I338" i="37"/>
  <c r="I338" i="58"/>
  <c r="J392" i="37"/>
  <c r="J392" i="58"/>
  <c r="H271" i="37"/>
  <c r="H271" i="58"/>
  <c r="I188" i="37"/>
  <c r="I188" i="58"/>
  <c r="J203" i="37"/>
  <c r="J203" i="58"/>
  <c r="I238" i="37"/>
  <c r="I238" i="58"/>
  <c r="I353" i="58"/>
  <c r="I353" i="37"/>
  <c r="H382" i="58"/>
  <c r="H382" i="37"/>
  <c r="H295" i="37"/>
  <c r="H295" i="58"/>
  <c r="I202" i="37"/>
  <c r="I202" i="58"/>
  <c r="H349" i="37"/>
  <c r="H349" i="58"/>
  <c r="I382" i="37"/>
  <c r="I382" i="58"/>
  <c r="H226" i="37"/>
  <c r="H226" i="58"/>
  <c r="H155" i="37"/>
  <c r="H155" i="58"/>
  <c r="J161" i="58"/>
  <c r="J161" i="37"/>
  <c r="I179" i="37"/>
  <c r="I179" i="58"/>
  <c r="H142" i="58"/>
  <c r="H142" i="37"/>
  <c r="H328" i="37"/>
  <c r="H328" i="58"/>
  <c r="H306" i="37"/>
  <c r="H306" i="58"/>
  <c r="J200" i="37"/>
  <c r="J200" i="58"/>
  <c r="J289" i="37"/>
  <c r="J289" i="58"/>
  <c r="I210" i="58"/>
  <c r="I210" i="37"/>
  <c r="J227" i="37"/>
  <c r="J227" i="58"/>
  <c r="H204" i="37"/>
  <c r="H204" i="58"/>
  <c r="H199" i="58"/>
  <c r="H199" i="37"/>
  <c r="I359" i="58"/>
  <c r="I359" i="37"/>
  <c r="H307" i="37"/>
  <c r="H307" i="58"/>
  <c r="H275" i="37"/>
  <c r="H275" i="58"/>
  <c r="H196" i="58"/>
  <c r="H196" i="37"/>
  <c r="H122" i="58"/>
  <c r="H122" i="37"/>
  <c r="H343" i="37"/>
  <c r="H343" i="58"/>
  <c r="H390" i="58"/>
  <c r="H390" i="37"/>
  <c r="J326" i="58"/>
  <c r="J326" i="37"/>
  <c r="I251" i="58"/>
  <c r="I251" i="37"/>
  <c r="J213" i="37"/>
  <c r="J213" i="58"/>
  <c r="J385" i="37"/>
  <c r="J385" i="58"/>
  <c r="J225" i="37"/>
  <c r="J225" i="58"/>
  <c r="I375" i="37"/>
  <c r="I375" i="58"/>
  <c r="J401" i="37"/>
  <c r="J401" i="58"/>
  <c r="H287" i="58"/>
  <c r="H287" i="37"/>
  <c r="I256" i="41"/>
  <c r="M208" i="66"/>
  <c r="I468" i="58"/>
  <c r="F209" i="66" s="1"/>
  <c r="N209" i="66" s="1"/>
  <c r="I469" i="58"/>
  <c r="F202" i="66" s="1"/>
  <c r="I470" i="58"/>
  <c r="J32" i="41"/>
  <c r="J425" i="41"/>
  <c r="J13" i="41"/>
  <c r="C26" i="63"/>
  <c r="Z175" i="66"/>
  <c r="Z31" i="66"/>
  <c r="Y31" i="66"/>
  <c r="O31" i="66"/>
  <c r="Y175" i="66"/>
  <c r="Z57" i="66"/>
  <c r="Z201" i="66"/>
  <c r="Y57" i="66"/>
  <c r="O57" i="66"/>
  <c r="Y201" i="66"/>
  <c r="I418" i="41"/>
  <c r="H428" i="41"/>
  <c r="J28" i="41"/>
  <c r="H425" i="41"/>
  <c r="H36" i="41"/>
  <c r="J421" i="41"/>
  <c r="M16" i="66"/>
  <c r="H469" i="37"/>
  <c r="H470" i="37"/>
  <c r="H468" i="37"/>
  <c r="H173" i="58"/>
  <c r="H173" i="37"/>
  <c r="H130" i="37"/>
  <c r="H130" i="58"/>
  <c r="J149" i="58"/>
  <c r="J149" i="37"/>
  <c r="J365" i="58"/>
  <c r="J365" i="37"/>
  <c r="H237" i="37"/>
  <c r="H237" i="58"/>
  <c r="I396" i="37"/>
  <c r="I396" i="58"/>
  <c r="I166" i="37"/>
  <c r="I166" i="58"/>
  <c r="I273" i="37"/>
  <c r="I273" i="58"/>
  <c r="J259" i="37"/>
  <c r="J259" i="58"/>
  <c r="H376" i="37"/>
  <c r="H376" i="58"/>
  <c r="J260" i="37"/>
  <c r="J260" i="58"/>
  <c r="H292" i="37"/>
  <c r="H292" i="58"/>
  <c r="I289" i="58"/>
  <c r="I289" i="37"/>
  <c r="H327" i="37"/>
  <c r="H327" i="58"/>
  <c r="I286" i="37"/>
  <c r="I286" i="58"/>
  <c r="H140" i="37"/>
  <c r="H140" i="58"/>
  <c r="H400" i="58"/>
  <c r="H400" i="37"/>
  <c r="H370" i="58"/>
  <c r="H370" i="37"/>
  <c r="I355" i="37"/>
  <c r="I355" i="58"/>
  <c r="J241" i="58"/>
  <c r="J241" i="37"/>
  <c r="J299" i="37"/>
  <c r="J299" i="58"/>
  <c r="J378" i="37"/>
  <c r="J378" i="58"/>
  <c r="H165" i="37"/>
  <c r="H165" i="58"/>
  <c r="I374" i="37"/>
  <c r="I374" i="58"/>
  <c r="H334" i="58"/>
  <c r="H334" i="37"/>
  <c r="H284" i="37"/>
  <c r="H284" i="58"/>
  <c r="H188" i="58"/>
  <c r="H188" i="37"/>
  <c r="H396" i="37"/>
  <c r="H396" i="58"/>
  <c r="I259" i="37"/>
  <c r="I259" i="58"/>
  <c r="J356" i="37"/>
  <c r="J356" i="58"/>
  <c r="I268" i="37"/>
  <c r="I268" i="58"/>
  <c r="I199" i="58"/>
  <c r="I199" i="37"/>
  <c r="I319" i="58"/>
  <c r="I319" i="37"/>
  <c r="J240" i="58"/>
  <c r="J240" i="37"/>
  <c r="J298" i="58"/>
  <c r="J298" i="37"/>
  <c r="I376" i="37"/>
  <c r="I376" i="58"/>
  <c r="J388" i="37"/>
  <c r="J388" i="58"/>
  <c r="J355" i="37"/>
  <c r="J355" i="58"/>
  <c r="H299" i="58"/>
  <c r="H299" i="37"/>
  <c r="H200" i="37"/>
  <c r="H200" i="58"/>
  <c r="H362" i="37"/>
  <c r="H362" i="58"/>
  <c r="I343" i="58"/>
  <c r="I343" i="37"/>
  <c r="J386" i="58"/>
  <c r="J386" i="37"/>
  <c r="I311" i="37"/>
  <c r="I311" i="58"/>
  <c r="I271" i="58"/>
  <c r="I271" i="37"/>
  <c r="H298" i="58"/>
  <c r="H298" i="37"/>
  <c r="H286" i="37"/>
  <c r="H286" i="58"/>
  <c r="J202" i="37"/>
  <c r="J202" i="58"/>
  <c r="I349" i="58"/>
  <c r="I349" i="37"/>
  <c r="I339" i="58"/>
  <c r="I339" i="37"/>
  <c r="H267" i="58"/>
  <c r="H267" i="37"/>
  <c r="H192" i="58"/>
  <c r="H192" i="37"/>
  <c r="J297" i="58"/>
  <c r="J297" i="37"/>
  <c r="I354" i="58"/>
  <c r="I354" i="37"/>
  <c r="H393" i="37"/>
  <c r="H393" i="58"/>
  <c r="H159" i="37"/>
  <c r="H159" i="58"/>
  <c r="I270" i="37"/>
  <c r="I270" i="58"/>
  <c r="H252" i="58"/>
  <c r="H252" i="37"/>
  <c r="J156" i="58"/>
  <c r="J156" i="37"/>
  <c r="J348" i="37"/>
  <c r="J348" i="58"/>
  <c r="I366" i="37"/>
  <c r="I366" i="58"/>
  <c r="J321" i="37"/>
  <c r="J321" i="58"/>
  <c r="I267" i="37"/>
  <c r="I267" i="58"/>
  <c r="J399" i="37"/>
  <c r="J399" i="58"/>
  <c r="J166" i="37"/>
  <c r="J166" i="58"/>
  <c r="I237" i="58"/>
  <c r="I237" i="37"/>
  <c r="J249" i="58"/>
  <c r="J249" i="37"/>
  <c r="I393" i="37"/>
  <c r="I393" i="58"/>
  <c r="H340" i="37"/>
  <c r="H340" i="58"/>
  <c r="J261" i="58"/>
  <c r="J261" i="37"/>
  <c r="I234" i="58"/>
  <c r="I234" i="37"/>
  <c r="H270" i="58"/>
  <c r="H270" i="37"/>
  <c r="I204" i="58"/>
  <c r="I204" i="37"/>
  <c r="J329" i="37"/>
  <c r="J329" i="58"/>
  <c r="J121" i="58"/>
  <c r="J121" i="37"/>
  <c r="H321" i="58"/>
  <c r="H321" i="37"/>
  <c r="J201" i="58"/>
  <c r="J201" i="37"/>
  <c r="I201" i="58"/>
  <c r="I201" i="37"/>
  <c r="J393" i="58"/>
  <c r="J393" i="37"/>
  <c r="I316" i="37"/>
  <c r="I316" i="58"/>
  <c r="I371" i="58"/>
  <c r="I371" i="37"/>
  <c r="H356" i="37"/>
  <c r="H356" i="58"/>
  <c r="J361" i="58"/>
  <c r="J361" i="37"/>
  <c r="H179" i="58"/>
  <c r="H179" i="37"/>
  <c r="H332" i="58"/>
  <c r="H332" i="37"/>
  <c r="J145" i="58"/>
  <c r="J145" i="37"/>
  <c r="I178" i="58"/>
  <c r="I178" i="37"/>
  <c r="J222" i="37"/>
  <c r="J222" i="58"/>
  <c r="J283" i="58"/>
  <c r="J283" i="37"/>
  <c r="H234" i="58"/>
  <c r="H234" i="37"/>
  <c r="H121" i="58"/>
  <c r="H121" i="37"/>
  <c r="J287" i="37"/>
  <c r="J287" i="58"/>
  <c r="J138" i="58"/>
  <c r="J138" i="37"/>
  <c r="J362" i="58"/>
  <c r="J362" i="37"/>
  <c r="H283" i="37"/>
  <c r="H283" i="58"/>
  <c r="H230" i="37"/>
  <c r="H230" i="58"/>
  <c r="J394" i="58"/>
  <c r="J394" i="37"/>
  <c r="J178" i="58"/>
  <c r="J178" i="37"/>
  <c r="I184" i="58"/>
  <c r="I184" i="37"/>
  <c r="H178" i="58"/>
  <c r="H178" i="37"/>
  <c r="H331" i="37"/>
  <c r="H331" i="58"/>
  <c r="H377" i="58"/>
  <c r="H377" i="37"/>
  <c r="I193" i="58"/>
  <c r="I193" i="37"/>
  <c r="J182" i="37"/>
  <c r="J182" i="58"/>
  <c r="H311" i="58"/>
  <c r="H311" i="37"/>
  <c r="H203" i="37"/>
  <c r="H203" i="58"/>
  <c r="I244" i="37"/>
  <c r="I244" i="58"/>
  <c r="J274" i="37"/>
  <c r="J274" i="58"/>
  <c r="I350" i="37"/>
  <c r="I350" i="58"/>
  <c r="J158" i="37"/>
  <c r="J158" i="58"/>
  <c r="H235" i="58"/>
  <c r="H235" i="37"/>
  <c r="H191" i="58"/>
  <c r="H191" i="37"/>
  <c r="H309" i="58"/>
  <c r="H309" i="37"/>
  <c r="J397" i="58"/>
  <c r="J397" i="37"/>
  <c r="H228" i="58"/>
  <c r="H228" i="37"/>
  <c r="I296" i="37"/>
  <c r="I296" i="58"/>
  <c r="I325" i="37"/>
  <c r="I325" i="58"/>
  <c r="J357" i="37"/>
  <c r="J357" i="58"/>
  <c r="J379" i="37"/>
  <c r="J379" i="58"/>
  <c r="I292" i="37"/>
  <c r="I292" i="58"/>
  <c r="J197" i="37"/>
  <c r="J197" i="58"/>
  <c r="O219" i="66"/>
  <c r="H12" i="41"/>
  <c r="E229" i="38"/>
  <c r="E274" i="38"/>
  <c r="E18" i="34"/>
  <c r="C35" i="63"/>
  <c r="N143" i="66"/>
  <c r="C8" i="63"/>
  <c r="H13" i="41"/>
  <c r="I419" i="41"/>
  <c r="I11" i="41"/>
  <c r="I402" i="37"/>
  <c r="I403" i="37"/>
  <c r="F97" i="66" s="1"/>
  <c r="E363" i="38"/>
  <c r="K123" i="66" s="1"/>
  <c r="N123" i="66" s="1"/>
  <c r="O267" i="66" s="1"/>
  <c r="J454" i="41"/>
  <c r="H403" i="58"/>
  <c r="E11" i="53" s="1"/>
  <c r="F11" i="53" s="1"/>
  <c r="H5" i="53" s="1"/>
  <c r="H402" i="58"/>
  <c r="F194" i="66" s="1"/>
  <c r="N194" i="66" s="1"/>
  <c r="Y191" i="66"/>
  <c r="Z47" i="66"/>
  <c r="O47" i="66"/>
  <c r="Z191" i="66"/>
  <c r="Y47" i="66"/>
  <c r="J341" i="41"/>
  <c r="H429" i="41"/>
  <c r="J290" i="37"/>
  <c r="J290" i="58"/>
  <c r="H391" i="58"/>
  <c r="H391" i="37"/>
  <c r="J239" i="58"/>
  <c r="J239" i="37"/>
  <c r="I284" i="37"/>
  <c r="I284" i="58"/>
  <c r="J316" i="37"/>
  <c r="J316" i="58"/>
  <c r="H243" i="37"/>
  <c r="H243" i="58"/>
  <c r="J165" i="58"/>
  <c r="J165" i="37"/>
  <c r="J340" i="58"/>
  <c r="J340" i="37"/>
  <c r="I223" i="37"/>
  <c r="I223" i="58"/>
  <c r="I138" i="37"/>
  <c r="I138" i="58"/>
  <c r="I130" i="37"/>
  <c r="I130" i="58"/>
  <c r="H350" i="37"/>
  <c r="H350" i="58"/>
  <c r="H354" i="37"/>
  <c r="H354" i="58"/>
  <c r="I272" i="37"/>
  <c r="I272" i="58"/>
  <c r="I365" i="58"/>
  <c r="I365" i="37"/>
  <c r="J170" i="37"/>
  <c r="J170" i="58"/>
  <c r="H181" i="37"/>
  <c r="H181" i="58"/>
  <c r="I278" i="58"/>
  <c r="I278" i="37"/>
  <c r="J284" i="37"/>
  <c r="J284" i="58"/>
  <c r="I302" i="58"/>
  <c r="I302" i="37"/>
  <c r="I281" i="58"/>
  <c r="I281" i="37"/>
  <c r="H357" i="58"/>
  <c r="H357" i="37"/>
  <c r="I389" i="58"/>
  <c r="I389" i="37"/>
  <c r="J286" i="37"/>
  <c r="J286" i="58"/>
  <c r="J322" i="58"/>
  <c r="J322" i="37"/>
  <c r="H380" i="58"/>
  <c r="H380" i="37"/>
  <c r="I191" i="37"/>
  <c r="I191" i="58"/>
  <c r="J359" i="58"/>
  <c r="J359" i="37"/>
  <c r="H351" i="58"/>
  <c r="H351" i="37"/>
  <c r="I341" i="58"/>
  <c r="I341" i="37"/>
  <c r="J337" i="37"/>
  <c r="J337" i="58"/>
  <c r="J369" i="58"/>
  <c r="J369" i="37"/>
  <c r="J128" i="58"/>
  <c r="J128" i="37"/>
  <c r="J279" i="58"/>
  <c r="J279" i="37"/>
  <c r="J387" i="58"/>
  <c r="J387" i="37"/>
  <c r="I180" i="37"/>
  <c r="I180" i="58"/>
  <c r="I348" i="37"/>
  <c r="I348" i="58"/>
  <c r="I220" i="37"/>
  <c r="I220" i="58"/>
  <c r="I177" i="58"/>
  <c r="I177" i="37"/>
  <c r="J300" i="58"/>
  <c r="J300" i="37"/>
  <c r="H313" i="37"/>
  <c r="H313" i="58"/>
  <c r="I189" i="37"/>
  <c r="I189" i="58"/>
  <c r="J314" i="58"/>
  <c r="J314" i="37"/>
  <c r="I352" i="37"/>
  <c r="I352" i="58"/>
  <c r="H227" i="37"/>
  <c r="H227" i="58"/>
  <c r="J330" i="37"/>
  <c r="J330" i="58"/>
  <c r="I142" i="58"/>
  <c r="I142" i="37"/>
  <c r="H238" i="37"/>
  <c r="H238" i="58"/>
  <c r="I247" i="58"/>
  <c r="I247" i="37"/>
  <c r="I368" i="58"/>
  <c r="I368" i="37"/>
  <c r="H278" i="58"/>
  <c r="H278" i="37"/>
  <c r="J179" i="58"/>
  <c r="J179" i="37"/>
  <c r="H215" i="58"/>
  <c r="H215" i="37"/>
  <c r="J173" i="37"/>
  <c r="J173" i="58"/>
  <c r="H158" i="58"/>
  <c r="H158" i="37"/>
  <c r="H385" i="37"/>
  <c r="H385" i="58"/>
  <c r="J214" i="37"/>
  <c r="J214" i="58"/>
  <c r="J334" i="37"/>
  <c r="J334" i="58"/>
  <c r="H342" i="37"/>
  <c r="H342" i="58"/>
  <c r="I269" i="37"/>
  <c r="I269" i="58"/>
  <c r="H389" i="58"/>
  <c r="H389" i="37"/>
  <c r="I187" i="37"/>
  <c r="I187" i="58"/>
  <c r="J313" i="37"/>
  <c r="J313" i="58"/>
  <c r="I147" i="58"/>
  <c r="I147" i="37"/>
  <c r="I373" i="58"/>
  <c r="I373" i="37"/>
  <c r="J187" i="58"/>
  <c r="J187" i="37"/>
  <c r="J253" i="37"/>
  <c r="J253" i="58"/>
  <c r="I347" i="58"/>
  <c r="I347" i="37"/>
  <c r="I266" i="58"/>
  <c r="I266" i="37"/>
  <c r="Z165" i="66"/>
  <c r="Z21" i="66"/>
  <c r="Y165" i="66"/>
  <c r="Y21" i="66"/>
  <c r="G58" i="66"/>
  <c r="I429" i="37"/>
  <c r="C53" i="63"/>
  <c r="J426" i="41"/>
  <c r="I13" i="41"/>
  <c r="C17" i="63"/>
  <c r="H52" i="41"/>
  <c r="H11" i="41"/>
  <c r="H403" i="37"/>
  <c r="E5" i="53" s="1"/>
  <c r="F5" i="53" s="1"/>
  <c r="H402" i="37"/>
  <c r="I432" i="41"/>
  <c r="I402" i="58"/>
  <c r="F242" i="66" s="1"/>
  <c r="N242" i="66" s="1"/>
  <c r="I403" i="58"/>
  <c r="F241" i="66" s="1"/>
  <c r="H427" i="41"/>
  <c r="I421" i="41"/>
  <c r="M160" i="66"/>
  <c r="H468" i="58"/>
  <c r="F161" i="66" s="1"/>
  <c r="N161" i="66" s="1"/>
  <c r="H470" i="58"/>
  <c r="H469" i="58"/>
  <c r="F154" i="66" s="1"/>
  <c r="N154" i="66" s="1"/>
  <c r="J48" i="41"/>
  <c r="H430" i="41"/>
  <c r="J60" i="41"/>
  <c r="I185" i="37"/>
  <c r="I185" i="58"/>
  <c r="H231" i="37"/>
  <c r="H231" i="58"/>
  <c r="H347" i="58"/>
  <c r="H347" i="37"/>
  <c r="I159" i="58"/>
  <c r="I159" i="37"/>
  <c r="H316" i="37"/>
  <c r="H316" i="58"/>
  <c r="I320" i="37"/>
  <c r="I320" i="58"/>
  <c r="J190" i="37"/>
  <c r="J190" i="58"/>
  <c r="I367" i="58"/>
  <c r="I367" i="37"/>
  <c r="I196" i="37"/>
  <c r="I196" i="58"/>
  <c r="I274" i="37"/>
  <c r="I274" i="58"/>
  <c r="H240" i="58"/>
  <c r="H240" i="37"/>
  <c r="I225" i="37"/>
  <c r="I225" i="58"/>
  <c r="J343" i="58"/>
  <c r="J343" i="37"/>
  <c r="H225" i="37"/>
  <c r="H225" i="58"/>
  <c r="J229" i="37"/>
  <c r="J229" i="58"/>
  <c r="J265" i="58"/>
  <c r="J265" i="37"/>
  <c r="H374" i="58"/>
  <c r="H374" i="37"/>
  <c r="H388" i="37"/>
  <c r="H388" i="58"/>
  <c r="J370" i="58"/>
  <c r="J370" i="37"/>
  <c r="I214" i="37"/>
  <c r="I214" i="58"/>
  <c r="H312" i="37"/>
  <c r="H312" i="58"/>
  <c r="I322" i="37"/>
  <c r="I322" i="58"/>
  <c r="J338" i="37"/>
  <c r="J338" i="58"/>
  <c r="H128" i="37"/>
  <c r="H128" i="58"/>
  <c r="J295" i="58"/>
  <c r="J295" i="37"/>
  <c r="H304" i="37"/>
  <c r="H304" i="58"/>
  <c r="J255" i="37"/>
  <c r="J255" i="58"/>
  <c r="H360" i="58"/>
  <c r="H360" i="37"/>
  <c r="I255" i="37"/>
  <c r="I255" i="58"/>
  <c r="J294" i="37"/>
  <c r="J294" i="58"/>
  <c r="I351" i="58"/>
  <c r="I351" i="37"/>
  <c r="I252" i="37"/>
  <c r="I252" i="58"/>
  <c r="J153" i="58"/>
  <c r="J153" i="37"/>
  <c r="J234" i="58"/>
  <c r="J234" i="37"/>
  <c r="H297" i="58"/>
  <c r="H297" i="37"/>
  <c r="J204" i="58"/>
  <c r="J204" i="37"/>
  <c r="J396" i="58"/>
  <c r="J396" i="37"/>
  <c r="I372" i="58"/>
  <c r="I372" i="37"/>
  <c r="J132" i="37"/>
  <c r="J132" i="58"/>
  <c r="J366" i="37"/>
  <c r="J366" i="58"/>
  <c r="I301" i="37"/>
  <c r="I301" i="58"/>
  <c r="I362" i="58"/>
  <c r="I362" i="37"/>
  <c r="H363" i="37"/>
  <c r="H363" i="58"/>
  <c r="J233" i="37"/>
  <c r="J233" i="58"/>
  <c r="H352" i="58"/>
  <c r="H352" i="37"/>
  <c r="H250" i="58"/>
  <c r="H250" i="37"/>
  <c r="H157" i="37"/>
  <c r="H157" i="58"/>
  <c r="H366" i="58"/>
  <c r="H366" i="37"/>
  <c r="I232" i="58"/>
  <c r="I232" i="37"/>
  <c r="I398" i="37"/>
  <c r="I398" i="58"/>
  <c r="H147" i="37"/>
  <c r="H147" i="58"/>
  <c r="J262" i="58"/>
  <c r="J262" i="37"/>
  <c r="H256" i="58"/>
  <c r="H256" i="37"/>
  <c r="I306" i="58"/>
  <c r="I306" i="37"/>
  <c r="J364" i="58"/>
  <c r="J364" i="37"/>
  <c r="H229" i="37"/>
  <c r="H229" i="58"/>
  <c r="J278" i="37"/>
  <c r="J278" i="58"/>
  <c r="J257" i="58"/>
  <c r="J257" i="37"/>
  <c r="I334" i="37"/>
  <c r="I334" i="58"/>
  <c r="J347" i="58"/>
  <c r="J347" i="37"/>
  <c r="J377" i="37"/>
  <c r="J377" i="58"/>
  <c r="H325" i="58"/>
  <c r="H325" i="37"/>
  <c r="H219" i="37"/>
  <c r="H219" i="58"/>
  <c r="H269" i="37"/>
  <c r="H269" i="58"/>
  <c r="J318" i="37"/>
  <c r="J318" i="58"/>
  <c r="H326" i="37"/>
  <c r="H326" i="58"/>
  <c r="H276" i="58"/>
  <c r="H276" i="37"/>
  <c r="H177" i="37"/>
  <c r="H177" i="58"/>
  <c r="H146" i="37"/>
  <c r="H146" i="58"/>
  <c r="J244" i="58"/>
  <c r="J244" i="37"/>
  <c r="I293" i="37"/>
  <c r="I293" i="58"/>
  <c r="J280" i="58"/>
  <c r="J280" i="37"/>
  <c r="J311" i="58"/>
  <c r="J311" i="37"/>
  <c r="H399" i="58"/>
  <c r="H399" i="37"/>
  <c r="H144" i="37"/>
  <c r="H144" i="58"/>
  <c r="H296" i="37"/>
  <c r="H296" i="58"/>
  <c r="I134" i="58"/>
  <c r="I134" i="37"/>
  <c r="J398" i="58"/>
  <c r="J398" i="37"/>
  <c r="H359" i="58"/>
  <c r="H359" i="37"/>
  <c r="H217" i="37"/>
  <c r="H217" i="58"/>
  <c r="H379" i="58"/>
  <c r="H379" i="37"/>
  <c r="I161" i="37"/>
  <c r="I161" i="58"/>
  <c r="J176" i="37"/>
  <c r="J176" i="58"/>
  <c r="I182" i="58"/>
  <c r="I182" i="37"/>
  <c r="I299" i="58"/>
  <c r="I299" i="37"/>
  <c r="H168" i="58"/>
  <c r="H168" i="37"/>
  <c r="H330" i="37"/>
  <c r="H330" i="58"/>
  <c r="J212" i="37"/>
  <c r="J212" i="58"/>
  <c r="I329" i="37"/>
  <c r="I329" i="58"/>
  <c r="H344" i="37"/>
  <c r="H344" i="58"/>
  <c r="J324" i="58"/>
  <c r="J324" i="37"/>
  <c r="I212" i="37"/>
  <c r="I212" i="58"/>
  <c r="J390" i="58"/>
  <c r="J390" i="37"/>
  <c r="I312" i="37"/>
  <c r="I312" i="58"/>
  <c r="J252" i="37"/>
  <c r="J252" i="58"/>
  <c r="I224" i="37"/>
  <c r="I224" i="58"/>
  <c r="J264" i="58"/>
  <c r="J264" i="37"/>
  <c r="I209" i="58"/>
  <c r="I209" i="37"/>
  <c r="J372" i="37"/>
  <c r="J372" i="58"/>
  <c r="J125" i="37"/>
  <c r="J125" i="58"/>
  <c r="I125" i="58"/>
  <c r="I125" i="37"/>
  <c r="J220" i="58"/>
  <c r="J220" i="37"/>
  <c r="I264" i="37"/>
  <c r="I264" i="58"/>
  <c r="H212" i="37"/>
  <c r="H212" i="58"/>
  <c r="J177" i="58"/>
  <c r="J177" i="37"/>
  <c r="I205" i="58"/>
  <c r="I205" i="37"/>
  <c r="J217" i="37"/>
  <c r="J217" i="58"/>
  <c r="I150" i="37"/>
  <c r="I150" i="58"/>
  <c r="J273" i="58"/>
  <c r="J273" i="37"/>
  <c r="I344" i="58"/>
  <c r="I344" i="37"/>
  <c r="H171" i="58"/>
  <c r="H171" i="37"/>
  <c r="J120" i="37"/>
  <c r="J120" i="58"/>
  <c r="I174" i="37"/>
  <c r="I174" i="58"/>
  <c r="J312" i="58"/>
  <c r="J312" i="37"/>
  <c r="I258" i="58"/>
  <c r="I258" i="37"/>
  <c r="I176" i="37"/>
  <c r="I176" i="58"/>
  <c r="H281" i="37"/>
  <c r="H281" i="58"/>
  <c r="J323" i="37"/>
  <c r="J323" i="58"/>
  <c r="H244" i="37"/>
  <c r="H244" i="58"/>
  <c r="H182" i="37"/>
  <c r="H182" i="58"/>
  <c r="I388" i="58"/>
  <c r="I388" i="37"/>
  <c r="H364" i="58"/>
  <c r="H364" i="37"/>
  <c r="I397" i="37"/>
  <c r="I397" i="58"/>
  <c r="J130" i="58"/>
  <c r="J130" i="37"/>
  <c r="H257" i="58"/>
  <c r="H257" i="37"/>
  <c r="I200" i="58"/>
  <c r="I200" i="37"/>
  <c r="J232" i="58"/>
  <c r="J232" i="37"/>
  <c r="I280" i="37"/>
  <c r="I280" i="58"/>
  <c r="J296" i="58"/>
  <c r="J296" i="37"/>
  <c r="H205" i="58"/>
  <c r="H205" i="37"/>
  <c r="H394" i="37"/>
  <c r="H394" i="58"/>
  <c r="J315" i="58"/>
  <c r="J315" i="37"/>
  <c r="H194" i="37"/>
  <c r="H194" i="58"/>
  <c r="J376" i="37"/>
  <c r="J376" i="58"/>
  <c r="H274" i="58"/>
  <c r="H274" i="37"/>
  <c r="H220" i="58"/>
  <c r="H220" i="37"/>
  <c r="I260" i="58"/>
  <c r="I260" i="37"/>
  <c r="I154" i="58"/>
  <c r="I154" i="37"/>
  <c r="I197" i="37"/>
  <c r="I197" i="58"/>
  <c r="H169" i="58"/>
  <c r="H169" i="37"/>
  <c r="H322" i="37"/>
  <c r="H322" i="58"/>
  <c r="I148" i="58"/>
  <c r="I148" i="37"/>
  <c r="J302" i="58"/>
  <c r="J302" i="37"/>
  <c r="I239" i="37"/>
  <c r="I239" i="58"/>
  <c r="I160" i="37"/>
  <c r="I160" i="58"/>
  <c r="H141" i="58"/>
  <c r="H141" i="37"/>
  <c r="H337" i="37"/>
  <c r="H337" i="58"/>
  <c r="H401" i="37"/>
  <c r="H401" i="58"/>
  <c r="I265" i="37"/>
  <c r="I265" i="58"/>
  <c r="H341" i="37"/>
  <c r="H341" i="58"/>
  <c r="I303" i="58"/>
  <c r="I303" i="37"/>
  <c r="H148" i="37"/>
  <c r="H148" i="58"/>
  <c r="I385" i="37"/>
  <c r="I385" i="58"/>
  <c r="J219" i="58"/>
  <c r="J219" i="37"/>
  <c r="I181" i="58"/>
  <c r="I181" i="37"/>
  <c r="I307" i="58"/>
  <c r="I307" i="37"/>
  <c r="J175" i="37"/>
  <c r="J175" i="58"/>
  <c r="I276" i="37"/>
  <c r="I276" i="58"/>
  <c r="J44" i="41"/>
  <c r="I298" i="41"/>
  <c r="J49" i="41"/>
  <c r="C44" i="63"/>
  <c r="N127" i="66"/>
  <c r="J8" i="41"/>
  <c r="C25" i="63"/>
  <c r="Y237" i="66"/>
  <c r="Z237" i="66"/>
  <c r="Y93" i="66"/>
  <c r="Z93" i="66"/>
  <c r="O93" i="66"/>
  <c r="J11" i="41"/>
  <c r="J402" i="37"/>
  <c r="J403" i="37"/>
  <c r="F145" i="66" s="1"/>
  <c r="E364" i="38"/>
  <c r="K107" i="66" s="1"/>
  <c r="N107" i="66" s="1"/>
  <c r="J455" i="41"/>
  <c r="J403" i="58"/>
  <c r="F289" i="66" s="1"/>
  <c r="J402" i="58"/>
  <c r="F290" i="66" s="1"/>
  <c r="N290" i="66" s="1"/>
  <c r="J430" i="41"/>
  <c r="J57" i="41"/>
  <c r="J56" i="41"/>
  <c r="H404" i="41"/>
  <c r="F30" i="66"/>
  <c r="N30" i="66" s="1"/>
  <c r="I37" i="41"/>
  <c r="I230" i="41"/>
  <c r="I391" i="37"/>
  <c r="I391" i="58"/>
  <c r="J263" i="58"/>
  <c r="J263" i="37"/>
  <c r="H383" i="58"/>
  <c r="H383" i="37"/>
  <c r="H333" i="58"/>
  <c r="H333" i="37"/>
  <c r="I128" i="37"/>
  <c r="I128" i="58"/>
  <c r="I309" i="58"/>
  <c r="I309" i="37"/>
  <c r="H255" i="58"/>
  <c r="H255" i="37"/>
  <c r="J127" i="37"/>
  <c r="J127" i="58"/>
  <c r="I394" i="58"/>
  <c r="I394" i="37"/>
  <c r="J383" i="37"/>
  <c r="J383" i="58"/>
  <c r="H213" i="58"/>
  <c r="H213" i="37"/>
  <c r="I194" i="58"/>
  <c r="I194" i="37"/>
  <c r="H221" i="37"/>
  <c r="H221" i="58"/>
  <c r="I245" i="37"/>
  <c r="I245" i="58"/>
  <c r="H381" i="58"/>
  <c r="H381" i="37"/>
  <c r="I318" i="58"/>
  <c r="I318" i="37"/>
  <c r="I222" i="37"/>
  <c r="I222" i="58"/>
  <c r="J167" i="37"/>
  <c r="J167" i="58"/>
  <c r="H338" i="58"/>
  <c r="H338" i="37"/>
  <c r="H335" i="58"/>
  <c r="H335" i="37"/>
  <c r="H398" i="37"/>
  <c r="H398" i="58"/>
  <c r="J134" i="37"/>
  <c r="J134" i="58"/>
  <c r="I323" i="37"/>
  <c r="I323" i="58"/>
  <c r="I327" i="37"/>
  <c r="I327" i="58"/>
  <c r="I370" i="58"/>
  <c r="I370" i="37"/>
  <c r="J194" i="37"/>
  <c r="J194" i="58"/>
  <c r="J254" i="58"/>
  <c r="J254" i="37"/>
  <c r="H136" i="37"/>
  <c r="H136" i="58"/>
  <c r="H336" i="58"/>
  <c r="H336" i="37"/>
  <c r="I198" i="58"/>
  <c r="I198" i="37"/>
  <c r="I297" i="58"/>
  <c r="I297" i="37"/>
  <c r="I183" i="58"/>
  <c r="I183" i="37"/>
  <c r="J333" i="58"/>
  <c r="J333" i="37"/>
  <c r="H372" i="37"/>
  <c r="H372" i="58"/>
  <c r="I249" i="58"/>
  <c r="I249" i="37"/>
  <c r="J150" i="58"/>
  <c r="J150" i="37"/>
  <c r="I345" i="37"/>
  <c r="I345" i="58"/>
  <c r="I332" i="58"/>
  <c r="I332" i="37"/>
  <c r="I317" i="58"/>
  <c r="I317" i="37"/>
  <c r="J285" i="37"/>
  <c r="J285" i="58"/>
  <c r="I364" i="58"/>
  <c r="I364" i="37"/>
  <c r="H279" i="58"/>
  <c r="H279" i="37"/>
  <c r="I377" i="58"/>
  <c r="I377" i="37"/>
  <c r="H386" i="37"/>
  <c r="H386" i="58"/>
  <c r="H323" i="58"/>
  <c r="H323" i="37"/>
  <c r="I248" i="58"/>
  <c r="I248" i="37"/>
  <c r="H368" i="58"/>
  <c r="H368" i="37"/>
  <c r="H218" i="58"/>
  <c r="H218" i="37"/>
  <c r="I295" i="37"/>
  <c r="I295" i="58"/>
  <c r="H358" i="58"/>
  <c r="H358" i="37"/>
  <c r="H263" i="37"/>
  <c r="H263" i="58"/>
  <c r="J342" i="58"/>
  <c r="J342" i="37"/>
  <c r="J193" i="58"/>
  <c r="J193" i="37"/>
  <c r="J142" i="37"/>
  <c r="J142" i="58"/>
  <c r="H207" i="37"/>
  <c r="H207" i="58"/>
  <c r="H124" i="37"/>
  <c r="H124" i="58"/>
  <c r="J188" i="58"/>
  <c r="J188" i="37"/>
  <c r="I206" i="37"/>
  <c r="I206" i="58"/>
  <c r="J223" i="37"/>
  <c r="J223" i="58"/>
  <c r="J242" i="58"/>
  <c r="J242" i="37"/>
  <c r="H185" i="37"/>
  <c r="H185" i="58"/>
  <c r="H190" i="58"/>
  <c r="H190" i="37"/>
  <c r="I173" i="58"/>
  <c r="I173" i="37"/>
  <c r="I242" i="37"/>
  <c r="I242" i="58"/>
  <c r="J371" i="58"/>
  <c r="J371" i="37"/>
  <c r="J270" i="37"/>
  <c r="J270" i="58"/>
  <c r="I401" i="37"/>
  <c r="I401" i="58"/>
  <c r="J303" i="58"/>
  <c r="J303" i="37"/>
  <c r="J325" i="58"/>
  <c r="J325" i="37"/>
  <c r="I262" i="58"/>
  <c r="I262" i="37"/>
  <c r="I308" i="58"/>
  <c r="I308" i="37"/>
  <c r="H164" i="37"/>
  <c r="H164" i="58"/>
  <c r="G202" i="66"/>
  <c r="I429" i="58"/>
  <c r="I12" i="41"/>
  <c r="C52" i="63"/>
  <c r="H56" i="41"/>
  <c r="I431" i="41"/>
  <c r="M112" i="66"/>
  <c r="J468" i="37"/>
  <c r="J469" i="37"/>
  <c r="J470" i="37"/>
  <c r="J423" i="41"/>
  <c r="J17" i="41"/>
  <c r="Q203" i="66"/>
  <c r="R203" i="66" s="1"/>
  <c r="T203" i="66" s="1"/>
  <c r="J208" i="41"/>
  <c r="I404" i="37"/>
  <c r="I404" i="58"/>
  <c r="F222" i="66" s="1"/>
  <c r="N222" i="66" s="1"/>
  <c r="J41" i="41"/>
  <c r="H420" i="41"/>
  <c r="H318" i="37"/>
  <c r="H318" i="58"/>
  <c r="H153" i="37"/>
  <c r="H153" i="58"/>
  <c r="I146" i="58"/>
  <c r="I146" i="37"/>
  <c r="H193" i="58"/>
  <c r="H193" i="37"/>
  <c r="I399" i="58"/>
  <c r="I399" i="37"/>
  <c r="J168" i="58"/>
  <c r="J168" i="37"/>
  <c r="I360" i="58"/>
  <c r="I360" i="37"/>
  <c r="I246" i="58"/>
  <c r="I246" i="37"/>
  <c r="H259" i="58"/>
  <c r="H259" i="37"/>
  <c r="H172" i="37"/>
  <c r="H172" i="58"/>
  <c r="I263" i="58"/>
  <c r="I263" i="37"/>
  <c r="J350" i="37"/>
  <c r="J350" i="58"/>
  <c r="H241" i="37"/>
  <c r="H241" i="58"/>
  <c r="J246" i="58"/>
  <c r="J246" i="37"/>
  <c r="J331" i="37"/>
  <c r="J331" i="58"/>
  <c r="I253" i="58"/>
  <c r="I253" i="37"/>
  <c r="I172" i="58"/>
  <c r="I172" i="37"/>
  <c r="H329" i="37"/>
  <c r="H329" i="58"/>
  <c r="I241" i="37"/>
  <c r="I241" i="58"/>
  <c r="H206" i="58"/>
  <c r="H206" i="37"/>
  <c r="H210" i="58"/>
  <c r="H210" i="37"/>
  <c r="J358" i="58"/>
  <c r="J358" i="37"/>
  <c r="H246" i="37"/>
  <c r="H246" i="58"/>
  <c r="H302" i="37"/>
  <c r="H302" i="58"/>
  <c r="J148" i="58"/>
  <c r="J148" i="37"/>
  <c r="H268" i="58"/>
  <c r="H268" i="37"/>
  <c r="H125" i="58"/>
  <c r="H125" i="37"/>
  <c r="I123" i="58"/>
  <c r="I123" i="37"/>
  <c r="H273" i="37"/>
  <c r="H273" i="58"/>
  <c r="J171" i="37"/>
  <c r="J171" i="58"/>
  <c r="I300" i="58"/>
  <c r="I300" i="37"/>
  <c r="J198" i="58"/>
  <c r="J198" i="37"/>
  <c r="J336" i="37"/>
  <c r="J336" i="58"/>
  <c r="J209" i="37"/>
  <c r="J209" i="58"/>
  <c r="J237" i="58"/>
  <c r="J237" i="37"/>
  <c r="I195" i="37"/>
  <c r="I195" i="58"/>
  <c r="I378" i="58"/>
  <c r="I378" i="37"/>
  <c r="J205" i="37"/>
  <c r="J205" i="58"/>
  <c r="H156" i="37"/>
  <c r="H156" i="58"/>
  <c r="I192" i="37"/>
  <c r="I192" i="58"/>
  <c r="I136" i="37"/>
  <c r="I136" i="58"/>
  <c r="J231" i="58"/>
  <c r="J231" i="37"/>
  <c r="J301" i="37"/>
  <c r="J301" i="58"/>
  <c r="I133" i="37"/>
  <c r="I133" i="58"/>
  <c r="I132" i="37"/>
  <c r="I132" i="58"/>
  <c r="J245" i="58"/>
  <c r="J245" i="37"/>
  <c r="I314" i="58"/>
  <c r="I314" i="37"/>
  <c r="H308" i="37"/>
  <c r="H308" i="58"/>
  <c r="J353" i="58"/>
  <c r="J353" i="37"/>
  <c r="J389" i="58"/>
  <c r="J389" i="37"/>
  <c r="J160" i="58"/>
  <c r="J160" i="37"/>
  <c r="J251" i="37"/>
  <c r="J251" i="58"/>
  <c r="H233" i="58"/>
  <c r="H233" i="37"/>
  <c r="I275" i="37"/>
  <c r="I275" i="58"/>
  <c r="I383" i="37"/>
  <c r="I383" i="58"/>
  <c r="J215" i="37"/>
  <c r="J215" i="58"/>
  <c r="I236" i="58"/>
  <c r="I236" i="37"/>
  <c r="J238" i="58"/>
  <c r="J238" i="37"/>
  <c r="J269" i="58"/>
  <c r="J269" i="37"/>
  <c r="H174" i="58"/>
  <c r="H174" i="37"/>
  <c r="H160" i="37"/>
  <c r="H160" i="58"/>
  <c r="J395" i="58"/>
  <c r="J395" i="37"/>
  <c r="J250" i="37"/>
  <c r="J250" i="58"/>
  <c r="J210" i="37"/>
  <c r="J210" i="58"/>
  <c r="I167" i="37"/>
  <c r="I167" i="58"/>
  <c r="H317" i="58"/>
  <c r="H317" i="37"/>
  <c r="H320" i="58"/>
  <c r="H320" i="37"/>
  <c r="I358" i="37"/>
  <c r="I358" i="58"/>
  <c r="I250" i="37"/>
  <c r="I250" i="58"/>
  <c r="I254" i="58"/>
  <c r="I254" i="37"/>
  <c r="H310" i="58"/>
  <c r="H310" i="37"/>
  <c r="H183" i="37"/>
  <c r="H183" i="58"/>
  <c r="I342" i="58"/>
  <c r="I342" i="37"/>
  <c r="H248" i="37"/>
  <c r="H248" i="58"/>
  <c r="I122" i="58"/>
  <c r="I122" i="37"/>
  <c r="J346" i="37"/>
  <c r="J346" i="58"/>
  <c r="J281" i="58"/>
  <c r="J281" i="37"/>
  <c r="H301" i="37"/>
  <c r="H301" i="58"/>
  <c r="H211" i="58"/>
  <c r="H211" i="37"/>
  <c r="J352" i="58"/>
  <c r="J352" i="37"/>
  <c r="J191" i="37"/>
  <c r="J191" i="58"/>
  <c r="H373" i="37"/>
  <c r="H373" i="58"/>
  <c r="I315" i="58"/>
  <c r="I315" i="37"/>
  <c r="H272" i="58"/>
  <c r="H272" i="37"/>
  <c r="H277" i="58"/>
  <c r="H277" i="37"/>
  <c r="J159" i="37"/>
  <c r="J159" i="58"/>
  <c r="I285" i="37"/>
  <c r="I285" i="58"/>
  <c r="H261" i="58"/>
  <c r="H261" i="37"/>
  <c r="J129" i="58"/>
  <c r="J129" i="37"/>
  <c r="I171" i="58"/>
  <c r="I171" i="37"/>
  <c r="J309" i="58"/>
  <c r="J309" i="37"/>
  <c r="I282" i="58"/>
  <c r="I282" i="37"/>
  <c r="J195" i="37"/>
  <c r="J195" i="58"/>
  <c r="I156" i="37"/>
  <c r="I156" i="58"/>
  <c r="J180" i="37"/>
  <c r="J180" i="58"/>
  <c r="I168" i="37"/>
  <c r="I168" i="58"/>
  <c r="J320" i="37"/>
  <c r="J320" i="58"/>
  <c r="I336" i="58"/>
  <c r="I336" i="37"/>
  <c r="H324" i="37"/>
  <c r="H324" i="58"/>
  <c r="J192" i="37"/>
  <c r="J192" i="58"/>
  <c r="I221" i="37"/>
  <c r="I221" i="58"/>
  <c r="J332" i="37"/>
  <c r="J332" i="58"/>
  <c r="J136" i="58"/>
  <c r="J136" i="37"/>
  <c r="I165" i="58"/>
  <c r="I165" i="37"/>
  <c r="I333" i="37"/>
  <c r="I333" i="58"/>
  <c r="H378" i="37"/>
  <c r="H378" i="58"/>
  <c r="J216" i="37"/>
  <c r="J216" i="58"/>
  <c r="I304" i="58"/>
  <c r="I304" i="37"/>
  <c r="J381" i="37"/>
  <c r="J381" i="58"/>
  <c r="I288" i="58"/>
  <c r="I288" i="37"/>
  <c r="I120" i="58"/>
  <c r="I120" i="37"/>
  <c r="J243" i="58"/>
  <c r="J243" i="37"/>
  <c r="I143" i="58"/>
  <c r="I143" i="37"/>
  <c r="I218" i="58"/>
  <c r="I218" i="37"/>
  <c r="H126" i="58"/>
  <c r="H126" i="37"/>
  <c r="J268" i="58"/>
  <c r="J268" i="37"/>
  <c r="H150" i="58"/>
  <c r="H150" i="37"/>
  <c r="H303" i="37"/>
  <c r="H303" i="58"/>
  <c r="I190" i="37"/>
  <c r="I190" i="58"/>
  <c r="H289" i="37"/>
  <c r="H289" i="58"/>
  <c r="I158" i="37"/>
  <c r="I158" i="58"/>
  <c r="H216" i="37"/>
  <c r="H216" i="58"/>
  <c r="H355" i="58"/>
  <c r="H355" i="37"/>
  <c r="H247" i="58"/>
  <c r="H247" i="37"/>
  <c r="J248" i="58"/>
  <c r="J248" i="37"/>
  <c r="I169" i="37"/>
  <c r="I169" i="58"/>
  <c r="J185" i="58"/>
  <c r="J185" i="37"/>
  <c r="H249" i="58"/>
  <c r="H249" i="37"/>
  <c r="I215" i="58"/>
  <c r="I215" i="37"/>
  <c r="J247" i="58"/>
  <c r="J247" i="37"/>
  <c r="J293" i="58"/>
  <c r="J293" i="37"/>
  <c r="J310" i="37"/>
  <c r="J310" i="58"/>
  <c r="H186" i="58"/>
  <c r="H186" i="37"/>
  <c r="H361" i="37"/>
  <c r="H361" i="58"/>
  <c r="I290" i="58"/>
  <c r="I290" i="37"/>
  <c r="H265" i="37"/>
  <c r="H265" i="58"/>
  <c r="H151" i="58"/>
  <c r="H151" i="37"/>
  <c r="H266" i="37"/>
  <c r="H266" i="58"/>
  <c r="H201" i="37"/>
  <c r="H201" i="58"/>
  <c r="H154" i="37"/>
  <c r="H154" i="58"/>
  <c r="J277" i="37"/>
  <c r="J277" i="58"/>
  <c r="H260" i="58"/>
  <c r="H260" i="37"/>
  <c r="H293" i="37"/>
  <c r="H293" i="58"/>
  <c r="H184" i="58"/>
  <c r="H184" i="37"/>
  <c r="J400" i="37"/>
  <c r="J400" i="58"/>
  <c r="H187" i="58"/>
  <c r="H187" i="37"/>
  <c r="I126" i="58"/>
  <c r="I126" i="37"/>
  <c r="I392" i="58"/>
  <c r="I392" i="37"/>
  <c r="I240" i="37"/>
  <c r="I240" i="58"/>
  <c r="I219" i="37"/>
  <c r="I219" i="58"/>
  <c r="J373" i="37"/>
  <c r="J373" i="58"/>
  <c r="H294" i="58"/>
  <c r="H294" i="37"/>
  <c r="J157" i="37"/>
  <c r="J157" i="58"/>
  <c r="I390" i="37"/>
  <c r="I390" i="58"/>
  <c r="J308" i="58"/>
  <c r="J308" i="37"/>
  <c r="H421" i="41"/>
  <c r="J12" i="41"/>
  <c r="M64" i="66"/>
  <c r="I468" i="37"/>
  <c r="I469" i="37"/>
  <c r="I470" i="37"/>
  <c r="E362" i="38"/>
  <c r="K141" i="66" s="1"/>
  <c r="N141" i="66" s="1"/>
  <c r="J453" i="41"/>
  <c r="I357" i="41"/>
  <c r="Y139" i="66"/>
  <c r="Y283" i="66"/>
  <c r="Z139" i="66"/>
  <c r="Z283" i="66"/>
  <c r="I157" i="41"/>
  <c r="J162" i="41"/>
  <c r="I50" i="41"/>
  <c r="I162" i="41"/>
  <c r="Y268" i="66"/>
  <c r="Y124" i="66"/>
  <c r="Z268" i="66"/>
  <c r="Z124" i="66"/>
  <c r="O237" i="66" l="1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18" i="58"/>
  <c r="G118" i="66"/>
  <c r="J418" i="37"/>
  <c r="G121" i="66"/>
  <c r="H158" i="41"/>
  <c r="H278" i="41"/>
  <c r="I142" i="41"/>
  <c r="J314" i="41"/>
  <c r="I177" i="41"/>
  <c r="J387" i="41"/>
  <c r="I389" i="41"/>
  <c r="I365" i="41"/>
  <c r="J165" i="41"/>
  <c r="J239" i="41"/>
  <c r="J327" i="41"/>
  <c r="H367" i="41"/>
  <c r="J147" i="41"/>
  <c r="J226" i="41"/>
  <c r="J368" i="41"/>
  <c r="H223" i="41"/>
  <c r="I233" i="41"/>
  <c r="I305" i="41"/>
  <c r="J291" i="41"/>
  <c r="J401" i="41"/>
  <c r="J213" i="41"/>
  <c r="H343" i="41"/>
  <c r="H307" i="41"/>
  <c r="J227" i="41"/>
  <c r="H306" i="41"/>
  <c r="H349" i="41"/>
  <c r="H271" i="41"/>
  <c r="J380" i="41"/>
  <c r="J221" i="41"/>
  <c r="I381" i="41"/>
  <c r="I328" i="41"/>
  <c r="H242" i="41"/>
  <c r="H134" i="41"/>
  <c r="J272" i="41"/>
  <c r="J126" i="41"/>
  <c r="H167" i="41"/>
  <c r="J271" i="41"/>
  <c r="J306" i="41"/>
  <c r="J207" i="41"/>
  <c r="I217" i="41"/>
  <c r="I153" i="41"/>
  <c r="H132" i="41"/>
  <c r="I384" i="41"/>
  <c r="J154" i="41"/>
  <c r="H254" i="41"/>
  <c r="H129" i="41"/>
  <c r="J305" i="41"/>
  <c r="J384" i="41"/>
  <c r="I141" i="41"/>
  <c r="H353" i="41"/>
  <c r="J344" i="41"/>
  <c r="J175" i="41"/>
  <c r="I385" i="41"/>
  <c r="I265" i="41"/>
  <c r="I160" i="41"/>
  <c r="H322" i="41"/>
  <c r="H194" i="41"/>
  <c r="H281" i="41"/>
  <c r="I174" i="41"/>
  <c r="I329" i="41"/>
  <c r="H146" i="41"/>
  <c r="J318" i="41"/>
  <c r="J377" i="41"/>
  <c r="J278" i="41"/>
  <c r="I301" i="41"/>
  <c r="I255" i="41"/>
  <c r="H312" i="41"/>
  <c r="J192" i="41"/>
  <c r="J346" i="41"/>
  <c r="H183" i="41"/>
  <c r="I358" i="41"/>
  <c r="J210" i="41"/>
  <c r="J215" i="41"/>
  <c r="J251" i="41"/>
  <c r="H308" i="41"/>
  <c r="I133" i="41"/>
  <c r="I192" i="41"/>
  <c r="I195" i="41"/>
  <c r="H302" i="41"/>
  <c r="I225" i="41"/>
  <c r="H337" i="41"/>
  <c r="I197" i="41"/>
  <c r="H394" i="41"/>
  <c r="I397" i="41"/>
  <c r="H244" i="41"/>
  <c r="J217" i="41"/>
  <c r="J372" i="41"/>
  <c r="J252" i="41"/>
  <c r="H330" i="41"/>
  <c r="J176" i="41"/>
  <c r="I293" i="41"/>
  <c r="H219" i="41"/>
  <c r="I334" i="41"/>
  <c r="H147" i="41"/>
  <c r="H157" i="41"/>
  <c r="H363" i="41"/>
  <c r="J132" i="41"/>
  <c r="J255" i="41"/>
  <c r="J338" i="41"/>
  <c r="J229" i="41"/>
  <c r="I251" i="41"/>
  <c r="H122" i="41"/>
  <c r="I210" i="41"/>
  <c r="I238" i="41"/>
  <c r="H189" i="41"/>
  <c r="I149" i="41"/>
  <c r="H214" i="41"/>
  <c r="H305" i="41"/>
  <c r="I331" i="41"/>
  <c r="J184" i="41"/>
  <c r="J197" i="41"/>
  <c r="I325" i="41"/>
  <c r="I350" i="41"/>
  <c r="H331" i="41"/>
  <c r="H340" i="41"/>
  <c r="J166" i="41"/>
  <c r="I270" i="41"/>
  <c r="H362" i="41"/>
  <c r="J388" i="41"/>
  <c r="I259" i="41"/>
  <c r="J299" i="41"/>
  <c r="J259" i="41"/>
  <c r="H237" i="41"/>
  <c r="J385" i="41"/>
  <c r="H275" i="41"/>
  <c r="J200" i="41"/>
  <c r="I179" i="41"/>
  <c r="I382" i="41"/>
  <c r="I188" i="41"/>
  <c r="J218" i="41"/>
  <c r="I216" i="41"/>
  <c r="J354" i="41"/>
  <c r="J317" i="41"/>
  <c r="I279" i="41"/>
  <c r="I129" i="41"/>
  <c r="J339" i="41"/>
  <c r="J211" i="41"/>
  <c r="J196" i="41"/>
  <c r="I386" i="41"/>
  <c r="H395" i="41"/>
  <c r="H345" i="41"/>
  <c r="J199" i="41"/>
  <c r="I321" i="41"/>
  <c r="H224" i="41"/>
  <c r="J122" i="41"/>
  <c r="I226" i="41"/>
  <c r="J267" i="41"/>
  <c r="I140" i="41"/>
  <c r="I347" i="41"/>
  <c r="I147" i="41"/>
  <c r="J179" i="41"/>
  <c r="J369" i="41"/>
  <c r="J359" i="41"/>
  <c r="I302" i="41"/>
  <c r="J340" i="41"/>
  <c r="H339" i="41"/>
  <c r="J349" i="41"/>
  <c r="J345" i="41"/>
  <c r="H213" i="41"/>
  <c r="H255" i="41"/>
  <c r="H383" i="41"/>
  <c r="J270" i="41"/>
  <c r="J142" i="41"/>
  <c r="H372" i="41"/>
  <c r="J134" i="41"/>
  <c r="I245" i="41"/>
  <c r="I276" i="41"/>
  <c r="H341" i="41"/>
  <c r="J376" i="41"/>
  <c r="J323" i="41"/>
  <c r="I312" i="41"/>
  <c r="H344" i="41"/>
  <c r="I161" i="41"/>
  <c r="H326" i="41"/>
  <c r="I398" i="41"/>
  <c r="J294" i="41"/>
  <c r="H304" i="41"/>
  <c r="I322" i="41"/>
  <c r="H388" i="41"/>
  <c r="H225" i="41"/>
  <c r="H241" i="41"/>
  <c r="H318" i="41"/>
  <c r="I206" i="41"/>
  <c r="J194" i="41"/>
  <c r="J167" i="41"/>
  <c r="J325" i="41"/>
  <c r="J371" i="41"/>
  <c r="J188" i="41"/>
  <c r="J193" i="41"/>
  <c r="H323" i="41"/>
  <c r="I364" i="41"/>
  <c r="J333" i="41"/>
  <c r="H336" i="41"/>
  <c r="I370" i="41"/>
  <c r="J357" i="41"/>
  <c r="J158" i="41"/>
  <c r="H203" i="41"/>
  <c r="H356" i="41"/>
  <c r="J329" i="41"/>
  <c r="J321" i="41"/>
  <c r="J356" i="41"/>
  <c r="H284" i="41"/>
  <c r="J378" i="41"/>
  <c r="H327" i="41"/>
  <c r="H376" i="41"/>
  <c r="I396" i="41"/>
  <c r="H130" i="41"/>
  <c r="J335" i="41"/>
  <c r="H265" i="41"/>
  <c r="J308" i="41"/>
  <c r="J373" i="41"/>
  <c r="I126" i="41"/>
  <c r="I290" i="41"/>
  <c r="J293" i="41"/>
  <c r="J185" i="41"/>
  <c r="H355" i="41"/>
  <c r="H126" i="41"/>
  <c r="J136" i="41"/>
  <c r="J309" i="41"/>
  <c r="I315" i="41"/>
  <c r="H211" i="41"/>
  <c r="I122" i="41"/>
  <c r="H310" i="41"/>
  <c r="H320" i="41"/>
  <c r="J269" i="41"/>
  <c r="J160" i="41"/>
  <c r="I314" i="41"/>
  <c r="J237" i="41"/>
  <c r="H125" i="41"/>
  <c r="I263" i="41"/>
  <c r="I360" i="41"/>
  <c r="I146" i="41"/>
  <c r="J303" i="41"/>
  <c r="J242" i="41"/>
  <c r="J342" i="41"/>
  <c r="H218" i="41"/>
  <c r="J150" i="41"/>
  <c r="I183" i="41"/>
  <c r="H335" i="41"/>
  <c r="I318" i="41"/>
  <c r="H221" i="41"/>
  <c r="I128" i="41"/>
  <c r="I391" i="41"/>
  <c r="I307" i="41"/>
  <c r="H169" i="41"/>
  <c r="H220" i="41"/>
  <c r="J315" i="41"/>
  <c r="J130" i="41"/>
  <c r="I182" i="41"/>
  <c r="J280" i="41"/>
  <c r="J347" i="41"/>
  <c r="J262" i="41"/>
  <c r="H360" i="41"/>
  <c r="J265" i="41"/>
  <c r="J326" i="41"/>
  <c r="H196" i="41"/>
  <c r="H199" i="41"/>
  <c r="H142" i="41"/>
  <c r="J183" i="41"/>
  <c r="I207" i="41"/>
  <c r="I310" i="41"/>
  <c r="H387" i="41"/>
  <c r="I356" i="41"/>
  <c r="H187" i="41"/>
  <c r="H260" i="41"/>
  <c r="J247" i="41"/>
  <c r="H303" i="41"/>
  <c r="I218" i="41"/>
  <c r="I288" i="41"/>
  <c r="I336" i="41"/>
  <c r="I156" i="41"/>
  <c r="I171" i="41"/>
  <c r="I254" i="41"/>
  <c r="H317" i="41"/>
  <c r="J395" i="41"/>
  <c r="J238" i="41"/>
  <c r="J389" i="41"/>
  <c r="J245" i="41"/>
  <c r="J231" i="41"/>
  <c r="H268" i="41"/>
  <c r="J358" i="41"/>
  <c r="I308" i="41"/>
  <c r="I173" i="41"/>
  <c r="H368" i="41"/>
  <c r="I377" i="41"/>
  <c r="I317" i="41"/>
  <c r="I249" i="41"/>
  <c r="I297" i="41"/>
  <c r="J254" i="41"/>
  <c r="H338" i="41"/>
  <c r="H381" i="41"/>
  <c r="H240" i="41"/>
  <c r="H347" i="41"/>
  <c r="I187" i="41"/>
  <c r="J334" i="41"/>
  <c r="J173" i="41"/>
  <c r="J330" i="41"/>
  <c r="I189" i="41"/>
  <c r="I220" i="41"/>
  <c r="I272" i="41"/>
  <c r="I138" i="41"/>
  <c r="H243" i="41"/>
  <c r="I145" i="41"/>
  <c r="H262" i="41"/>
  <c r="J137" i="41"/>
  <c r="H151" i="41"/>
  <c r="I215" i="41"/>
  <c r="J248" i="41"/>
  <c r="H150" i="41"/>
  <c r="I143" i="41"/>
  <c r="J129" i="41"/>
  <c r="H277" i="41"/>
  <c r="J281" i="41"/>
  <c r="I342" i="41"/>
  <c r="I236" i="41"/>
  <c r="H233" i="41"/>
  <c r="J353" i="41"/>
  <c r="I378" i="41"/>
  <c r="J148" i="41"/>
  <c r="H210" i="41"/>
  <c r="J214" i="41"/>
  <c r="H227" i="41"/>
  <c r="H313" i="41"/>
  <c r="H181" i="41"/>
  <c r="H354" i="41"/>
  <c r="I223" i="41"/>
  <c r="J316" i="41"/>
  <c r="J290" i="41"/>
  <c r="H191" i="41"/>
  <c r="H178" i="41"/>
  <c r="H179" i="41"/>
  <c r="H321" i="41"/>
  <c r="H270" i="41"/>
  <c r="H192" i="41"/>
  <c r="I199" i="41"/>
  <c r="J241" i="41"/>
  <c r="J365" i="41"/>
  <c r="H314" i="41"/>
  <c r="I277" i="41"/>
  <c r="J151" i="41"/>
  <c r="H208" i="41"/>
  <c r="J383" i="41"/>
  <c r="H235" i="41"/>
  <c r="I193" i="41"/>
  <c r="I184" i="41"/>
  <c r="I178" i="41"/>
  <c r="J361" i="41"/>
  <c r="J393" i="41"/>
  <c r="I234" i="41"/>
  <c r="J249" i="41"/>
  <c r="J156" i="41"/>
  <c r="H267" i="41"/>
  <c r="J386" i="41"/>
  <c r="H299" i="41"/>
  <c r="J298" i="41"/>
  <c r="H188" i="41"/>
  <c r="J149" i="41"/>
  <c r="H315" i="41"/>
  <c r="J189" i="41"/>
  <c r="H375" i="41"/>
  <c r="H154" i="41"/>
  <c r="J310" i="41"/>
  <c r="H289" i="41"/>
  <c r="J350" i="41"/>
  <c r="F193" i="66"/>
  <c r="J206" i="41"/>
  <c r="I337" i="41"/>
  <c r="J246" i="41"/>
  <c r="D36" i="57"/>
  <c r="F110" i="66"/>
  <c r="N110" i="66" s="1"/>
  <c r="I127" i="58"/>
  <c r="I127" i="37"/>
  <c r="I168" i="41"/>
  <c r="F72" i="66"/>
  <c r="D20" i="57"/>
  <c r="D61" i="57"/>
  <c r="F221" i="66"/>
  <c r="D62" i="57"/>
  <c r="F206" i="66"/>
  <c r="N206" i="66" s="1"/>
  <c r="I309" i="41"/>
  <c r="J263" i="41"/>
  <c r="Z30" i="66"/>
  <c r="Z174" i="66"/>
  <c r="Y174" i="66"/>
  <c r="Y30" i="66"/>
  <c r="I181" i="41"/>
  <c r="I303" i="41"/>
  <c r="J302" i="41"/>
  <c r="H274" i="41"/>
  <c r="J232" i="41"/>
  <c r="I258" i="41"/>
  <c r="H171" i="41"/>
  <c r="F225" i="66"/>
  <c r="N225" i="66" s="1"/>
  <c r="D63" i="57"/>
  <c r="J324" i="41"/>
  <c r="F109" i="66"/>
  <c r="N109" i="66" s="1"/>
  <c r="D38" i="57"/>
  <c r="H359" i="41"/>
  <c r="D45" i="57"/>
  <c r="F162" i="66"/>
  <c r="N162" i="66" s="1"/>
  <c r="H276" i="41"/>
  <c r="J364" i="41"/>
  <c r="H297" i="41"/>
  <c r="I351" i="41"/>
  <c r="J370" i="41"/>
  <c r="G106" i="66"/>
  <c r="J429" i="37"/>
  <c r="D8" i="57"/>
  <c r="M3" i="37"/>
  <c r="H228" i="41"/>
  <c r="F41" i="66"/>
  <c r="H115" i="66"/>
  <c r="E2" i="53"/>
  <c r="H121" i="41"/>
  <c r="H19" i="66"/>
  <c r="F19" i="66"/>
  <c r="H67" i="66"/>
  <c r="E26" i="53"/>
  <c r="J121" i="41"/>
  <c r="F115" i="66"/>
  <c r="H469" i="41"/>
  <c r="F10" i="66"/>
  <c r="N10" i="66" s="1"/>
  <c r="F169" i="66"/>
  <c r="D41" i="57"/>
  <c r="H471" i="37"/>
  <c r="E392" i="38"/>
  <c r="M38" i="66" s="1"/>
  <c r="D4" i="57"/>
  <c r="H300" i="41"/>
  <c r="F38" i="66"/>
  <c r="H472" i="37"/>
  <c r="H161" i="41"/>
  <c r="J144" i="41"/>
  <c r="F114" i="66"/>
  <c r="N114" i="66" s="1"/>
  <c r="D32" i="57"/>
  <c r="J164" i="41"/>
  <c r="Q59" i="66"/>
  <c r="R59" i="66" s="1"/>
  <c r="T59" i="66" s="1"/>
  <c r="I400" i="41"/>
  <c r="J174" i="41"/>
  <c r="I294" i="41"/>
  <c r="H346" i="41"/>
  <c r="I380" i="41"/>
  <c r="I287" i="41"/>
  <c r="H236" i="41"/>
  <c r="H365" i="41"/>
  <c r="I120" i="41"/>
  <c r="F73" i="66"/>
  <c r="D15" i="57"/>
  <c r="D51" i="57"/>
  <c r="F157" i="66"/>
  <c r="N157" i="66" s="1"/>
  <c r="I300" i="41"/>
  <c r="E393" i="38"/>
  <c r="M86" i="66" s="1"/>
  <c r="D17" i="57"/>
  <c r="I471" i="37"/>
  <c r="I472" i="37"/>
  <c r="F86" i="66"/>
  <c r="F158" i="66"/>
  <c r="N158" i="66" s="1"/>
  <c r="D49" i="57"/>
  <c r="G5" i="53"/>
  <c r="H11" i="53"/>
  <c r="G11" i="53" s="1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64" i="41"/>
  <c r="F81" i="66"/>
  <c r="N81" i="66" s="1"/>
  <c r="D24" i="57"/>
  <c r="D77" i="57"/>
  <c r="F253" i="66"/>
  <c r="N253" i="66" s="1"/>
  <c r="F18" i="66"/>
  <c r="N18" i="66" s="1"/>
  <c r="H144" i="41"/>
  <c r="D6" i="57"/>
  <c r="J253" i="41"/>
  <c r="J313" i="41"/>
  <c r="H342" i="41"/>
  <c r="J337" i="41"/>
  <c r="I191" i="41"/>
  <c r="J284" i="41"/>
  <c r="I130" i="41"/>
  <c r="Z267" i="66"/>
  <c r="Y267" i="66"/>
  <c r="Y123" i="66"/>
  <c r="O123" i="66"/>
  <c r="Z123" i="66"/>
  <c r="Y143" i="66"/>
  <c r="Z287" i="66"/>
  <c r="Y287" i="66"/>
  <c r="Z143" i="66"/>
  <c r="O143" i="66"/>
  <c r="J379" i="41"/>
  <c r="F185" i="66"/>
  <c r="D47" i="57"/>
  <c r="M3" i="58"/>
  <c r="I244" i="41"/>
  <c r="H283" i="41"/>
  <c r="H259" i="66"/>
  <c r="H163" i="66"/>
  <c r="E8" i="53"/>
  <c r="H211" i="66"/>
  <c r="F163" i="66"/>
  <c r="E32" i="53"/>
  <c r="F259" i="66"/>
  <c r="I267" i="41"/>
  <c r="H393" i="41"/>
  <c r="H286" i="41"/>
  <c r="I268" i="41"/>
  <c r="H165" i="41"/>
  <c r="I355" i="41"/>
  <c r="I286" i="41"/>
  <c r="J260" i="41"/>
  <c r="I166" i="41"/>
  <c r="Q57" i="66"/>
  <c r="R57" i="66" s="1"/>
  <c r="T57" i="66" s="1"/>
  <c r="E20" i="53"/>
  <c r="F211" i="66"/>
  <c r="D71" i="57"/>
  <c r="F258" i="66"/>
  <c r="N258" i="66" s="1"/>
  <c r="J155" i="41"/>
  <c r="F33" i="66"/>
  <c r="N33" i="66" s="1"/>
  <c r="H264" i="41"/>
  <c r="D11" i="57"/>
  <c r="H123" i="41"/>
  <c r="H348" i="41"/>
  <c r="D13" i="57"/>
  <c r="F23" i="66"/>
  <c r="N23" i="66" s="1"/>
  <c r="D60" i="57"/>
  <c r="F233" i="66"/>
  <c r="N3" i="58"/>
  <c r="H280" i="41"/>
  <c r="J168" i="41"/>
  <c r="D33" i="57"/>
  <c r="F120" i="66"/>
  <c r="N120" i="66" s="1"/>
  <c r="I402" i="41"/>
  <c r="F98" i="66"/>
  <c r="N98" i="66" s="1"/>
  <c r="J135" i="58"/>
  <c r="C49" i="63" s="1"/>
  <c r="J135" i="37"/>
  <c r="C22" i="63" s="1"/>
  <c r="I135" i="37"/>
  <c r="C13" i="63" s="1"/>
  <c r="I135" i="58"/>
  <c r="C40" i="63" s="1"/>
  <c r="H139" i="37"/>
  <c r="H139" i="58"/>
  <c r="H135" i="58"/>
  <c r="C31" i="63" s="1"/>
  <c r="H135" i="37"/>
  <c r="H143" i="37"/>
  <c r="H143" i="58"/>
  <c r="F56" i="66"/>
  <c r="D44" i="39"/>
  <c r="E110" i="38" s="1"/>
  <c r="I470" i="41"/>
  <c r="D17" i="39" s="1"/>
  <c r="H293" i="41"/>
  <c r="H201" i="41"/>
  <c r="I190" i="41"/>
  <c r="F217" i="66"/>
  <c r="D54" i="57"/>
  <c r="J216" i="41"/>
  <c r="F13" i="66"/>
  <c r="N13" i="66" s="1"/>
  <c r="D12" i="57"/>
  <c r="H324" i="41"/>
  <c r="J180" i="41"/>
  <c r="I285" i="41"/>
  <c r="J250" i="41"/>
  <c r="I383" i="41"/>
  <c r="J301" i="41"/>
  <c r="H156" i="41"/>
  <c r="I471" i="58"/>
  <c r="F231" i="66" s="1"/>
  <c r="I472" i="58"/>
  <c r="F230" i="66"/>
  <c r="D56" i="57"/>
  <c r="E396" i="38"/>
  <c r="M230" i="66" s="1"/>
  <c r="D10" i="57"/>
  <c r="F14" i="66"/>
  <c r="N14" i="66" s="1"/>
  <c r="H246" i="41"/>
  <c r="I241" i="41"/>
  <c r="J331" i="41"/>
  <c r="H185" i="41"/>
  <c r="I295" i="41"/>
  <c r="I345" i="41"/>
  <c r="H398" i="41"/>
  <c r="I222" i="41"/>
  <c r="I394" i="41"/>
  <c r="J219" i="41"/>
  <c r="H141" i="41"/>
  <c r="I148" i="41"/>
  <c r="I154" i="41"/>
  <c r="H205" i="41"/>
  <c r="I200" i="41"/>
  <c r="H364" i="41"/>
  <c r="J312" i="41"/>
  <c r="I344" i="41"/>
  <c r="I205" i="41"/>
  <c r="J220" i="41"/>
  <c r="I209" i="41"/>
  <c r="H168" i="41"/>
  <c r="D7" i="57"/>
  <c r="F24" i="66"/>
  <c r="N24" i="66" s="1"/>
  <c r="J398" i="41"/>
  <c r="H399" i="41"/>
  <c r="J244" i="41"/>
  <c r="H325" i="41"/>
  <c r="J257" i="41"/>
  <c r="I306" i="41"/>
  <c r="H250" i="41"/>
  <c r="I362" i="41"/>
  <c r="I372" i="41"/>
  <c r="J234" i="41"/>
  <c r="J190" i="41"/>
  <c r="J187" i="41"/>
  <c r="I368" i="41"/>
  <c r="J279" i="41"/>
  <c r="I341" i="41"/>
  <c r="H380" i="41"/>
  <c r="H357" i="41"/>
  <c r="I278" i="41"/>
  <c r="H391" i="41"/>
  <c r="E17" i="53"/>
  <c r="F17" i="53" s="1"/>
  <c r="H23" i="53" s="1"/>
  <c r="I403" i="41"/>
  <c r="J397" i="41"/>
  <c r="H377" i="41"/>
  <c r="J178" i="41"/>
  <c r="J362" i="41"/>
  <c r="H234" i="41"/>
  <c r="J145" i="41"/>
  <c r="I201" i="41"/>
  <c r="J261" i="41"/>
  <c r="I237" i="41"/>
  <c r="H252" i="41"/>
  <c r="I354" i="41"/>
  <c r="I339" i="41"/>
  <c r="H298" i="41"/>
  <c r="I343" i="41"/>
  <c r="J355" i="41"/>
  <c r="J240" i="41"/>
  <c r="H370" i="41"/>
  <c r="I375" i="41"/>
  <c r="I359" i="41"/>
  <c r="H328" i="41"/>
  <c r="H155" i="41"/>
  <c r="I202" i="41"/>
  <c r="J392" i="41"/>
  <c r="I387" i="41"/>
  <c r="I121" i="41"/>
  <c r="E14" i="53"/>
  <c r="F67" i="66"/>
  <c r="H288" i="41"/>
  <c r="J124" i="41"/>
  <c r="H166" i="41"/>
  <c r="J375" i="41"/>
  <c r="H397" i="41"/>
  <c r="H137" i="41"/>
  <c r="H202" i="41"/>
  <c r="J391" i="41"/>
  <c r="J382" i="41"/>
  <c r="J152" i="41"/>
  <c r="I257" i="41"/>
  <c r="J169" i="41"/>
  <c r="I229" i="41"/>
  <c r="I151" i="41"/>
  <c r="J288" i="41"/>
  <c r="H291" i="41"/>
  <c r="H198" i="41"/>
  <c r="I211" i="41"/>
  <c r="J146" i="41"/>
  <c r="I326" i="41"/>
  <c r="H170" i="41"/>
  <c r="F248" i="66"/>
  <c r="M44" i="39"/>
  <c r="E178" i="38" s="1"/>
  <c r="F177" i="66"/>
  <c r="N177" i="66" s="1"/>
  <c r="D50" i="57"/>
  <c r="D52" i="57"/>
  <c r="F167" i="66"/>
  <c r="N167" i="66" s="1"/>
  <c r="D21" i="57"/>
  <c r="I228" i="41"/>
  <c r="N3" i="37"/>
  <c r="F89" i="66"/>
  <c r="H232" i="41"/>
  <c r="H319" i="41"/>
  <c r="I243" i="41"/>
  <c r="H285" i="41"/>
  <c r="Q267" i="66"/>
  <c r="R267" i="66" s="1"/>
  <c r="T267" i="66" s="1"/>
  <c r="Q219" i="66"/>
  <c r="R219" i="66" s="1"/>
  <c r="T219" i="66" s="1"/>
  <c r="F208" i="66"/>
  <c r="D57" i="57"/>
  <c r="Q75" i="66"/>
  <c r="R75" i="66" s="1"/>
  <c r="T75" i="66" s="1"/>
  <c r="F65" i="66"/>
  <c r="N65" i="66" s="1"/>
  <c r="I468" i="41"/>
  <c r="H266" i="41"/>
  <c r="H361" i="41"/>
  <c r="I169" i="41"/>
  <c r="H216" i="41"/>
  <c r="H378" i="41"/>
  <c r="J332" i="41"/>
  <c r="J159" i="41"/>
  <c r="H373" i="41"/>
  <c r="H301" i="41"/>
  <c r="H248" i="41"/>
  <c r="I275" i="41"/>
  <c r="J205" i="41"/>
  <c r="J209" i="41"/>
  <c r="J171" i="41"/>
  <c r="H329" i="41"/>
  <c r="D75" i="57"/>
  <c r="F254" i="66"/>
  <c r="N254" i="66" s="1"/>
  <c r="H172" i="41"/>
  <c r="F264" i="66"/>
  <c r="N264" i="66" s="1"/>
  <c r="D72" i="57"/>
  <c r="H153" i="41"/>
  <c r="J404" i="37"/>
  <c r="J404" i="58"/>
  <c r="F270" i="66" s="1"/>
  <c r="N270" i="66" s="1"/>
  <c r="F106" i="66"/>
  <c r="J469" i="41"/>
  <c r="H164" i="41"/>
  <c r="I242" i="41"/>
  <c r="H124" i="41"/>
  <c r="H386" i="41"/>
  <c r="J285" i="41"/>
  <c r="H136" i="41"/>
  <c r="I327" i="41"/>
  <c r="I194" i="41"/>
  <c r="H333" i="41"/>
  <c r="I260" i="41"/>
  <c r="J296" i="41"/>
  <c r="H257" i="41"/>
  <c r="I388" i="41"/>
  <c r="J273" i="41"/>
  <c r="J177" i="41"/>
  <c r="I125" i="41"/>
  <c r="F129" i="66"/>
  <c r="N129" i="66" s="1"/>
  <c r="J264" i="41"/>
  <c r="D37" i="57"/>
  <c r="J390" i="41"/>
  <c r="I299" i="41"/>
  <c r="H379" i="41"/>
  <c r="I134" i="41"/>
  <c r="J311" i="41"/>
  <c r="H256" i="41"/>
  <c r="I232" i="41"/>
  <c r="H352" i="41"/>
  <c r="J396" i="41"/>
  <c r="J153" i="41"/>
  <c r="J295" i="41"/>
  <c r="H374" i="41"/>
  <c r="J343" i="41"/>
  <c r="I274" i="41"/>
  <c r="I320" i="41"/>
  <c r="H231" i="41"/>
  <c r="F152" i="66"/>
  <c r="K44" i="39"/>
  <c r="E144" i="38" s="1"/>
  <c r="I266" i="41"/>
  <c r="I373" i="41"/>
  <c r="H389" i="41"/>
  <c r="H215" i="41"/>
  <c r="I247" i="41"/>
  <c r="D65" i="57"/>
  <c r="F215" i="66"/>
  <c r="N215" i="66" s="1"/>
  <c r="J128" i="41"/>
  <c r="H351" i="41"/>
  <c r="J322" i="41"/>
  <c r="I281" i="41"/>
  <c r="H309" i="41"/>
  <c r="H311" i="41"/>
  <c r="J394" i="41"/>
  <c r="J138" i="41"/>
  <c r="J283" i="41"/>
  <c r="H332" i="41"/>
  <c r="I371" i="41"/>
  <c r="J201" i="41"/>
  <c r="I204" i="41"/>
  <c r="D16" i="57"/>
  <c r="F52" i="66"/>
  <c r="F226" i="66"/>
  <c r="E22" i="53"/>
  <c r="F22" i="53" s="1"/>
  <c r="H16" i="53" s="1"/>
  <c r="D66" i="57"/>
  <c r="J297" i="41"/>
  <c r="I349" i="41"/>
  <c r="I271" i="41"/>
  <c r="I319" i="41"/>
  <c r="H334" i="41"/>
  <c r="H400" i="41"/>
  <c r="I289" i="41"/>
  <c r="H173" i="41"/>
  <c r="E23" i="53"/>
  <c r="F23" i="53" s="1"/>
  <c r="J225" i="41"/>
  <c r="J289" i="41"/>
  <c r="H226" i="41"/>
  <c r="H295" i="41"/>
  <c r="J203" i="41"/>
  <c r="I338" i="41"/>
  <c r="H180" i="41"/>
  <c r="J133" i="41"/>
  <c r="I291" i="41"/>
  <c r="J304" i="41"/>
  <c r="D25" i="57"/>
  <c r="F61" i="66"/>
  <c r="N61" i="66" s="1"/>
  <c r="I324" i="41"/>
  <c r="F64" i="66"/>
  <c r="D18" i="57"/>
  <c r="I186" i="41"/>
  <c r="H245" i="41"/>
  <c r="H145" i="41"/>
  <c r="J123" i="41"/>
  <c r="H195" i="41"/>
  <c r="I330" i="41"/>
  <c r="J374" i="41"/>
  <c r="H384" i="41"/>
  <c r="I170" i="41"/>
  <c r="F256" i="66"/>
  <c r="D70" i="57"/>
  <c r="J224" i="41"/>
  <c r="I335" i="41"/>
  <c r="H133" i="41"/>
  <c r="H138" i="41"/>
  <c r="F125" i="66"/>
  <c r="J282" i="41"/>
  <c r="D35" i="57"/>
  <c r="I155" i="41"/>
  <c r="H239" i="41"/>
  <c r="I175" i="41"/>
  <c r="H149" i="41"/>
  <c r="H369" i="41"/>
  <c r="J140" i="41"/>
  <c r="H371" i="41"/>
  <c r="I227" i="41"/>
  <c r="J139" i="58"/>
  <c r="C50" i="63" s="1"/>
  <c r="J139" i="37"/>
  <c r="C23" i="63" s="1"/>
  <c r="I219" i="41"/>
  <c r="I131" i="37"/>
  <c r="I131" i="58"/>
  <c r="C42" i="63" s="1"/>
  <c r="H186" i="41"/>
  <c r="F16" i="66"/>
  <c r="D5" i="57"/>
  <c r="I172" i="41"/>
  <c r="H259" i="41"/>
  <c r="I399" i="41"/>
  <c r="J468" i="41"/>
  <c r="F113" i="66"/>
  <c r="N113" i="66" s="1"/>
  <c r="J127" i="41"/>
  <c r="D76" i="57"/>
  <c r="F273" i="66"/>
  <c r="N273" i="66" s="1"/>
  <c r="H402" i="41"/>
  <c r="F50" i="66"/>
  <c r="N50" i="66" s="1"/>
  <c r="I348" i="41"/>
  <c r="F71" i="66"/>
  <c r="N71" i="66" s="1"/>
  <c r="D26" i="57"/>
  <c r="F196" i="66"/>
  <c r="D55" i="57"/>
  <c r="I366" i="41"/>
  <c r="D27" i="57"/>
  <c r="F82" i="66"/>
  <c r="E16" i="53"/>
  <c r="F16" i="53" s="1"/>
  <c r="H22" i="53" s="1"/>
  <c r="Q249" i="66"/>
  <c r="R249" i="66" s="1"/>
  <c r="T249" i="66" s="1"/>
  <c r="H287" i="41"/>
  <c r="H390" i="41"/>
  <c r="F148" i="66"/>
  <c r="N148" i="66" s="1"/>
  <c r="D42" i="57"/>
  <c r="H382" i="41"/>
  <c r="J360" i="41"/>
  <c r="I369" i="41"/>
  <c r="H392" i="41"/>
  <c r="D48" i="57"/>
  <c r="F173" i="66"/>
  <c r="H222" i="41"/>
  <c r="I346" i="41"/>
  <c r="J307" i="41"/>
  <c r="J367" i="41"/>
  <c r="H258" i="41"/>
  <c r="I231" i="41"/>
  <c r="I340" i="41"/>
  <c r="H176" i="41"/>
  <c r="D74" i="57"/>
  <c r="F269" i="66"/>
  <c r="F210" i="66"/>
  <c r="N210" i="66" s="1"/>
  <c r="D58" i="57"/>
  <c r="I469" i="41"/>
  <c r="F58" i="66"/>
  <c r="I404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186" i="41"/>
  <c r="Z285" i="66"/>
  <c r="Z141" i="66"/>
  <c r="Y285" i="66"/>
  <c r="Y141" i="66"/>
  <c r="O141" i="66"/>
  <c r="J277" i="41"/>
  <c r="F160" i="66"/>
  <c r="D44" i="57"/>
  <c r="I333" i="41"/>
  <c r="J195" i="41"/>
  <c r="J191" i="41"/>
  <c r="H160" i="41"/>
  <c r="I136" i="41"/>
  <c r="H273" i="41"/>
  <c r="I401" i="41"/>
  <c r="J223" i="41"/>
  <c r="H207" i="41"/>
  <c r="H263" i="41"/>
  <c r="I323" i="41"/>
  <c r="E29" i="53"/>
  <c r="F29" i="53" s="1"/>
  <c r="H35" i="53" s="1"/>
  <c r="J403" i="41"/>
  <c r="F265" i="66"/>
  <c r="D67" i="57"/>
  <c r="F34" i="66"/>
  <c r="D14" i="57"/>
  <c r="E4" i="53"/>
  <c r="F4" i="53" s="1"/>
  <c r="H10" i="53" s="1"/>
  <c r="H366" i="41"/>
  <c r="F274" i="66"/>
  <c r="E34" i="53"/>
  <c r="F34" i="53" s="1"/>
  <c r="D79" i="57"/>
  <c r="F100" i="66"/>
  <c r="N100" i="66" s="1"/>
  <c r="D29" i="57"/>
  <c r="J204" i="41"/>
  <c r="O251" i="66"/>
  <c r="I196" i="41"/>
  <c r="H316" i="41"/>
  <c r="I185" i="41"/>
  <c r="F49" i="66"/>
  <c r="H403" i="41"/>
  <c r="E394" i="38"/>
  <c r="M134" i="66" s="1"/>
  <c r="J472" i="37"/>
  <c r="J471" i="37"/>
  <c r="F134" i="66"/>
  <c r="J300" i="41"/>
  <c r="D30" i="57"/>
  <c r="D78" i="57"/>
  <c r="F263" i="66"/>
  <c r="N263" i="66" s="1"/>
  <c r="F17" i="66"/>
  <c r="N17" i="66" s="1"/>
  <c r="H468" i="41"/>
  <c r="D3" i="57"/>
  <c r="F4" i="66"/>
  <c r="N4" i="66" s="1"/>
  <c r="H204" i="41"/>
  <c r="D9" i="57"/>
  <c r="H282" i="41"/>
  <c r="F29" i="66"/>
  <c r="D34" i="57"/>
  <c r="J228" i="41"/>
  <c r="F137" i="66"/>
  <c r="O3" i="37"/>
  <c r="Q175" i="66"/>
  <c r="Z249" i="66"/>
  <c r="O105" i="66"/>
  <c r="Z105" i="66"/>
  <c r="Y249" i="66"/>
  <c r="Y105" i="66"/>
  <c r="I203" i="41"/>
  <c r="H197" i="41"/>
  <c r="J328" i="41"/>
  <c r="I144" i="41"/>
  <c r="F66" i="66"/>
  <c r="N66" i="66" s="1"/>
  <c r="D19" i="57"/>
  <c r="H253" i="41"/>
  <c r="I152" i="41"/>
  <c r="J172" i="41"/>
  <c r="I137" i="41"/>
  <c r="H127" i="37"/>
  <c r="H127" i="58"/>
  <c r="F104" i="66"/>
  <c r="E44" i="39"/>
  <c r="E127" i="38" s="1"/>
  <c r="J470" i="41"/>
  <c r="E17" i="39" s="1"/>
  <c r="I390" i="41"/>
  <c r="J131" i="37"/>
  <c r="J131" i="58"/>
  <c r="H131" i="37"/>
  <c r="H131" i="58"/>
  <c r="J157" i="41"/>
  <c r="I240" i="41"/>
  <c r="J400" i="41"/>
  <c r="I158" i="41"/>
  <c r="J381" i="41"/>
  <c r="I221" i="41"/>
  <c r="J320" i="41"/>
  <c r="I250" i="41"/>
  <c r="I167" i="41"/>
  <c r="I132" i="41"/>
  <c r="J336" i="41"/>
  <c r="I139" i="58"/>
  <c r="I139" i="37"/>
  <c r="J143" i="37"/>
  <c r="J143" i="58"/>
  <c r="H294" i="41"/>
  <c r="I392" i="41"/>
  <c r="H184" i="41"/>
  <c r="H249" i="41"/>
  <c r="H247" i="41"/>
  <c r="J268" i="41"/>
  <c r="J243" i="41"/>
  <c r="I304" i="41"/>
  <c r="I165" i="41"/>
  <c r="F216" i="66"/>
  <c r="N216" i="66" s="1"/>
  <c r="D59" i="57"/>
  <c r="I282" i="41"/>
  <c r="D22" i="57"/>
  <c r="F77" i="66"/>
  <c r="H261" i="41"/>
  <c r="H272" i="41"/>
  <c r="J352" i="41"/>
  <c r="H174" i="41"/>
  <c r="J198" i="41"/>
  <c r="I123" i="41"/>
  <c r="H206" i="41"/>
  <c r="I253" i="41"/>
  <c r="D23" i="57"/>
  <c r="F62" i="66"/>
  <c r="N62" i="66" s="1"/>
  <c r="I246" i="41"/>
  <c r="H193" i="41"/>
  <c r="O285" i="66"/>
  <c r="I262" i="41"/>
  <c r="H190" i="41"/>
  <c r="H358" i="41"/>
  <c r="I248" i="41"/>
  <c r="H279" i="41"/>
  <c r="I332" i="41"/>
  <c r="I198" i="41"/>
  <c r="J402" i="41"/>
  <c r="F146" i="66"/>
  <c r="N146" i="66" s="1"/>
  <c r="H148" i="41"/>
  <c r="H401" i="41"/>
  <c r="I239" i="41"/>
  <c r="I280" i="41"/>
  <c r="H182" i="41"/>
  <c r="I176" i="41"/>
  <c r="D28" i="57"/>
  <c r="F121" i="66"/>
  <c r="J120" i="41"/>
  <c r="I150" i="41"/>
  <c r="H212" i="41"/>
  <c r="J125" i="41"/>
  <c r="I224" i="41"/>
  <c r="I212" i="41"/>
  <c r="J212" i="41"/>
  <c r="H217" i="41"/>
  <c r="H296" i="41"/>
  <c r="H177" i="41"/>
  <c r="H269" i="41"/>
  <c r="H229" i="41"/>
  <c r="D53" i="57"/>
  <c r="F178" i="66"/>
  <c r="E10" i="53"/>
  <c r="F10" i="53" s="1"/>
  <c r="J233" i="41"/>
  <c r="J366" i="41"/>
  <c r="F130" i="66"/>
  <c r="D40" i="57"/>
  <c r="E28" i="53"/>
  <c r="F28" i="53" s="1"/>
  <c r="H34" i="53" s="1"/>
  <c r="D68" i="57"/>
  <c r="F244" i="66"/>
  <c r="N244" i="66" s="1"/>
  <c r="I252" i="41"/>
  <c r="H128" i="41"/>
  <c r="I214" i="41"/>
  <c r="I367" i="41"/>
  <c r="I159" i="41"/>
  <c r="E35" i="53"/>
  <c r="F35" i="53" s="1"/>
  <c r="I269" i="41"/>
  <c r="H385" i="41"/>
  <c r="H238" i="41"/>
  <c r="I352" i="41"/>
  <c r="J472" i="58"/>
  <c r="D69" i="57"/>
  <c r="J471" i="58"/>
  <c r="F279" i="66" s="1"/>
  <c r="N279" i="66" s="1"/>
  <c r="F278" i="66"/>
  <c r="E397" i="38"/>
  <c r="M278" i="66" s="1"/>
  <c r="I180" i="41"/>
  <c r="J286" i="41"/>
  <c r="J170" i="41"/>
  <c r="H350" i="41"/>
  <c r="I284" i="41"/>
  <c r="G250" i="66"/>
  <c r="N250" i="66" s="1"/>
  <c r="J429" i="58"/>
  <c r="I292" i="41"/>
  <c r="I296" i="41"/>
  <c r="J274" i="41"/>
  <c r="J182" i="41"/>
  <c r="H230" i="41"/>
  <c r="J287" i="41"/>
  <c r="J222" i="41"/>
  <c r="I316" i="41"/>
  <c r="I393" i="41"/>
  <c r="J399" i="41"/>
  <c r="D39" i="57"/>
  <c r="F119" i="66"/>
  <c r="N119" i="66" s="1"/>
  <c r="J348" i="41"/>
  <c r="H159" i="41"/>
  <c r="J202" i="41"/>
  <c r="I311" i="41"/>
  <c r="H200" i="41"/>
  <c r="I376" i="41"/>
  <c r="H396" i="41"/>
  <c r="I374" i="41"/>
  <c r="H140" i="41"/>
  <c r="H292" i="41"/>
  <c r="I273" i="41"/>
  <c r="C44" i="39"/>
  <c r="E93" i="38" s="1"/>
  <c r="F8" i="66"/>
  <c r="H470" i="41"/>
  <c r="C17" i="39" s="1"/>
  <c r="Q31" i="66"/>
  <c r="F200" i="66"/>
  <c r="L44" i="39"/>
  <c r="E161" i="38" s="1"/>
  <c r="J161" i="41"/>
  <c r="I353" i="41"/>
  <c r="J258" i="41"/>
  <c r="I261" i="41"/>
  <c r="I124" i="41"/>
  <c r="J351" i="41"/>
  <c r="J236" i="41"/>
  <c r="J256" i="41"/>
  <c r="J363" i="41"/>
  <c r="D2" i="57"/>
  <c r="F25" i="66"/>
  <c r="H120" i="41"/>
  <c r="J275" i="41"/>
  <c r="D43" i="57"/>
  <c r="H471" i="58"/>
  <c r="F183" i="66" s="1"/>
  <c r="N183" i="66" s="1"/>
  <c r="E395" i="38"/>
  <c r="M182" i="66" s="1"/>
  <c r="H472" i="58"/>
  <c r="F182" i="66"/>
  <c r="I164" i="41"/>
  <c r="J319" i="41"/>
  <c r="H209" i="41"/>
  <c r="O3" i="58"/>
  <c r="D73" i="57"/>
  <c r="F281" i="66"/>
  <c r="N231" i="66" l="1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216" i="66" s="1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18" i="41"/>
  <c r="L50" i="39"/>
  <c r="E165" i="38" s="1"/>
  <c r="J221" i="66" s="1"/>
  <c r="N7" i="41"/>
  <c r="E50" i="39"/>
  <c r="E131" i="38" s="1"/>
  <c r="J442" i="37" s="1"/>
  <c r="N106" i="66"/>
  <c r="Y250" i="66" s="1"/>
  <c r="C50" i="39"/>
  <c r="E97" i="38" s="1"/>
  <c r="J29" i="66" s="1"/>
  <c r="G22" i="53"/>
  <c r="E316" i="38" s="1"/>
  <c r="E48" i="39"/>
  <c r="E129" i="38" s="1"/>
  <c r="J434" i="37" s="1"/>
  <c r="H143" i="41"/>
  <c r="K49" i="39"/>
  <c r="E147" i="38" s="1"/>
  <c r="J160" i="66" s="1"/>
  <c r="M48" i="39"/>
  <c r="E180" i="38" s="1"/>
  <c r="J434" i="58" s="1"/>
  <c r="K51" i="39"/>
  <c r="E149" i="38" s="1"/>
  <c r="J185" i="66" s="1"/>
  <c r="N185" i="66" s="1"/>
  <c r="M51" i="39"/>
  <c r="E183" i="38" s="1"/>
  <c r="J281" i="66" s="1"/>
  <c r="C33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43" i="41"/>
  <c r="E51" i="39"/>
  <c r="E132" i="38" s="1"/>
  <c r="J137" i="66" s="1"/>
  <c r="N137" i="66" s="1"/>
  <c r="E49" i="39"/>
  <c r="E130" i="38" s="1"/>
  <c r="J435" i="37" s="1"/>
  <c r="M50" i="39"/>
  <c r="E182" i="38" s="1"/>
  <c r="J442" i="58" s="1"/>
  <c r="D47" i="39"/>
  <c r="E111" i="38" s="1"/>
  <c r="I433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74" i="58" s="1"/>
  <c r="H135" i="41"/>
  <c r="N230" i="66"/>
  <c r="C51" i="39"/>
  <c r="E98" i="38" s="1"/>
  <c r="H443" i="37" s="1"/>
  <c r="E403" i="38"/>
  <c r="J475" i="58" s="1"/>
  <c r="K50" i="39"/>
  <c r="E148" i="38" s="1"/>
  <c r="H442" i="58" s="1"/>
  <c r="L51" i="39"/>
  <c r="E166" i="38" s="1"/>
  <c r="J233" i="66" s="1"/>
  <c r="E402" i="38"/>
  <c r="I475" i="58" s="1"/>
  <c r="Z253" i="66"/>
  <c r="Y253" i="66"/>
  <c r="Z109" i="66"/>
  <c r="Y109" i="66"/>
  <c r="C41" i="63"/>
  <c r="Y161" i="66"/>
  <c r="Z161" i="66"/>
  <c r="Z17" i="66"/>
  <c r="Y17" i="66"/>
  <c r="Y242" i="66"/>
  <c r="Y98" i="66"/>
  <c r="Z98" i="66"/>
  <c r="Z242" i="66"/>
  <c r="Q143" i="66"/>
  <c r="R143" i="66" s="1"/>
  <c r="T143" i="66" s="1"/>
  <c r="E33" i="53"/>
  <c r="F33" i="53" s="1"/>
  <c r="F280" i="66"/>
  <c r="Z206" i="66"/>
  <c r="Y206" i="66"/>
  <c r="Y62" i="66"/>
  <c r="Z62" i="66"/>
  <c r="C51" i="63"/>
  <c r="Z100" i="66"/>
  <c r="Z244" i="66"/>
  <c r="Y100" i="66"/>
  <c r="Y244" i="66"/>
  <c r="G16" i="53"/>
  <c r="J152" i="66"/>
  <c r="H449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31" i="41"/>
  <c r="J131" i="41"/>
  <c r="C24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49" i="58"/>
  <c r="H127" i="41"/>
  <c r="C5" i="63"/>
  <c r="Z202" i="66"/>
  <c r="Z58" i="66"/>
  <c r="Y202" i="66"/>
  <c r="Y58" i="66"/>
  <c r="Z225" i="66"/>
  <c r="Z81" i="66"/>
  <c r="Y225" i="66"/>
  <c r="Y81" i="66"/>
  <c r="E287" i="38"/>
  <c r="E281" i="38"/>
  <c r="Y263" i="66"/>
  <c r="Z263" i="66"/>
  <c r="Z119" i="66"/>
  <c r="Y119" i="66"/>
  <c r="C48" i="39"/>
  <c r="E95" i="38" s="1"/>
  <c r="E398" i="38"/>
  <c r="H28" i="53"/>
  <c r="G28" i="53" s="1"/>
  <c r="G34" i="53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39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Y290" i="66"/>
  <c r="Z146" i="66"/>
  <c r="Z290" i="66"/>
  <c r="Y146" i="66"/>
  <c r="I442" i="37"/>
  <c r="E32" i="39"/>
  <c r="E33" i="39" s="1"/>
  <c r="E29" i="39"/>
  <c r="L17" i="39" s="1"/>
  <c r="F126" i="66"/>
  <c r="N126" i="66" s="1"/>
  <c r="J404" i="41"/>
  <c r="D51" i="39"/>
  <c r="E115" i="38" s="1"/>
  <c r="Z158" i="66"/>
  <c r="Y158" i="66"/>
  <c r="Y14" i="66"/>
  <c r="Z14" i="66"/>
  <c r="J56" i="66"/>
  <c r="F17" i="39" s="1"/>
  <c r="I449" i="37"/>
  <c r="Y18" i="66"/>
  <c r="Z162" i="66"/>
  <c r="Z18" i="66"/>
  <c r="Y162" i="66"/>
  <c r="I472" i="41"/>
  <c r="E15" i="53"/>
  <c r="F15" i="53" s="1"/>
  <c r="H21" i="53" s="1"/>
  <c r="F88" i="66"/>
  <c r="Z258" i="66"/>
  <c r="Y114" i="66"/>
  <c r="Y258" i="66"/>
  <c r="Z114" i="66"/>
  <c r="H471" i="41"/>
  <c r="F39" i="66"/>
  <c r="N39" i="66" s="1"/>
  <c r="E47" i="39"/>
  <c r="E128" i="38" s="1"/>
  <c r="I139" i="41"/>
  <c r="J104" i="66"/>
  <c r="J449" i="37"/>
  <c r="Z4" i="66"/>
  <c r="Y4" i="66"/>
  <c r="Y148" i="66"/>
  <c r="Z148" i="66"/>
  <c r="N134" i="66"/>
  <c r="Z50" i="66"/>
  <c r="Z194" i="66"/>
  <c r="Y194" i="66"/>
  <c r="Y50" i="66"/>
  <c r="I131" i="41"/>
  <c r="N9" i="41" s="1"/>
  <c r="C15" i="63"/>
  <c r="Z273" i="66"/>
  <c r="Y273" i="66"/>
  <c r="Y129" i="66"/>
  <c r="Z129" i="66"/>
  <c r="E399" i="38"/>
  <c r="I135" i="41"/>
  <c r="L47" i="39"/>
  <c r="E162" i="38" s="1"/>
  <c r="M47" i="39"/>
  <c r="E179" i="38" s="1"/>
  <c r="F87" i="66"/>
  <c r="N87" i="66" s="1"/>
  <c r="I471" i="41"/>
  <c r="E400" i="38"/>
  <c r="J429" i="41"/>
  <c r="Z72" i="66"/>
  <c r="Y72" i="66"/>
  <c r="H449" i="37"/>
  <c r="J8" i="66"/>
  <c r="N278" i="66"/>
  <c r="H29" i="53"/>
  <c r="G29" i="53" s="1"/>
  <c r="G35" i="53"/>
  <c r="Q285" i="66"/>
  <c r="R285" i="66" s="1"/>
  <c r="T285" i="66" s="1"/>
  <c r="J471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49" i="58"/>
  <c r="J248" i="66"/>
  <c r="N248" i="66" s="1"/>
  <c r="J135" i="41"/>
  <c r="C4" i="63"/>
  <c r="Q123" i="66"/>
  <c r="R123" i="66" s="1"/>
  <c r="T123" i="66" s="1"/>
  <c r="E9" i="53"/>
  <c r="F9" i="53" s="1"/>
  <c r="F184" i="66"/>
  <c r="I442" i="58"/>
  <c r="C32" i="63"/>
  <c r="Y66" i="66"/>
  <c r="Z66" i="66"/>
  <c r="Z210" i="66"/>
  <c r="Y210" i="66"/>
  <c r="Q105" i="66"/>
  <c r="R105" i="66" s="1"/>
  <c r="T105" i="66" s="1"/>
  <c r="E27" i="53"/>
  <c r="F27" i="53" s="1"/>
  <c r="H33" i="53" s="1"/>
  <c r="J472" i="41"/>
  <c r="F136" i="66"/>
  <c r="Q141" i="66"/>
  <c r="R141" i="66" s="1"/>
  <c r="T141" i="66" s="1"/>
  <c r="J139" i="41"/>
  <c r="O8" i="41" s="1"/>
  <c r="H17" i="53"/>
  <c r="G17" i="53" s="1"/>
  <c r="G23" i="53"/>
  <c r="Z24" i="66"/>
  <c r="Y24" i="66"/>
  <c r="Y168" i="66"/>
  <c r="Z168" i="66"/>
  <c r="E299" i="38"/>
  <c r="M193" i="66" s="1"/>
  <c r="E293" i="38"/>
  <c r="H472" i="41"/>
  <c r="E3" i="53"/>
  <c r="F3" i="53" s="1"/>
  <c r="H9" i="53" s="1"/>
  <c r="F40" i="66"/>
  <c r="C14" i="63"/>
  <c r="I127" i="41"/>
  <c r="Z216" i="66" l="1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E322" i="38"/>
  <c r="M226" i="66" s="1"/>
  <c r="M9" i="41"/>
  <c r="J125" i="66"/>
  <c r="Y106" i="66"/>
  <c r="Z106" i="66"/>
  <c r="Z250" i="66"/>
  <c r="J435" i="58"/>
  <c r="J435" i="41" s="1"/>
  <c r="H442" i="37"/>
  <c r="H442" i="41" s="1"/>
  <c r="D2" i="53"/>
  <c r="F2" i="53" s="1"/>
  <c r="H8" i="53" s="1"/>
  <c r="J443" i="58"/>
  <c r="O9" i="41"/>
  <c r="J269" i="66"/>
  <c r="N269" i="66" s="1"/>
  <c r="J265" i="66"/>
  <c r="N265" i="66" s="1"/>
  <c r="H435" i="58"/>
  <c r="H443" i="58"/>
  <c r="H443" i="41" s="1"/>
  <c r="Z182" i="66"/>
  <c r="Y38" i="66"/>
  <c r="D14" i="53"/>
  <c r="F14" i="53" s="1"/>
  <c r="H20" i="53" s="1"/>
  <c r="J474" i="58"/>
  <c r="F276" i="66" s="1"/>
  <c r="J121" i="66"/>
  <c r="Z38" i="66"/>
  <c r="I473" i="58"/>
  <c r="C46" i="63" s="1"/>
  <c r="H435" i="37"/>
  <c r="G21" i="53"/>
  <c r="E315" i="38" s="1"/>
  <c r="Y182" i="66"/>
  <c r="H473" i="58"/>
  <c r="C37" i="63" s="1"/>
  <c r="H433" i="37"/>
  <c r="J473" i="58"/>
  <c r="I474" i="58"/>
  <c r="F228" i="66" s="1"/>
  <c r="I434" i="58"/>
  <c r="N8" i="41"/>
  <c r="J67" i="66"/>
  <c r="J112" i="66"/>
  <c r="H434" i="58"/>
  <c r="I443" i="58"/>
  <c r="J173" i="66"/>
  <c r="N173" i="66" s="1"/>
  <c r="H449" i="41"/>
  <c r="J41" i="66"/>
  <c r="N41" i="66" s="1"/>
  <c r="O185" i="66" s="1"/>
  <c r="E30" i="39"/>
  <c r="I435" i="58"/>
  <c r="H475" i="58"/>
  <c r="F179" i="66" s="1"/>
  <c r="J443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49" i="41"/>
  <c r="I442" i="41"/>
  <c r="E286" i="38"/>
  <c r="E280" i="38"/>
  <c r="N29" i="66"/>
  <c r="R29" i="66"/>
  <c r="P29" i="66"/>
  <c r="S29" i="66"/>
  <c r="J25" i="66"/>
  <c r="H434" i="37"/>
  <c r="N152" i="66"/>
  <c r="R152" i="66"/>
  <c r="S152" i="66"/>
  <c r="P152" i="66"/>
  <c r="P16" i="66"/>
  <c r="R16" i="66"/>
  <c r="S16" i="66"/>
  <c r="F275" i="66"/>
  <c r="E414" i="38"/>
  <c r="J433" i="58"/>
  <c r="J259" i="66"/>
  <c r="D32" i="53"/>
  <c r="F32" i="53" s="1"/>
  <c r="H26" i="53" s="1"/>
  <c r="N221" i="66"/>
  <c r="P221" i="66"/>
  <c r="S221" i="66"/>
  <c r="J64" i="66"/>
  <c r="F22" i="39" s="1"/>
  <c r="I435" i="37"/>
  <c r="Y135" i="66"/>
  <c r="Y279" i="66"/>
  <c r="Z135" i="66"/>
  <c r="Z279" i="66"/>
  <c r="E341" i="38"/>
  <c r="E347" i="38"/>
  <c r="M289" i="66" s="1"/>
  <c r="Z87" i="66"/>
  <c r="Y231" i="66"/>
  <c r="Y87" i="66"/>
  <c r="Z231" i="66"/>
  <c r="N56" i="66"/>
  <c r="P56" i="66"/>
  <c r="S56" i="66"/>
  <c r="J89" i="66"/>
  <c r="F24" i="39" s="1"/>
  <c r="I443" i="37"/>
  <c r="N77" i="66"/>
  <c r="P77" i="66"/>
  <c r="S77" i="66"/>
  <c r="E292" i="38"/>
  <c r="E298" i="38"/>
  <c r="M178" i="66" s="1"/>
  <c r="K17" i="39"/>
  <c r="E304" i="38"/>
  <c r="E310" i="38"/>
  <c r="F227" i="66"/>
  <c r="E412" i="38"/>
  <c r="L193" i="66"/>
  <c r="E335" i="38"/>
  <c r="E329" i="38"/>
  <c r="J433" i="37"/>
  <c r="D26" i="53"/>
  <c r="F26" i="53" s="1"/>
  <c r="J115" i="66"/>
  <c r="I434" i="37"/>
  <c r="J73" i="66"/>
  <c r="F21" i="39" s="1"/>
  <c r="M8" i="41"/>
  <c r="J442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33" i="58"/>
  <c r="I433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74" i="37"/>
  <c r="J475" i="37"/>
  <c r="J473" i="37"/>
  <c r="J449" i="41"/>
  <c r="Q17" i="39"/>
  <c r="P29" i="39"/>
  <c r="Q29" i="39" s="1"/>
  <c r="E340" i="38"/>
  <c r="E346" i="38"/>
  <c r="M274" i="66" s="1"/>
  <c r="P256" i="66"/>
  <c r="S256" i="66"/>
  <c r="Z183" i="66"/>
  <c r="Y39" i="66"/>
  <c r="Y183" i="66"/>
  <c r="Z39" i="66"/>
  <c r="S208" i="66"/>
  <c r="P208" i="66"/>
  <c r="E317" i="38"/>
  <c r="E323" i="38"/>
  <c r="M241" i="66" s="1"/>
  <c r="E311" i="38"/>
  <c r="E305" i="38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E334" i="38"/>
  <c r="E328" i="38"/>
  <c r="L49" i="66"/>
  <c r="N160" i="66"/>
  <c r="O160" i="66" s="1"/>
  <c r="R160" i="66"/>
  <c r="S160" i="66"/>
  <c r="P160" i="66"/>
  <c r="N208" i="66"/>
  <c r="P265" i="66"/>
  <c r="S265" i="66"/>
  <c r="S233" i="66"/>
  <c r="P233" i="66"/>
  <c r="P248" i="66"/>
  <c r="S248" i="66"/>
  <c r="N281" i="66"/>
  <c r="O281" i="66" s="1"/>
  <c r="S281" i="66"/>
  <c r="P281" i="66"/>
  <c r="I475" i="37"/>
  <c r="I474" i="37"/>
  <c r="I473" i="37"/>
  <c r="L226" i="66"/>
  <c r="H475" i="37"/>
  <c r="H473" i="37"/>
  <c r="H474" i="37"/>
  <c r="M49" i="66"/>
  <c r="B20" i="8"/>
  <c r="N233" i="66"/>
  <c r="D8" i="53"/>
  <c r="F8" i="53" s="1"/>
  <c r="H2" i="53" s="1"/>
  <c r="H433" i="58"/>
  <c r="J163" i="66"/>
  <c r="G33" i="53"/>
  <c r="H27" i="53"/>
  <c r="G27" i="53" s="1"/>
  <c r="J434" i="41"/>
  <c r="S137" i="66"/>
  <c r="P137" i="66"/>
  <c r="H433" i="41" l="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T265" i="66" s="1"/>
  <c r="G21" i="39"/>
  <c r="N125" i="66"/>
  <c r="Z125" i="66" s="1"/>
  <c r="G23" i="39"/>
  <c r="J474" i="41"/>
  <c r="G2" i="53"/>
  <c r="E284" i="38" s="1"/>
  <c r="S125" i="66"/>
  <c r="P125" i="66"/>
  <c r="R173" i="66"/>
  <c r="J443" i="41"/>
  <c r="H475" i="41"/>
  <c r="E410" i="38"/>
  <c r="L179" i="66" s="1"/>
  <c r="G14" i="53"/>
  <c r="E308" i="38" s="1"/>
  <c r="E415" i="38"/>
  <c r="L276" i="66" s="1"/>
  <c r="P276" i="66" s="1"/>
  <c r="P269" i="66"/>
  <c r="S269" i="66"/>
  <c r="H435" i="41"/>
  <c r="P173" i="66"/>
  <c r="S173" i="66"/>
  <c r="P121" i="66"/>
  <c r="E413" i="38"/>
  <c r="S121" i="66"/>
  <c r="C38" i="63"/>
  <c r="C29" i="63"/>
  <c r="E321" i="38"/>
  <c r="M232" i="66" s="1"/>
  <c r="S112" i="66"/>
  <c r="P112" i="66"/>
  <c r="P41" i="66"/>
  <c r="O173" i="66"/>
  <c r="N112" i="66"/>
  <c r="O256" i="66" s="1"/>
  <c r="Q256" i="66" s="1"/>
  <c r="R256" i="66" s="1"/>
  <c r="T256" i="66" s="1"/>
  <c r="I443" i="41"/>
  <c r="C55" i="63"/>
  <c r="C47" i="63"/>
  <c r="T185" i="66"/>
  <c r="I434" i="41"/>
  <c r="R41" i="66"/>
  <c r="Z41" i="66"/>
  <c r="S41" i="66"/>
  <c r="Y185" i="66"/>
  <c r="Y41" i="66"/>
  <c r="O41" i="66"/>
  <c r="Z185" i="66"/>
  <c r="O200" i="66"/>
  <c r="I435" i="41"/>
  <c r="H434" i="41"/>
  <c r="Q185" i="66"/>
  <c r="T16" i="66"/>
  <c r="O137" i="66"/>
  <c r="T152" i="66"/>
  <c r="T169" i="66"/>
  <c r="Y137" i="66"/>
  <c r="G20" i="53"/>
  <c r="E320" i="38" s="1"/>
  <c r="M211" i="66" s="1"/>
  <c r="Z160" i="66"/>
  <c r="Y281" i="66"/>
  <c r="Q160" i="66"/>
  <c r="C19" i="8"/>
  <c r="M82" i="66"/>
  <c r="C19" i="63"/>
  <c r="I473" i="41"/>
  <c r="N3" i="41" s="1"/>
  <c r="C11" i="63"/>
  <c r="T160" i="66"/>
  <c r="E297" i="38"/>
  <c r="M184" i="66" s="1"/>
  <c r="E291" i="38"/>
  <c r="C28" i="63"/>
  <c r="J473" i="41"/>
  <c r="C20" i="63"/>
  <c r="Z281" i="66"/>
  <c r="T8" i="66"/>
  <c r="S73" i="66"/>
  <c r="P73" i="66"/>
  <c r="N73" i="66"/>
  <c r="O221" i="66"/>
  <c r="L275" i="66"/>
  <c r="P275" i="66" s="1"/>
  <c r="E407" i="38"/>
  <c r="F84" i="66"/>
  <c r="I474" i="41"/>
  <c r="L97" i="66"/>
  <c r="O16" i="66"/>
  <c r="F131" i="66"/>
  <c r="E408" i="38"/>
  <c r="J475" i="41"/>
  <c r="L145" i="66"/>
  <c r="L227" i="66"/>
  <c r="P227" i="66" s="1"/>
  <c r="Z77" i="66"/>
  <c r="O77" i="66"/>
  <c r="Z221" i="66"/>
  <c r="Y221" i="66"/>
  <c r="Y77" i="66"/>
  <c r="T29" i="66"/>
  <c r="I475" i="41"/>
  <c r="E406" i="38"/>
  <c r="F83" i="66"/>
  <c r="Z248" i="66"/>
  <c r="O104" i="66"/>
  <c r="Z104" i="66"/>
  <c r="Y248" i="66"/>
  <c r="Y104" i="66"/>
  <c r="M97" i="66"/>
  <c r="C20" i="8"/>
  <c r="Y16" i="66"/>
  <c r="F132" i="66"/>
  <c r="E409" i="38"/>
  <c r="Z8" i="66"/>
  <c r="Z152" i="66"/>
  <c r="Y8" i="66"/>
  <c r="O8" i="66"/>
  <c r="Y152" i="66"/>
  <c r="D20" i="8"/>
  <c r="M145" i="66"/>
  <c r="S259" i="66"/>
  <c r="G8" i="53"/>
  <c r="E405" i="38"/>
  <c r="F36" i="66"/>
  <c r="H474" i="41"/>
  <c r="N89" i="66"/>
  <c r="S89" i="66"/>
  <c r="P89" i="66"/>
  <c r="E339" i="38"/>
  <c r="E345" i="38"/>
  <c r="M280" i="66" s="1"/>
  <c r="Z16" i="66"/>
  <c r="L274" i="66"/>
  <c r="E303" i="38"/>
  <c r="E309" i="38"/>
  <c r="O248" i="66"/>
  <c r="S115" i="66"/>
  <c r="P193" i="66"/>
  <c r="R193" i="66"/>
  <c r="T193" i="66" s="1"/>
  <c r="N193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L241" i="66"/>
  <c r="Y160" i="66"/>
  <c r="H32" i="53"/>
  <c r="G32" i="53" s="1"/>
  <c r="G26" i="53"/>
  <c r="L178" i="66"/>
  <c r="M34" i="66"/>
  <c r="B19" i="8"/>
  <c r="S211" i="66"/>
  <c r="L232" i="66"/>
  <c r="C10" i="63"/>
  <c r="H473" i="41"/>
  <c r="C2" i="63"/>
  <c r="P226" i="66"/>
  <c r="N226" i="66"/>
  <c r="Q281" i="66"/>
  <c r="R281" i="66" s="1"/>
  <c r="T281" i="66" s="1"/>
  <c r="M130" i="66"/>
  <c r="D19" i="8"/>
  <c r="L180" i="66"/>
  <c r="N180" i="66" s="1"/>
  <c r="J29" i="39"/>
  <c r="J433" i="41"/>
  <c r="L289" i="66"/>
  <c r="P25" i="66"/>
  <c r="R25" i="66"/>
  <c r="S25" i="66"/>
  <c r="N25" i="66"/>
  <c r="E327" i="38"/>
  <c r="E333" i="38"/>
  <c r="P49" i="66"/>
  <c r="R49" i="66"/>
  <c r="T49" i="66" s="1"/>
  <c r="N49" i="66"/>
  <c r="E404" i="38"/>
  <c r="F35" i="66"/>
  <c r="L130" i="66"/>
  <c r="L29" i="39"/>
  <c r="E279" i="38"/>
  <c r="E285" i="38"/>
  <c r="Z137" i="66"/>
  <c r="Z56" i="66"/>
  <c r="Z200" i="66"/>
  <c r="O56" i="66"/>
  <c r="Y56" i="66"/>
  <c r="Y200" i="66"/>
  <c r="E302" i="38" l="1"/>
  <c r="Y125" i="66"/>
  <c r="Z121" i="66"/>
  <c r="O121" i="66"/>
  <c r="Q121" i="66" s="1"/>
  <c r="R121" i="66" s="1"/>
  <c r="Y121" i="66"/>
  <c r="Z265" i="66"/>
  <c r="Y265" i="66"/>
  <c r="E278" i="38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E314" i="38"/>
  <c r="L228" i="66"/>
  <c r="P228" i="66" s="1"/>
  <c r="Q41" i="66"/>
  <c r="Z256" i="66"/>
  <c r="Z112" i="66"/>
  <c r="T121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O193" i="66"/>
  <c r="R179" i="66"/>
  <c r="T179" i="66" s="1"/>
  <c r="P179" i="66"/>
  <c r="V179" i="66" s="1"/>
  <c r="X179" i="66" s="1"/>
  <c r="P145" i="66"/>
  <c r="N145" i="66"/>
  <c r="L19" i="66"/>
  <c r="M88" i="66"/>
  <c r="C18" i="8"/>
  <c r="Z49" i="66"/>
  <c r="Z193" i="66"/>
  <c r="Y49" i="66"/>
  <c r="O49" i="66"/>
  <c r="Y193" i="66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M19" i="66"/>
  <c r="R34" i="66"/>
  <c r="T34" i="66" s="1"/>
  <c r="P34" i="66"/>
  <c r="N34" i="66"/>
  <c r="M40" i="66"/>
  <c r="B18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P241" i="66"/>
  <c r="N241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P97" i="66"/>
  <c r="N97" i="66"/>
  <c r="Q56" i="66"/>
  <c r="R56" i="66" s="1"/>
  <c r="T56" i="66" s="1"/>
  <c r="N179" i="66"/>
  <c r="E326" i="38"/>
  <c r="E332" i="38"/>
  <c r="L83" i="66"/>
  <c r="P83" i="66" s="1"/>
  <c r="M67" i="66"/>
  <c r="F20" i="39" s="1"/>
  <c r="C17" i="8"/>
  <c r="P130" i="66"/>
  <c r="N130" i="66"/>
  <c r="M136" i="66"/>
  <c r="D18" i="8"/>
  <c r="P180" i="66"/>
  <c r="V180" i="66" s="1"/>
  <c r="X180" i="66" s="1"/>
  <c r="R180" i="66"/>
  <c r="T180" i="66" s="1"/>
  <c r="E338" i="38"/>
  <c r="E344" i="38"/>
  <c r="M259" i="66" s="1"/>
  <c r="O89" i="66"/>
  <c r="Z89" i="66"/>
  <c r="Y89" i="66"/>
  <c r="Y233" i="66"/>
  <c r="Z233" i="66"/>
  <c r="L184" i="66"/>
  <c r="L67" i="66"/>
  <c r="L136" i="66"/>
  <c r="P289" i="66"/>
  <c r="N289" i="66"/>
  <c r="P274" i="66"/>
  <c r="N274" i="66"/>
  <c r="E296" i="38"/>
  <c r="M163" i="66" s="1"/>
  <c r="E290" i="38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N228" i="66" l="1"/>
  <c r="Q217" i="66"/>
  <c r="R217" i="66" s="1"/>
  <c r="T217" i="66" s="1"/>
  <c r="O274" i="66"/>
  <c r="Q274" i="66" s="1"/>
  <c r="R274" i="66" s="1"/>
  <c r="T274" i="66" s="1"/>
  <c r="L211" i="66"/>
  <c r="P211" i="66" s="1"/>
  <c r="O289" i="66"/>
  <c r="O178" i="66"/>
  <c r="Q193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O241" i="66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Y145" i="66"/>
  <c r="Y289" i="66"/>
  <c r="O145" i="66"/>
  <c r="Z145" i="66"/>
  <c r="Z289" i="66"/>
  <c r="M115" i="66"/>
  <c r="G20" i="39" s="1"/>
  <c r="D17" i="8"/>
  <c r="O97" i="66"/>
  <c r="Z97" i="66"/>
  <c r="Y241" i="66"/>
  <c r="Y97" i="66"/>
  <c r="Z241" i="66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7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Q49" i="66"/>
  <c r="N19" i="66"/>
  <c r="P19" i="66"/>
  <c r="R19" i="66"/>
  <c r="T19" i="66" s="1"/>
  <c r="O228" i="66" l="1"/>
  <c r="V228" i="66" s="1"/>
  <c r="X228" i="66" s="1"/>
  <c r="N211" i="66"/>
  <c r="O211" i="66" s="1"/>
  <c r="Q289" i="66"/>
  <c r="R289" i="66" s="1"/>
  <c r="T289" i="66" s="1"/>
  <c r="Q178" i="66"/>
  <c r="O184" i="66"/>
  <c r="Q184" i="66" s="1"/>
  <c r="O280" i="66"/>
  <c r="P115" i="66"/>
  <c r="N115" i="66"/>
  <c r="Q97" i="66"/>
  <c r="R97" i="66" s="1"/>
  <c r="T97" i="66" s="1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Q241" i="66"/>
  <c r="R241" i="66" s="1"/>
  <c r="T241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45" i="66"/>
  <c r="R145" i="66" s="1"/>
  <c r="T145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O67" i="66"/>
  <c r="Y67" i="66"/>
  <c r="Z211" i="66"/>
  <c r="Q228" i="66" l="1"/>
  <c r="R228" i="66" s="1"/>
  <c r="T228" i="66" s="1"/>
  <c r="U228" i="66"/>
  <c r="U184" i="66"/>
  <c r="Q211" i="66"/>
  <c r="R211" i="66" s="1"/>
  <c r="T211" i="66" s="1"/>
  <c r="Y19" i="66"/>
  <c r="O259" i="66"/>
  <c r="Q163" i="66"/>
  <c r="Q67" i="66"/>
  <c r="R67" i="66" s="1"/>
  <c r="T67" i="66" s="1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66" i="58" l="1"/>
  <c r="J466" i="37"/>
  <c r="H466" i="58"/>
  <c r="H466" i="37"/>
  <c r="J465" i="58"/>
  <c r="J465" i="37"/>
  <c r="I466" i="58"/>
  <c r="I466" i="37"/>
  <c r="I465" i="58"/>
  <c r="I465" i="37"/>
  <c r="H465" i="58"/>
  <c r="H465" i="37"/>
  <c r="H465" i="41" l="1"/>
  <c r="J465" i="41"/>
  <c r="I465" i="41"/>
  <c r="H466" i="41"/>
  <c r="I466" i="41"/>
  <c r="J466" i="41"/>
  <c r="J6" i="58" l="1"/>
  <c r="J6" i="37"/>
  <c r="H6" i="58"/>
  <c r="H6" i="37"/>
  <c r="I6" i="58"/>
  <c r="I6" i="37"/>
  <c r="I6" i="41" l="1"/>
  <c r="D46" i="39" s="1"/>
  <c r="E108" i="38" s="1"/>
  <c r="F70" i="66"/>
  <c r="F214" i="66"/>
  <c r="L46" i="39"/>
  <c r="E159" i="38" s="1"/>
  <c r="H6" i="41"/>
  <c r="C46" i="39" s="1"/>
  <c r="E91" i="38" s="1"/>
  <c r="F22" i="66"/>
  <c r="F262" i="66"/>
  <c r="M46" i="39"/>
  <c r="E176" i="38" s="1"/>
  <c r="F166" i="66"/>
  <c r="J6" i="41"/>
  <c r="E46" i="39" s="1"/>
  <c r="E125" i="38" s="1"/>
  <c r="F118" i="66"/>
  <c r="G19" i="39" l="1"/>
  <c r="F19" i="39"/>
  <c r="K46" i="39"/>
  <c r="E142" i="38" s="1"/>
  <c r="J166" i="66" s="1"/>
  <c r="N166" i="66" s="1"/>
  <c r="J118" i="66"/>
  <c r="N118" i="66" s="1"/>
  <c r="J445" i="37"/>
  <c r="J22" i="66"/>
  <c r="N22" i="66" s="1"/>
  <c r="H445" i="37"/>
  <c r="J214" i="66"/>
  <c r="I445" i="58"/>
  <c r="J70" i="66"/>
  <c r="N70" i="66" s="1"/>
  <c r="I445" i="37"/>
  <c r="J262" i="66"/>
  <c r="J445" i="58"/>
  <c r="H445" i="58" l="1"/>
  <c r="H445" i="41" s="1"/>
  <c r="I445" i="41"/>
  <c r="I461" i="58"/>
  <c r="I461" i="37"/>
  <c r="P214" i="66"/>
  <c r="S214" i="66"/>
  <c r="P262" i="66"/>
  <c r="S262" i="66"/>
  <c r="H460" i="37"/>
  <c r="H460" i="58"/>
  <c r="I460" i="58"/>
  <c r="I460" i="37"/>
  <c r="J5" i="58"/>
  <c r="J5" i="37"/>
  <c r="H5" i="37"/>
  <c r="H5" i="58"/>
  <c r="N262" i="66"/>
  <c r="O262" i="66" s="1"/>
  <c r="R166" i="66"/>
  <c r="S166" i="66"/>
  <c r="P166" i="66"/>
  <c r="S22" i="66"/>
  <c r="R22" i="66"/>
  <c r="P22" i="66"/>
  <c r="I5" i="37"/>
  <c r="I5" i="58"/>
  <c r="N214" i="66"/>
  <c r="O214" i="66" s="1"/>
  <c r="P70" i="66"/>
  <c r="S70" i="66"/>
  <c r="O166" i="66"/>
  <c r="J445" i="41"/>
  <c r="J460" i="58"/>
  <c r="J460" i="37"/>
  <c r="Y22" i="66"/>
  <c r="Y166" i="66"/>
  <c r="Z166" i="66"/>
  <c r="Z22" i="66"/>
  <c r="O22" i="66"/>
  <c r="S118" i="66"/>
  <c r="P118" i="66"/>
  <c r="J460" i="41" l="1"/>
  <c r="I460" i="41"/>
  <c r="T166" i="66"/>
  <c r="I461" i="41"/>
  <c r="H460" i="41"/>
  <c r="Q262" i="66"/>
  <c r="R262" i="66" s="1"/>
  <c r="T262" i="66" s="1"/>
  <c r="Q214" i="66"/>
  <c r="R214" i="66" s="1"/>
  <c r="T214" i="66" s="1"/>
  <c r="H459" i="37"/>
  <c r="H459" i="58"/>
  <c r="I462" i="37"/>
  <c r="I462" i="58"/>
  <c r="Y262" i="66"/>
  <c r="Z118" i="66"/>
  <c r="I459" i="37"/>
  <c r="I459" i="58"/>
  <c r="J462" i="37"/>
  <c r="J462" i="58"/>
  <c r="J5" i="41"/>
  <c r="M52" i="39" s="1"/>
  <c r="E184" i="38" s="1"/>
  <c r="F116" i="66"/>
  <c r="E30" i="53"/>
  <c r="O118" i="66"/>
  <c r="H461" i="37"/>
  <c r="H461" i="58"/>
  <c r="E36" i="53"/>
  <c r="F260" i="66"/>
  <c r="Z262" i="66"/>
  <c r="Q22" i="66"/>
  <c r="Y118" i="66"/>
  <c r="H462" i="37"/>
  <c r="H462" i="58"/>
  <c r="J461" i="37"/>
  <c r="J461" i="58"/>
  <c r="T22" i="66"/>
  <c r="J459" i="37"/>
  <c r="J459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E52" i="39" l="1"/>
  <c r="E133" i="38" s="1"/>
  <c r="D30" i="53" s="1"/>
  <c r="F30" i="53" s="1"/>
  <c r="D52" i="39"/>
  <c r="E116" i="38" s="1"/>
  <c r="J68" i="66" s="1"/>
  <c r="H461" i="41"/>
  <c r="C52" i="39"/>
  <c r="E99" i="38" s="1"/>
  <c r="J459" i="41"/>
  <c r="D12" i="53"/>
  <c r="F12" i="53" s="1"/>
  <c r="H6" i="53" s="1"/>
  <c r="J164" i="66"/>
  <c r="H448" i="58"/>
  <c r="Q118" i="66"/>
  <c r="R118" i="66" s="1"/>
  <c r="T118" i="66" s="1"/>
  <c r="H459" i="41"/>
  <c r="H462" i="41"/>
  <c r="Q70" i="66"/>
  <c r="R70" i="66" s="1"/>
  <c r="T70" i="66" s="1"/>
  <c r="D36" i="53"/>
  <c r="F36" i="53" s="1"/>
  <c r="H30" i="53" s="1"/>
  <c r="J260" i="66"/>
  <c r="J448" i="58"/>
  <c r="D24" i="53"/>
  <c r="F24" i="53" s="1"/>
  <c r="H18" i="53" s="1"/>
  <c r="J212" i="66"/>
  <c r="I448" i="58"/>
  <c r="J462" i="41"/>
  <c r="J461" i="41"/>
  <c r="I459" i="41"/>
  <c r="I462" i="41"/>
  <c r="J448" i="37" l="1"/>
  <c r="J448" i="41" s="1"/>
  <c r="J116" i="66"/>
  <c r="I448" i="37"/>
  <c r="I448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48" i="37"/>
  <c r="H448" i="41" s="1"/>
  <c r="S260" i="66"/>
  <c r="S116" i="66" l="1"/>
  <c r="G18" i="53"/>
  <c r="E312" i="38" s="1"/>
  <c r="S20" i="66"/>
  <c r="H12" i="53"/>
  <c r="G12" i="53" s="1"/>
  <c r="G6" i="53"/>
  <c r="E342" i="38"/>
  <c r="E348" i="38"/>
  <c r="M260" i="66" s="1"/>
  <c r="E336" i="38"/>
  <c r="E330" i="38"/>
  <c r="E324" i="38"/>
  <c r="M212" i="66" s="1"/>
  <c r="E318" i="38"/>
  <c r="E306" i="38" l="1"/>
  <c r="I463" i="37" s="1"/>
  <c r="L260" i="66"/>
  <c r="J463" i="58"/>
  <c r="L212" i="66"/>
  <c r="I463" i="58"/>
  <c r="E282" i="38"/>
  <c r="E288" i="38"/>
  <c r="E294" i="38"/>
  <c r="E300" i="38"/>
  <c r="M164" i="66" s="1"/>
  <c r="M68" i="66"/>
  <c r="F25" i="39" s="1"/>
  <c r="C21" i="8"/>
  <c r="L116" i="66"/>
  <c r="J463" i="37"/>
  <c r="M116" i="66"/>
  <c r="G25" i="39" s="1"/>
  <c r="D21" i="8"/>
  <c r="L68" i="66" l="1"/>
  <c r="P68" i="66" s="1"/>
  <c r="J463" i="41"/>
  <c r="M20" i="66"/>
  <c r="B21" i="8"/>
  <c r="L20" i="66"/>
  <c r="H463" i="37"/>
  <c r="I463" i="41"/>
  <c r="N116" i="66"/>
  <c r="P116" i="66"/>
  <c r="P212" i="66"/>
  <c r="N212" i="66"/>
  <c r="L164" i="66"/>
  <c r="H463" i="58"/>
  <c r="P260" i="66"/>
  <c r="N260" i="66"/>
  <c r="N68" i="66" l="1"/>
  <c r="H463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V193" i="66"/>
  <c r="V49" i="66"/>
  <c r="U193" i="66"/>
  <c r="U49" i="66"/>
  <c r="V289" i="66"/>
  <c r="U241" i="66"/>
  <c r="V97" i="66"/>
  <c r="V241" i="66"/>
  <c r="U97" i="66"/>
  <c r="V145" i="66"/>
  <c r="U289" i="66"/>
  <c r="U145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X200" i="66" s="1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X123" i="66" s="1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X237" i="66" s="1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X68" i="66" s="1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11" i="66" l="1"/>
  <c r="X260" i="66"/>
  <c r="X284" i="66"/>
  <c r="X236" i="66"/>
  <c r="X285" i="66"/>
  <c r="X226" i="66"/>
  <c r="X22" i="66"/>
  <c r="X196" i="66"/>
  <c r="X265" i="66"/>
  <c r="X231" i="66"/>
  <c r="X89" i="66"/>
  <c r="X39" i="66"/>
  <c r="X255" i="66"/>
  <c r="X241" i="66"/>
  <c r="X287" i="66"/>
  <c r="X217" i="66"/>
  <c r="X31" i="66"/>
  <c r="X29" i="66"/>
  <c r="X104" i="66"/>
  <c r="X105" i="66"/>
  <c r="X107" i="66"/>
  <c r="X160" i="66"/>
  <c r="X127" i="66"/>
  <c r="X278" i="66"/>
  <c r="X289" i="66"/>
  <c r="X125" i="66"/>
  <c r="X27" i="66"/>
  <c r="X118" i="66"/>
  <c r="X120" i="66"/>
  <c r="X52" i="66"/>
  <c r="X82" i="66"/>
  <c r="X256" i="66"/>
  <c r="X271" i="66"/>
  <c r="X230" i="66"/>
  <c r="X49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93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145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X97" i="66"/>
  <c r="I4" i="58" l="1"/>
  <c r="I4" i="37"/>
  <c r="J4" i="37"/>
  <c r="J4" i="58"/>
  <c r="H4" i="37" l="1"/>
  <c r="H4" i="58"/>
  <c r="O4" i="58"/>
  <c r="F245" i="66"/>
  <c r="E37" i="53"/>
  <c r="F101" i="66"/>
  <c r="J4" i="41"/>
  <c r="E45" i="39" s="1"/>
  <c r="E31" i="53"/>
  <c r="F53" i="66"/>
  <c r="E19" i="53"/>
  <c r="I4" i="41"/>
  <c r="D45" i="39" s="1"/>
  <c r="E25" i="53"/>
  <c r="N4" i="58"/>
  <c r="F197" i="66"/>
  <c r="L45" i="39" l="1"/>
  <c r="E158" i="38" s="1"/>
  <c r="E107" i="38"/>
  <c r="D59" i="39"/>
  <c r="D60" i="39" s="1"/>
  <c r="D56" i="39"/>
  <c r="E7" i="53"/>
  <c r="F5" i="66"/>
  <c r="H4" i="41"/>
  <c r="K45" i="39" s="1"/>
  <c r="C45" i="39"/>
  <c r="E59" i="39"/>
  <c r="E60" i="39" s="1"/>
  <c r="E124" i="38"/>
  <c r="E56" i="39"/>
  <c r="M45" i="39"/>
  <c r="M4" i="58"/>
  <c r="F149" i="66"/>
  <c r="E13" i="53"/>
  <c r="L59" i="39" l="1"/>
  <c r="L60" i="39" s="1"/>
  <c r="L56" i="39"/>
  <c r="L58" i="39" s="1"/>
  <c r="D19" i="53"/>
  <c r="F19" i="53" s="1"/>
  <c r="H25" i="53" s="1"/>
  <c r="I452" i="37"/>
  <c r="I444" i="37"/>
  <c r="J53" i="66"/>
  <c r="E58" i="39"/>
  <c r="E57" i="39"/>
  <c r="K56" i="39"/>
  <c r="K59" i="39"/>
  <c r="K60" i="39" s="1"/>
  <c r="E141" i="38"/>
  <c r="C59" i="39"/>
  <c r="C60" i="39" s="1"/>
  <c r="E90" i="38"/>
  <c r="C56" i="39"/>
  <c r="J197" i="66"/>
  <c r="D25" i="53"/>
  <c r="F25" i="53" s="1"/>
  <c r="I444" i="58"/>
  <c r="I452" i="58"/>
  <c r="M56" i="39"/>
  <c r="E175" i="38"/>
  <c r="M59" i="39"/>
  <c r="M60" i="39" s="1"/>
  <c r="D57" i="39"/>
  <c r="D58" i="39"/>
  <c r="D31" i="53"/>
  <c r="F31" i="53" s="1"/>
  <c r="H37" i="53" s="1"/>
  <c r="J452" i="37"/>
  <c r="J101" i="66"/>
  <c r="J444" i="37"/>
  <c r="L57" i="39" l="1"/>
  <c r="F103" i="66"/>
  <c r="J457" i="37"/>
  <c r="W197" i="66"/>
  <c r="S197" i="66"/>
  <c r="F102" i="66"/>
  <c r="J467" i="37"/>
  <c r="H452" i="37"/>
  <c r="H444" i="37"/>
  <c r="J5" i="66"/>
  <c r="D7" i="53"/>
  <c r="F7" i="53" s="1"/>
  <c r="H452" i="58"/>
  <c r="D13" i="53"/>
  <c r="F13" i="53" s="1"/>
  <c r="H7" i="53" s="1"/>
  <c r="H444" i="58"/>
  <c r="J149" i="66"/>
  <c r="W101" i="66"/>
  <c r="S101" i="66"/>
  <c r="H19" i="53"/>
  <c r="G19" i="53" s="1"/>
  <c r="G25" i="53"/>
  <c r="D37" i="53"/>
  <c r="F37" i="53" s="1"/>
  <c r="J444" i="58"/>
  <c r="J444" i="41" s="1"/>
  <c r="J245" i="66"/>
  <c r="J452" i="58"/>
  <c r="M57" i="39"/>
  <c r="M58" i="39"/>
  <c r="K57" i="39"/>
  <c r="K58" i="39"/>
  <c r="I457" i="58"/>
  <c r="F199" i="66"/>
  <c r="F198" i="66"/>
  <c r="I467" i="58"/>
  <c r="W53" i="66"/>
  <c r="S53" i="66"/>
  <c r="F54" i="66"/>
  <c r="I467" i="37"/>
  <c r="I444" i="41"/>
  <c r="C58" i="39"/>
  <c r="C57" i="39"/>
  <c r="F55" i="66"/>
  <c r="I457" i="37"/>
  <c r="I452" i="41"/>
  <c r="I467" i="41" l="1"/>
  <c r="E319" i="38"/>
  <c r="E325" i="38"/>
  <c r="M197" i="66" s="1"/>
  <c r="H467" i="37"/>
  <c r="H444" i="41"/>
  <c r="F6" i="66"/>
  <c r="E378" i="38"/>
  <c r="K199" i="66" s="1"/>
  <c r="N199" i="66" s="1"/>
  <c r="I458" i="58"/>
  <c r="E379" i="38" s="1"/>
  <c r="K218" i="66" s="1"/>
  <c r="N218" i="66" s="1"/>
  <c r="L102" i="66"/>
  <c r="P102" i="66" s="1"/>
  <c r="L198" i="66"/>
  <c r="P198" i="66" s="1"/>
  <c r="E313" i="38"/>
  <c r="E307" i="38"/>
  <c r="G37" i="53"/>
  <c r="H31" i="53"/>
  <c r="G31" i="53" s="1"/>
  <c r="I457" i="41"/>
  <c r="E360" i="38"/>
  <c r="K55" i="66" s="1"/>
  <c r="N55" i="66" s="1"/>
  <c r="I458" i="37"/>
  <c r="F7" i="66"/>
  <c r="H452" i="41"/>
  <c r="H457" i="37"/>
  <c r="S149" i="66"/>
  <c r="W149" i="66"/>
  <c r="L54" i="66"/>
  <c r="P54" i="66" s="1"/>
  <c r="H467" i="58"/>
  <c r="F150" i="66"/>
  <c r="J457" i="58"/>
  <c r="F247" i="66"/>
  <c r="S245" i="66"/>
  <c r="W245" i="66"/>
  <c r="F151" i="66"/>
  <c r="H457" i="58"/>
  <c r="J452" i="41"/>
  <c r="F246" i="66"/>
  <c r="J467" i="58"/>
  <c r="J467" i="41" s="1"/>
  <c r="O3" i="41" s="1"/>
  <c r="G7" i="53"/>
  <c r="H13" i="53"/>
  <c r="G13" i="53" s="1"/>
  <c r="E366" i="38"/>
  <c r="K103" i="66" s="1"/>
  <c r="N103" i="66" s="1"/>
  <c r="J458" i="37"/>
  <c r="S5" i="66"/>
  <c r="W5" i="66"/>
  <c r="N198" i="66" l="1"/>
  <c r="N54" i="66"/>
  <c r="E372" i="38"/>
  <c r="K151" i="66" s="1"/>
  <c r="N151" i="66" s="1"/>
  <c r="H458" i="58"/>
  <c r="E373" i="38" s="1"/>
  <c r="K170" i="66" s="1"/>
  <c r="N170" i="66" s="1"/>
  <c r="J458" i="58"/>
  <c r="E385" i="38" s="1"/>
  <c r="K266" i="66" s="1"/>
  <c r="N266" i="66" s="1"/>
  <c r="E384" i="38"/>
  <c r="K247" i="66" s="1"/>
  <c r="N247" i="66" s="1"/>
  <c r="Y103" i="66" s="1"/>
  <c r="E337" i="38"/>
  <c r="E331" i="38"/>
  <c r="E367" i="38"/>
  <c r="K122" i="66" s="1"/>
  <c r="N122" i="66" s="1"/>
  <c r="E349" i="38"/>
  <c r="M245" i="66" s="1"/>
  <c r="E343" i="38"/>
  <c r="Z55" i="66"/>
  <c r="Y199" i="66"/>
  <c r="Y55" i="66"/>
  <c r="Z199" i="66"/>
  <c r="L53" i="66"/>
  <c r="I464" i="37"/>
  <c r="J457" i="41"/>
  <c r="E301" i="38"/>
  <c r="M149" i="66" s="1"/>
  <c r="E295" i="38"/>
  <c r="E289" i="38"/>
  <c r="E283" i="38"/>
  <c r="M53" i="66"/>
  <c r="F18" i="39" s="1"/>
  <c r="C22" i="8"/>
  <c r="L6" i="66"/>
  <c r="P6" i="66" s="1"/>
  <c r="V6" i="66" s="1"/>
  <c r="X6" i="66" s="1"/>
  <c r="L246" i="66"/>
  <c r="P246" i="66" s="1"/>
  <c r="E354" i="38"/>
  <c r="K7" i="66" s="1"/>
  <c r="N7" i="66" s="1"/>
  <c r="H458" i="37"/>
  <c r="H457" i="41"/>
  <c r="L150" i="66"/>
  <c r="P150" i="66" s="1"/>
  <c r="V150" i="66" s="1"/>
  <c r="X150" i="66" s="1"/>
  <c r="N102" i="66"/>
  <c r="H467" i="41"/>
  <c r="M3" i="41" s="1"/>
  <c r="I458" i="41"/>
  <c r="E361" i="38"/>
  <c r="K74" i="66" s="1"/>
  <c r="N74" i="66" s="1"/>
  <c r="I464" i="58"/>
  <c r="L197" i="66"/>
  <c r="Y54" i="66" l="1"/>
  <c r="O54" i="66"/>
  <c r="U54" i="66" s="1"/>
  <c r="Z198" i="66"/>
  <c r="Y198" i="66"/>
  <c r="Z54" i="66"/>
  <c r="Y247" i="66"/>
  <c r="N6" i="66"/>
  <c r="N246" i="66"/>
  <c r="O246" i="66" s="1"/>
  <c r="U246" i="66" s="1"/>
  <c r="J458" i="41"/>
  <c r="O198" i="66"/>
  <c r="Z103" i="66"/>
  <c r="Z247" i="66"/>
  <c r="N53" i="66"/>
  <c r="P53" i="66"/>
  <c r="P197" i="66"/>
  <c r="N197" i="66"/>
  <c r="N150" i="66"/>
  <c r="L5" i="66"/>
  <c r="H464" i="37"/>
  <c r="B22" i="8"/>
  <c r="M5" i="66"/>
  <c r="H464" i="58"/>
  <c r="L149" i="66"/>
  <c r="L101" i="66"/>
  <c r="J464" i="37"/>
  <c r="Y218" i="66"/>
  <c r="Y74" i="66"/>
  <c r="Z74" i="66"/>
  <c r="Z218" i="66"/>
  <c r="D22" i="8"/>
  <c r="M101" i="66"/>
  <c r="G18" i="39" s="1"/>
  <c r="H458" i="41"/>
  <c r="E355" i="38"/>
  <c r="K26" i="66" s="1"/>
  <c r="N26" i="66" s="1"/>
  <c r="Z7" i="66"/>
  <c r="Y7" i="66"/>
  <c r="Y151" i="66"/>
  <c r="Z151" i="66"/>
  <c r="I464" i="41"/>
  <c r="L245" i="66"/>
  <c r="J464" i="58"/>
  <c r="Y266" i="66"/>
  <c r="Y122" i="66"/>
  <c r="Z266" i="66"/>
  <c r="Z122" i="66"/>
  <c r="V54" i="66" l="1"/>
  <c r="X54" i="66" s="1"/>
  <c r="Q54" i="66"/>
  <c r="Q246" i="66"/>
  <c r="V246" i="66"/>
  <c r="X246" i="66" s="1"/>
  <c r="O102" i="66"/>
  <c r="Z102" i="66"/>
  <c r="Y102" i="66"/>
  <c r="O150" i="66"/>
  <c r="U150" i="66" s="1"/>
  <c r="Y246" i="66"/>
  <c r="Z246" i="66"/>
  <c r="O197" i="66"/>
  <c r="V197" i="66" s="1"/>
  <c r="X197" i="66" s="1"/>
  <c r="O6" i="66"/>
  <c r="U6" i="66" s="1"/>
  <c r="Y150" i="66"/>
  <c r="Z6" i="66"/>
  <c r="Z150" i="66"/>
  <c r="V198" i="66"/>
  <c r="X198" i="66" s="1"/>
  <c r="Q198" i="66"/>
  <c r="U198" i="66"/>
  <c r="Y6" i="66"/>
  <c r="R149" i="66"/>
  <c r="T149" i="66" s="1"/>
  <c r="N149" i="66"/>
  <c r="P149" i="66"/>
  <c r="V149" i="66" s="1"/>
  <c r="X149" i="66" s="1"/>
  <c r="R5" i="66"/>
  <c r="T5" i="66" s="1"/>
  <c r="P5" i="66"/>
  <c r="V5" i="66" s="1"/>
  <c r="X5" i="66" s="1"/>
  <c r="N5" i="66"/>
  <c r="P101" i="66"/>
  <c r="N101" i="66"/>
  <c r="Z53" i="66"/>
  <c r="Y53" i="66"/>
  <c r="Z197" i="66"/>
  <c r="O53" i="66"/>
  <c r="Y197" i="66"/>
  <c r="P245" i="66"/>
  <c r="N245" i="66"/>
  <c r="J464" i="41"/>
  <c r="U102" i="66"/>
  <c r="Q102" i="66"/>
  <c r="V102" i="66"/>
  <c r="X102" i="66" s="1"/>
  <c r="H464" i="41"/>
  <c r="Y170" i="66"/>
  <c r="Y26" i="66"/>
  <c r="Z170" i="66"/>
  <c r="Z26" i="66"/>
  <c r="Q150" i="66" l="1"/>
  <c r="Q6" i="66"/>
  <c r="Q197" i="66"/>
  <c r="R197" i="66" s="1"/>
  <c r="T197" i="66" s="1"/>
  <c r="U197" i="66"/>
  <c r="O149" i="66"/>
  <c r="U149" i="66" s="1"/>
  <c r="O245" i="66"/>
  <c r="V245" i="66" s="1"/>
  <c r="X245" i="66" s="1"/>
  <c r="Y245" i="66"/>
  <c r="Y101" i="66"/>
  <c r="Z245" i="66"/>
  <c r="Z101" i="66"/>
  <c r="O101" i="66"/>
  <c r="Y5" i="66"/>
  <c r="Z5" i="66"/>
  <c r="Y149" i="66"/>
  <c r="O5" i="66"/>
  <c r="Z149" i="66"/>
  <c r="U53" i="66"/>
  <c r="V53" i="66"/>
  <c r="X53" i="66" s="1"/>
  <c r="Q53" i="66"/>
  <c r="R53" i="66" s="1"/>
  <c r="T53" i="66" s="1"/>
  <c r="Q149" i="66" l="1"/>
  <c r="U245" i="66"/>
  <c r="Q245" i="66"/>
  <c r="R245" i="66" s="1"/>
  <c r="T245" i="66" s="1"/>
  <c r="Q5" i="66"/>
  <c r="U5" i="66"/>
  <c r="U101" i="66"/>
  <c r="Q101" i="66"/>
  <c r="R101" i="66" s="1"/>
  <c r="T101" i="66" s="1"/>
  <c r="V101" i="66"/>
  <c r="X101" i="6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0" authorId="0" shapeId="0" xr:uid="{ADB07B3F-34C1-4198-8B3C-B662D754346F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Sat til 48% i basisåret for at nå 0.14 PJ til energiproduktion (efter ENS' energistatistik) og 110.000 ton biodiesel produceret på rapsolie i følge "Fagligt grundlag for fødevareministerens besvarelse af tre spørgsmål om produktion og import af proteinfoderkager fra raps", Morten Gylling, 2020.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<sst xmlns="http://schemas.openxmlformats.org/spreadsheetml/2006/main" count="4031" uniqueCount="338">
  <si>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</si>
  <si>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</si>
  <si>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</si>
  <si>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</si>
  <si>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</si>
  <si>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</si>
  <si>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</si>
  <si>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</si>
  <si>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</si>
  <si>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</si>
  <si>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</si>
  <si>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</si>
  <si>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</si>
  <si>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</si>
  <si>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</si>
  <si>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</si>
  <si>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</si>
  <si>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</si>
  <si>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</si>
  <si>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</si>
  <si>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</si>
  <si>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</si>
  <si>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</si>
  <si>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</si>
  <si>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</si>
  <si>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</si>
  <si>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</si>
  <si>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</si>
  <si>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</si>
  <si>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</si>
  <si>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</si>
  <si>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</si>
  <si>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</si>
  <si>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</si>
  <si>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</si>
  <si>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</si>
  <si>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</si>
  <si>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</si>
  <si>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</si>
  <si>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</si>
  <si>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</si>
  <si>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</si>
  <si>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</si>
  <si>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</si>
  <si>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</si>
  <si>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</si>
  <si>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</si>
  <si>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</si>
  <si>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</si>
  <si>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</si>
  <si>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</si>
  <si>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</si>
  <si>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</si>
  <si>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</si>
  <si>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</si>
  <si>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</si>
  <si>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</si>
  <si>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</si>
  <si>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</si>
  <si>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</si>
  <si>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</si>
  <si>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</si>
  <si>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</si>
  <si>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</si>
  <si>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</si>
  <si>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</si>
  <si>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Antaget samme stigning som for afgrøder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</si>
  <si>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</si>
  <si>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</si>
  <si>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</si>
  <si>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</si>
  <si>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</si>
  <si>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</si>
  <si>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</si>
  <si>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</si>
  <si>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</si>
  <si>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</si>
  <si>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</si>
  <si>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</si>
  <si>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</si>
  <si>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</si>
  <si>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</si>
  <si>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</si>
  <si>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</si>
  <si>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</si>
  <si>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</si>
  <si>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</si>
  <si>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</si>
  <si>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</si>
  <si>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</si>
  <si>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</si>
  <si>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</si>
  <si>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</si>
  <si>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</si>
  <si>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</si>
  <si>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</si>
  <si>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</si>
  <si>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</si>
  <si>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</si>
  <si>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</si>
  <si>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</si>
  <si>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</si>
  <si>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</si>
  <si>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</si>
  <si>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</si>
  <si>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</si>
  <si>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</si>
  <si>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</si>
  <si>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</si>
  <si>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</si>
  <si>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</si>
  <si>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</si>
  <si>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</si>
  <si>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</si>
  <si>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</si>
  <si>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</si>
  <si>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</si>
  <si>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</si>
  <si>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</si>
  <si>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</si>
  <si>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</si>
  <si>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</si>
  <si>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</si>
  <si>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</si>
  <si>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</si>
  <si>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</si>
  <si>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</si>
  <si>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</si>
  <si>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</si>
  <si>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</si>
  <si>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</si>
  <si>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</si>
  <si>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</si>
  <si>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</si>
  <si>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</si>
  <si>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</si>
  <si>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</si>
  <si>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</si>
  <si>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</si>
  <si>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</si>
  <si>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</si>
  <si>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</si>
  <si>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</si>
  <si>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</si>
  <si>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</si>
  <si>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</si>
  <si>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</si>
  <si>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</si>
  <si>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</si>
  <si>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</si>
  <si>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</si>
  <si>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</si>
  <si>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</si>
  <si>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</si>
  <si>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</si>
  <si>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</si>
  <si>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</si>
  <si>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</si>
  <si>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</si>
  <si>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</si>
  <si>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</si>
  <si>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</si>
  <si>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</si>
  <si>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</si>
  <si>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</si>
  <si>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</si>
  <si>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</si>
  <si>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</si>
  <si>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</si>
  <si>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</si>
  <si>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</si>
  <si>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</si>
  <si>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</si>
  <si>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</si>
  <si>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</si>
  <si>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</si>
  <si>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</si>
  <si>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Produktion af træ til materialer og til energi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</si>
  <si>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</si>
  <si>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</si>
  <si>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</si>
  <si>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</si>
  <si>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</si>
  <si>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</si>
  <si>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</si>
  <si>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</si>
  <si>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</si>
  <si>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</si>
  <si>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</si>
  <si>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</si>
  <si>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</si>
  <si>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</si>
  <si>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</si>
  <si>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</si>
  <si>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</si>
  <si>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</si>
  <si>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</si>
  <si>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</si>
  <si>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</si>
  <si>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</si>
  <si>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</si>
  <si>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</si>
  <si>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</si>
  <si>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</si>
  <si>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</si>
  <si>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</si>
  <si>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</si>
  <si>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</si>
  <si>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</si>
  <si>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</si>
  <si>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</si>
  <si>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</si>
  <si>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</si>
  <si>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</si>
  <si>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</si>
  <si>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</si>
  <si>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</si>
  <si>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</si>
  <si>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</si>
  <si>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</si>
  <si>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</si>
  <si>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</si>
  <si>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</si>
  <si>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</si>
  <si>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</si>
  <si>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</si>
  <si>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</si>
  <si>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</si>
  <si>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</si>
  <si>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</si>
  <si>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</si>
  <si>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</si>
  <si>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</si>
  <si>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</si>
  <si>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</si>
  <si>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</si>
  <si>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</si>
  <si>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</si>
  <si>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</si>
  <si>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</si>
  <si>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</si>
  <si>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</si>
  <si>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Baseret på "Blå biomasse – potentialer og udfordringer for opdræt af muslinger og tang": https://backend.orbit.dtu.dk/ws/portalfiles/portal/125057614/Publishers_version.pdf</t>
  </si>
  <si>
    <t>Kapacitet i 2019 er fra: https://fiskeristatistik.fiskeristyrelsen.dk/stat/Akvakultur_tab/kapacitet_19.html</t>
  </si>
  <si>
    <t>OBS: tangproduktionen I 2019 fra akvakulturstatistikken er væsentligt lavere end angivet i "Blå biomasse[…]"-rapporten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</si>
  <si>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</si>
  <si>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</si>
  <si>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</si>
  <si>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</si>
  <si>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</si>
  <si>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</si>
  <si>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</si>
  <si>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Avancerede ark</t>
  </si>
  <si>
    <t>Her rettes kun, hvis der tilføjes nye processer eller input typer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</si>
  <si>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</si>
  <si>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</si>
  <si>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</si>
  <si>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</si>
  <si>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</si>
  <si>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</si>
  <si>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</si>
  <si>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</si>
  <si>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</si>
  <si>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</si>
  <si>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</si>
  <si>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</si>
  <si>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</si>
  <si>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</si>
  <si>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</si>
  <si>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</si>
  <si>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</si>
  <si>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</si>
  <si>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</si>
  <si>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</si>
  <si>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2019 er skaleret til at ramme DST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</si>
  <si>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</si>
  <si>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</si>
  <si>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</si>
  <si>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</si>
  <si>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</si>
  <si>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</si>
  <si>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</si>
  <si>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</si>
  <si>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</si>
  <si>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</si>
  <si>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</si>
  <si>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</si>
  <si>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</si>
  <si>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</si>
  <si>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</si>
  <si>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</si>
  <si>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</si>
  <si>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</si>
  <si>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</si>
  <si>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</si>
  <si>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</si>
  <si>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</si>
  <si>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</si>
  <si>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</si>
  <si>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</si>
  <si>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</si>
  <si>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</si>
  <si>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</si>
  <si>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</si>
  <si>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</si>
  <si>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</si>
  <si>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</si>
  <si>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</si>
  <si>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</si>
  <si>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</si>
  <si>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</si>
  <si>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</si>
  <si>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</si>
  <si>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</si>
  <si>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</si>
  <si>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</si>
  <si>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</si>
  <si>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</si>
  <si>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</si>
  <si>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</si>
  <si>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</si>
  <si>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</si>
  <si>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</si>
  <si>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</si>
  <si>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</si>
  <si>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</si>
  <si>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</si>
  <si>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</si>
  <si>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</si>
  <si>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2030 baseret på "sikre" arealer, https://dce.au.dk/fileadmin/dce.au.dk/Udgivelser/NLK/Notat_Miljoemuslinger_april_2013.pdf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</si>
  <si>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</si>
  <si>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</si>
  <si>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</si>
  <si>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</si>
  <si>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</si>
  <si>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</si>
  <si>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</si>
  <si>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Overskydende produkt må antages at blive brugt til fødevareindustrien m.m.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</si>
</sst>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375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167" fontId="1" fillId="4" borderId="45" xfId="2" applyNumberFormat="1" applyFont="1" applyFill="1" applyBorder="1"/>
    <xf numFmtId="0" fontId="14" fillId="0" borderId="0" xfId="0" applyFont="1" applyAlignment="1">
      <alignment wrapText="1"/>
    </xf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9" fontId="15" fillId="4" borderId="0" xfId="0" applyNumberFormat="1" applyFont="1" applyFill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9" xfId="0" applyFill="1" applyBorder="1"/>
    <xf numFmtId="9" fontId="0" fillId="4" borderId="19" xfId="2" applyFont="1" applyFill="1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19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6.xml"/><Relationship Id="rId47" Type="http://schemas.openxmlformats.org/officeDocument/2006/relationships/sharedStrings" Target="sharedStrings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pivotCacheDefinition" Target="pivotCache/pivotCacheDefinition1.xml"/><Relationship Id="rId40" Type="http://schemas.openxmlformats.org/officeDocument/2006/relationships/pivotCacheDefinition" Target="pivotCache/pivotCacheDefinition4.xml"/><Relationship Id="rId45" Type="http://schemas.openxmlformats.org/officeDocument/2006/relationships/theme" Target="theme/theme1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8.xml"/><Relationship Id="rId52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7.xml"/><Relationship Id="rId48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2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4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2501770</c:v>
                </c:pt>
                <c:pt idx="2">
                  <c:v>2440169.9999999995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685100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0788432484314177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590504082585109"/>
          <c:y val="0.13122832094326414"/>
          <c:w val="0.73409495917414891"/>
          <c:h val="0.55781733103580611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8852683.6564139053</c:v>
                </c:pt>
                <c:pt idx="2">
                  <c:v>8714081.1908516288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-1707739.728033402</c:v>
                </c:pt>
                <c:pt idx="2">
                  <c:v>-2227605.1235059141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-565990.77935995674</c:v>
                </c:pt>
                <c:pt idx="2">
                  <c:v>-550526.76458399382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14517462.442375844</c:v>
                </c:pt>
                <c:pt idx="1">
                  <c:v>12061659.217710676</c:v>
                </c:pt>
                <c:pt idx="2">
                  <c:v>11381001.09678873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8.9178901576943997E-2"/>
              <c:y val="0.342632032115428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74183.803587131348</c:v>
                </c:pt>
                <c:pt idx="2">
                  <c:v>72275.665119207741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4853.1770030289581</c:v>
                </c:pt>
                <c:pt idx="2">
                  <c:v>4728.1172142829364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614009.9839605958</c:v>
                </c:pt>
                <c:pt idx="2">
                  <c:v>598548.38396059559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12260.644279007083</c:v>
                </c:pt>
                <c:pt idx="2">
                  <c:v>11939.949346977701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18194.810700511243</c:v>
                </c:pt>
                <c:pt idx="2">
                  <c:v>17727.455506089249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52970.654930914927</c:v>
                </c:pt>
                <c:pt idx="2">
                  <c:v>51621.782251781951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966609.27748625283</c:v>
                </c:pt>
                <c:pt idx="2">
                  <c:v>941813.22356629348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162670.5326839725</c:v>
                </c:pt>
                <c:pt idx="2">
                  <c:v>158496.56058649404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43656.858578083113</c:v>
                </c:pt>
                <c:pt idx="2">
                  <c:v>42549.988492615776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108216.1106595821</c:v>
                </c:pt>
                <c:pt idx="2">
                  <c:v>105423.80184271638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78362.46663239249</c:v>
                </c:pt>
                <c:pt idx="2">
                  <c:v>76300.904828300088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257867.80103200703</c:v>
                </c:pt>
                <c:pt idx="2">
                  <c:v>253508.19426480078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7716.8760454422081</c:v>
                </c:pt>
                <c:pt idx="2">
                  <c:v>7537.157461474726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99823.678331425646</c:v>
                </c:pt>
                <c:pt idx="2">
                  <c:v>97335.327401064031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59.629497759472514</c:v>
                </c:pt>
                <c:pt idx="2">
                  <c:v>63.719282873772414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21.501926063738726</c:v>
                </c:pt>
                <c:pt idx="2">
                  <c:v>20.039498044815318</c:v>
                </c:pt>
                <c:pt idx="3">
                  <c:v>0.45076703431999998</c:v>
                </c:pt>
                <c:pt idx="4">
                  <c:v>0.45076703432000015</c:v>
                </c:pt>
                <c:pt idx="5">
                  <c:v>0.45076703432000009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2.2528620676195708</c:v>
                </c:pt>
                <c:pt idx="2">
                  <c:v>2.3447387190129585</c:v>
                </c:pt>
                <c:pt idx="3">
                  <c:v>5.0922829580050024</c:v>
                </c:pt>
                <c:pt idx="4">
                  <c:v>16.27366559690411</c:v>
                </c:pt>
                <c:pt idx="5">
                  <c:v>16.022658393242192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5.3986394353114884</c:v>
                </c:pt>
                <c:pt idx="2">
                  <c:v>5.5346783341970225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45.11802212469226</c:v>
                </c:pt>
                <c:pt idx="2">
                  <c:v>45.173390358640965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1.5668530772911572E-2"/>
          <c:w val="0.80231790500786004"/>
          <c:h val="0.5337259617287528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7805831.8694405425</c:v>
                </c:pt>
                <c:pt idx="2">
                  <c:v>8321598.9393502567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1834001.1901776728</c:v>
                </c:pt>
                <c:pt idx="2">
                  <c:v>1714475.0703735081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2496360.7088010199</c:v>
                </c:pt>
                <c:pt idx="2">
                  <c:v>2479453.136644504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1497777.1733240632</c:v>
                </c:pt>
                <c:pt idx="2">
                  <c:v>1498433.9529448485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8138.6352546285043</c:v>
                </c:pt>
                <c:pt idx="2">
                  <c:v>8404.7671078658768</c:v>
                </c:pt>
                <c:pt idx="15">
                  <c:v>3362.8500000000004</c:v>
                </c:pt>
                <c:pt idx="16">
                  <c:v>684.67883888144547</c:v>
                </c:pt>
                <c:pt idx="17">
                  <c:v>707.0677090744307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</c:v>
                </c:pt>
                <c:pt idx="2">
                  <c:v>85677.000000000015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75934.000000000015</c:v>
                </c:pt>
                <c:pt idx="2">
                  <c:v>75934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2080333.682561968</c:v>
                </c:pt>
                <c:pt idx="11">
                  <c:v>1930172.8654460763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3785.9999999999991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12515657.295601793</c:v>
                </c:pt>
                <c:pt idx="2">
                  <c:v>12276506.618354084</c:v>
                </c:pt>
                <c:pt idx="15">
                  <c:v>6423924.8458333323</c:v>
                </c:pt>
                <c:pt idx="16">
                  <c:v>921291.4398151316</c:v>
                </c:pt>
                <c:pt idx="17">
                  <c:v>903687.29273995303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482021.37815281149</c:v>
                </c:pt>
                <c:pt idx="20">
                  <c:v>494167.70841044851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28645.000000000004</c:v>
                </c:pt>
                <c:pt idx="2">
                  <c:v>28645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15533219.712531526</c:v>
                </c:pt>
                <c:pt idx="2">
                  <c:v>14871140.288295148</c:v>
                </c:pt>
                <c:pt idx="15">
                  <c:v>14742130.666666664</c:v>
                </c:pt>
                <c:pt idx="16">
                  <c:v>1725913.3013923911</c:v>
                </c:pt>
                <c:pt idx="17">
                  <c:v>1652348.9209216826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196559.60980685451</c:v>
                </c:pt>
                <c:pt idx="11">
                  <c:v>202349.63153877269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2863430.3661416383</c:v>
                </c:pt>
                <c:pt idx="11">
                  <c:v>2859899.9612931921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154246.84100889968</c:v>
                </c:pt>
                <c:pt idx="11">
                  <c:v>158133.66669134353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28521927.915010508</c:v>
                </c:pt>
                <c:pt idx="17">
                  <c:v>27737309.195274569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1108490.5539925825</c:v>
                </c:pt>
                <c:pt idx="16">
                  <c:v>855956.11724253604</c:v>
                </c:pt>
                <c:pt idx="17">
                  <c:v>805860.03783459379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45-47C1-9EE1-58708F97A4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236197.68983003267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Korn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166931.44861219462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Kunstgødning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1108490.5539925825</c:v>
                </c:pt>
                <c:pt idx="1">
                  <c:v>855956.11724253604</c:v>
                </c:pt>
                <c:pt idx="2">
                  <c:v>805860.03783459379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458817.74928054027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5D-4917-B46D-A4F9FAE142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218475.89285786889</c:v>
                </c:pt>
                <c:pt idx="2">
                  <c:v>226110.4756866793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2821317.759830459</c:v>
                </c:pt>
                <c:pt idx="2">
                  <c:v>2952551.0288410094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1502781.1107008122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22498503.824004248</c:v>
                </c:pt>
                <c:pt idx="2">
                  <c:v>23911523.721627589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2114999.9774601497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2">
                  <c:v>26163.144336591125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952519.64833213156</c:v>
                </c:pt>
                <c:pt idx="2">
                  <c:v>1243684.2219918412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5458842.7210985618</c:v>
                </c:pt>
                <c:pt idx="2">
                  <c:v>5622703.3534848932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827693.20492220437</c:v>
                </c:pt>
                <c:pt idx="1">
                  <c:v>792440.79236345144</c:v>
                </c:pt>
                <c:pt idx="2">
                  <c:v>871392.37125140009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3272565.4875000007</c:v>
                </c:pt>
                <c:pt idx="1">
                  <c:v>469337.14858506783</c:v>
                </c:pt>
                <c:pt idx="2">
                  <c:v>460368.99818827701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1078.6499999999999</c:v>
                </c:pt>
                <c:pt idx="1">
                  <c:v>219.61396718838785</c:v>
                </c:pt>
                <c:pt idx="2">
                  <c:v>226.79530291066658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949345.99548394862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558-400D-BF8D-21AF5E59CD25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1362725.53997907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558-400D-BF8D-21AF5E59CD25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632.81348314511342</c:v>
                </c:pt>
                <c:pt idx="2">
                  <c:v>6705.9786119636192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1-42BE-A1A1-3BE3A5456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[Biomassescenarie.xlsm]Arealanvendelse - pivot!PivotTable1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483753241724072"/>
          <c:y val="3.866687871155608E-2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2501770</c:v>
                </c:pt>
                <c:pt idx="2">
                  <c:v>2440169.9999999995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685100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Arealanvendelse, 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[Biomassescenarie.xlsm]CO2-pivot!PivotTable1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894262323288255E-2"/>
          <c:y val="3.5842241235597434E-2"/>
          <c:w val="0.57935743530167183"/>
          <c:h val="0.8818160749853769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B7-4F79-958E-DED4D3A0C209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B7-4F79-958E-DED4D3A0C209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8852683.6564139053</c:v>
                </c:pt>
                <c:pt idx="2">
                  <c:v>8714081.1908516288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B7-4F79-958E-DED4D3A0C209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-1707739.728033402</c:v>
                </c:pt>
                <c:pt idx="2">
                  <c:v>-2227605.1235059141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B7-4F79-958E-DED4D3A0C209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-565990.77935995674</c:v>
                </c:pt>
                <c:pt idx="2">
                  <c:v>-550526.76458399382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43-44B5-8349-8FA716253940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4-48F5-81B3-742DD944B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14517462.442375844</c:v>
                </c:pt>
                <c:pt idx="1">
                  <c:v>12061659.217710676</c:v>
                </c:pt>
                <c:pt idx="2">
                  <c:v>11381001.09678873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B7-4F79-958E-DED4D3A0C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  <c:dispUnitsLbl>
            <c:layout>
              <c:manualLayout>
                <c:xMode val="edge"/>
                <c:yMode val="edge"/>
                <c:x val="1.2725344644750796E-2"/>
                <c:y val="0.19178906504152157"/>
              </c:manualLayout>
            </c:layout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CO2e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[Biomassescenarie.xlsm]Pivot chart - landbrug!PivotTable1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3.8366512484762964E-2"/>
          <c:w val="0.62291424819995034"/>
          <c:h val="0.6887551805608325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74183.803587131348</c:v>
                </c:pt>
                <c:pt idx="2">
                  <c:v>72275.665119207741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D6-4978-988F-EEA50195553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4853.1770030289581</c:v>
                </c:pt>
                <c:pt idx="2">
                  <c:v>4728.1172142829364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82-4777-9F9A-F8EF4C3D28C7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614009.9839605958</c:v>
                </c:pt>
                <c:pt idx="2">
                  <c:v>598548.38396059559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82-4777-9F9A-F8EF4C3D28C7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12260.644279007083</c:v>
                </c:pt>
                <c:pt idx="2">
                  <c:v>11939.949346977701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82-4777-9F9A-F8EF4C3D28C7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18194.810700511243</c:v>
                </c:pt>
                <c:pt idx="2">
                  <c:v>17727.455506089249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82-4777-9F9A-F8EF4C3D28C7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52970.654930914927</c:v>
                </c:pt>
                <c:pt idx="2">
                  <c:v>51621.782251781951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82-4777-9F9A-F8EF4C3D28C7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966609.27748625283</c:v>
                </c:pt>
                <c:pt idx="2">
                  <c:v>941813.22356629348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82-4777-9F9A-F8EF4C3D28C7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162670.5326839725</c:v>
                </c:pt>
                <c:pt idx="2">
                  <c:v>158496.56058649404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82-4777-9F9A-F8EF4C3D28C7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43656.858578083113</c:v>
                </c:pt>
                <c:pt idx="2">
                  <c:v>42549.988492615776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82-4777-9F9A-F8EF4C3D28C7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108216.1106595821</c:v>
                </c:pt>
                <c:pt idx="2">
                  <c:v>105423.80184271638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82-4777-9F9A-F8EF4C3D28C7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78362.46663239249</c:v>
                </c:pt>
                <c:pt idx="2">
                  <c:v>76300.904828300088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F82-4777-9F9A-F8EF4C3D28C7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257867.80103200703</c:v>
                </c:pt>
                <c:pt idx="2">
                  <c:v>253508.19426480078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F82-4777-9F9A-F8EF4C3D28C7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7716.8760454422081</c:v>
                </c:pt>
                <c:pt idx="2">
                  <c:v>7537.157461474726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F82-4777-9F9A-F8EF4C3D28C7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99823.678331425646</c:v>
                </c:pt>
                <c:pt idx="2">
                  <c:v>97335.327401064031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52-48BF-9797-C64F3AFCC3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3.1803441627364426E-2"/>
              <c:y val="0.233507390523552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718035986470926"/>
          <c:y val="2.789550988015134E-2"/>
          <c:w val="0.17324210098683013"/>
          <c:h val="0.824855190514978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666836471793347"/>
          <c:y val="3.5189263012359001E-2"/>
          <c:w val="0.57376891431380739"/>
          <c:h val="0.8517274929322781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'Landbrugsareal - resultat'!$W$3</c:f>
              <c:strCache>
                <c:ptCount val="1"/>
                <c:pt idx="0">
                  <c:v>Svin - konventionel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resultat'!$X$3:$Z$3</c:f>
              <c:numCache>
                <c:formatCode>0</c:formatCode>
                <c:ptCount val="3"/>
                <c:pt idx="0">
                  <c:v>11808068</c:v>
                </c:pt>
                <c:pt idx="1">
                  <c:v>11613981.348523566</c:v>
                </c:pt>
                <c:pt idx="2">
                  <c:v>11168804.040691316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8-4339-9D67-4F6A093C40DE}"/>
            </c:ext>
          </c:extLst>
        </c:ser>
        <c:ser>
          <c:idx val="1"/>
          <c:order val="1"/>
          <c:tx>
            <c:strRef>
              <c:f>'Landbrugsareal - resultat'!$W$4</c:f>
              <c:strCache>
                <c:ptCount val="1"/>
                <c:pt idx="0">
                  <c:v>Køer - konventionel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resultat'!$X$4:$Z$4</c:f>
              <c:numCache>
                <c:formatCode>0</c:formatCode>
                <c:ptCount val="3"/>
                <c:pt idx="0">
                  <c:v>1267084</c:v>
                </c:pt>
                <c:pt idx="1">
                  <c:v>1232959.2457426467</c:v>
                </c:pt>
                <c:pt idx="2">
                  <c:v>1172869.6474243198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D8-4339-9D67-4F6A093C40DE}"/>
            </c:ext>
          </c:extLst>
        </c:ser>
        <c:ser>
          <c:idx val="2"/>
          <c:order val="2"/>
          <c:tx>
            <c:strRef>
              <c:f>'Landbrugsareal - resultat'!$W$5</c:f>
              <c:strCache>
                <c:ptCount val="1"/>
                <c:pt idx="0">
                  <c:v>Fjerkræ - konventionel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resultat'!$X$5:$Z$5</c:f>
              <c:numCache>
                <c:formatCode>0</c:formatCode>
                <c:ptCount val="3"/>
                <c:pt idx="0">
                  <c:v>19782594</c:v>
                </c:pt>
                <c:pt idx="1">
                  <c:v>19328402.782654595</c:v>
                </c:pt>
                <c:pt idx="2">
                  <c:v>18416921.146918636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D8-4339-9D67-4F6A093C40DE}"/>
            </c:ext>
          </c:extLst>
        </c:ser>
        <c:ser>
          <c:idx val="3"/>
          <c:order val="3"/>
          <c:tx>
            <c:strRef>
              <c:f>'Landbrugsareal - resultat'!$W$6</c:f>
              <c:strCache>
                <c:ptCount val="1"/>
                <c:pt idx="0">
                  <c:v>Svin - økologisk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resultat'!$X$6:$Z$6</c:f>
              <c:numCache>
                <c:formatCode>0</c:formatCode>
                <c:ptCount val="3"/>
                <c:pt idx="0">
                  <c:v>490924</c:v>
                </c:pt>
                <c:pt idx="1">
                  <c:v>685010.65147643292</c:v>
                </c:pt>
                <c:pt idx="2">
                  <c:v>1130187.9593086836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D8-4339-9D67-4F6A093C40DE}"/>
            </c:ext>
          </c:extLst>
        </c:ser>
        <c:ser>
          <c:idx val="4"/>
          <c:order val="4"/>
          <c:tx>
            <c:strRef>
              <c:f>'Landbrugsareal - resultat'!$W$7</c:f>
              <c:strCache>
                <c:ptCount val="1"/>
                <c:pt idx="0">
                  <c:v>Køer - økologisk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resultat'!$X$7:$Z$7</c:f>
              <c:numCache>
                <c:formatCode>0</c:formatCode>
                <c:ptCount val="3"/>
                <c:pt idx="0">
                  <c:v>224348</c:v>
                </c:pt>
                <c:pt idx="1">
                  <c:v>258472.75425735323</c:v>
                </c:pt>
                <c:pt idx="2">
                  <c:v>318562.35257568007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D8-4339-9D67-4F6A093C40DE}"/>
            </c:ext>
          </c:extLst>
        </c:ser>
        <c:ser>
          <c:idx val="5"/>
          <c:order val="5"/>
          <c:tx>
            <c:strRef>
              <c:f>'Landbrugsareal - resultat'!$W$8</c:f>
              <c:strCache>
                <c:ptCount val="1"/>
                <c:pt idx="0">
                  <c:v>Fjerkræ - økologisk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resultat'!$X$8:$Z$8</c:f>
              <c:numCache>
                <c:formatCode>0</c:formatCode>
                <c:ptCount val="3"/>
                <c:pt idx="0">
                  <c:v>3277287</c:v>
                </c:pt>
                <c:pt idx="1">
                  <c:v>3731478.2173454049</c:v>
                </c:pt>
                <c:pt idx="2">
                  <c:v>4642959.853081366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3D8-4339-9D67-4F6A093C4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91789343"/>
        <c:axId val="291789263"/>
      </c:barChart>
      <c:catAx>
        <c:axId val="891789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91789263"/>
        <c:crosses val="autoZero"/>
        <c:auto val="1"/>
        <c:lblAlgn val="ctr"/>
        <c:lblOffset val="100"/>
        <c:noMultiLvlLbl val="0"/>
      </c:catAx>
      <c:valAx>
        <c:axId val="291789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Gennemsnitligt antal levende dyr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91789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180579926010261"/>
          <c:y val="5.5163085657459601E-2"/>
          <c:w val="0.22464062114525613"/>
          <c:h val="0.827026995030346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[Biomassescenarie.xlsm]Produktion afgrøder-pivot!PivotTable1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'Produktion afgrøder-pivot'!$B$3:$B$4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afgrøder-pivot'!$B$5:$B$8</c:f>
              <c:numCache>
                <c:formatCode>#,##0</c:formatCode>
                <c:ptCount val="3"/>
                <c:pt idx="0">
                  <c:v>285126.10198467888</c:v>
                </c:pt>
                <c:pt idx="1">
                  <c:v>290890.985086801</c:v>
                </c:pt>
                <c:pt idx="2">
                  <c:v>298525.56791561138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6-400A-9F9A-9416FC3ADDC4}"/>
            </c:ext>
          </c:extLst>
        </c:ser>
        <c:ser>
          <c:idx val="1"/>
          <c:order val="1"/>
          <c:tx>
            <c:strRef>
              <c:f>'Produktion afgrøder-pivot'!$C$3:$C$4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afgrøder-pivot'!$C$5:$C$8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1502781.1107008122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46-400A-9F9A-9416FC3ADDC4}"/>
            </c:ext>
          </c:extLst>
        </c:ser>
        <c:ser>
          <c:idx val="2"/>
          <c:order val="2"/>
          <c:tx>
            <c:strRef>
              <c:f>'Produktion afgrøder-pivot'!$D$3:$D$4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afgrøder-pivot'!$D$5:$D$8</c:f>
              <c:numCache>
                <c:formatCode>#,##0</c:formatCode>
                <c:ptCount val="3"/>
                <c:pt idx="0">
                  <c:v>41727.889892771527</c:v>
                </c:pt>
                <c:pt idx="1">
                  <c:v>41859.546279410672</c:v>
                </c:pt>
                <c:pt idx="2">
                  <c:v>42956.187062954959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46-400A-9F9A-9416FC3ADDC4}"/>
            </c:ext>
          </c:extLst>
        </c:ser>
        <c:ser>
          <c:idx val="3"/>
          <c:order val="3"/>
          <c:tx>
            <c:strRef>
              <c:f>'Produktion afgrøder-pivot'!$E$3:$E$4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afgrøder-pivot'!$E$5:$E$8</c:f>
              <c:numCache>
                <c:formatCode>#,##0</c:formatCode>
                <c:ptCount val="3"/>
                <c:pt idx="0">
                  <c:v>17943438.695570182</c:v>
                </c:pt>
                <c:pt idx="1">
                  <c:v>36323938.809274264</c:v>
                </c:pt>
                <c:pt idx="2">
                  <c:v>37736958.706897601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46-400A-9F9A-9416FC3ADDC4}"/>
            </c:ext>
          </c:extLst>
        </c:ser>
        <c:ser>
          <c:idx val="4"/>
          <c:order val="4"/>
          <c:tx>
            <c:strRef>
              <c:f>'Produktion afgrøder-pivot'!$F$3:$F$4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afgrøder-pivot'!$F$5:$F$8</c:f>
              <c:numCache>
                <c:formatCode>#,##0</c:formatCode>
                <c:ptCount val="3"/>
                <c:pt idx="0">
                  <c:v>280609.42145294487</c:v>
                </c:pt>
                <c:pt idx="1">
                  <c:v>284025.61835988262</c:v>
                </c:pt>
                <c:pt idx="2">
                  <c:v>289344.48560341762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46-400A-9F9A-9416FC3ADDC4}"/>
            </c:ext>
          </c:extLst>
        </c:ser>
        <c:ser>
          <c:idx val="5"/>
          <c:order val="5"/>
          <c:tx>
            <c:strRef>
              <c:f>'Produktion afgrøder-pivot'!$G$3:$G$4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afgrøder-pivot'!$G$5:$G$8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949345.99548394862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46-400A-9F9A-9416FC3ADDC4}"/>
            </c:ext>
          </c:extLst>
        </c:ser>
        <c:ser>
          <c:idx val="6"/>
          <c:order val="6"/>
          <c:tx>
            <c:strRef>
              <c:f>'Produktion afgrøder-pivot'!$H$3:$H$4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afgrøder-pivot'!$H$5:$H$8</c:f>
              <c:numCache>
                <c:formatCode>#,##0</c:formatCode>
                <c:ptCount val="3"/>
                <c:pt idx="0">
                  <c:v>2262318.840633567</c:v>
                </c:pt>
                <c:pt idx="1">
                  <c:v>2294255.2711495673</c:v>
                </c:pt>
                <c:pt idx="2">
                  <c:v>2355323.2838141397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46-400A-9F9A-9416FC3ADDC4}"/>
            </c:ext>
          </c:extLst>
        </c:ser>
        <c:ser>
          <c:idx val="7"/>
          <c:order val="7"/>
          <c:tx>
            <c:strRef>
              <c:f>'Produktion afgrøder-pivot'!$I$3:$I$4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afgrøder-pivot'!$I$5:$I$8</c:f>
              <c:numCache>
                <c:formatCode>#,##0</c:formatCode>
                <c:ptCount val="3"/>
                <c:pt idx="0">
                  <c:v>9109787.9694444165</c:v>
                </c:pt>
                <c:pt idx="1">
                  <c:v>6989859.2435773909</c:v>
                </c:pt>
                <c:pt idx="2">
                  <c:v>7206505.523105517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46-400A-9F9A-9416FC3ADDC4}"/>
            </c:ext>
          </c:extLst>
        </c:ser>
        <c:ser>
          <c:idx val="8"/>
          <c:order val="8"/>
          <c:tx>
            <c:strRef>
              <c:f>'Produktion afgrøder-pivot'!$J$3:$J$4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afgrøder-pivot'!$J$5:$J$8</c:f>
              <c:numCache>
                <c:formatCode>#,##0</c:formatCode>
                <c:ptCount val="3"/>
                <c:pt idx="0">
                  <c:v>7947695.2938467432</c:v>
                </c:pt>
                <c:pt idx="1">
                  <c:v>7633952.6959113814</c:v>
                </c:pt>
                <c:pt idx="2">
                  <c:v>7925117.269571091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46-400A-9F9A-9416FC3ADDC4}"/>
            </c:ext>
          </c:extLst>
        </c:ser>
        <c:ser>
          <c:idx val="9"/>
          <c:order val="9"/>
          <c:tx>
            <c:strRef>
              <c:f>'Produktion afgrøder-pivot'!$K$3:$K$4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afgrøder-pivot'!$K$5:$K$8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1362725.53997907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046-400A-9F9A-9416FC3ADDC4}"/>
            </c:ext>
          </c:extLst>
        </c:ser>
        <c:ser>
          <c:idx val="10"/>
          <c:order val="10"/>
          <c:tx>
            <c:strRef>
              <c:f>'Produktion afgrøder-pivot'!$L$3:$L$4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afgrøder-pivot'!$L$5:$L$8</c:f>
              <c:numCache>
                <c:formatCode>#,##0</c:formatCode>
                <c:ptCount val="3"/>
                <c:pt idx="0">
                  <c:v>209782.38739500003</c:v>
                </c:pt>
                <c:pt idx="1">
                  <c:v>196559.60980685451</c:v>
                </c:pt>
                <c:pt idx="2">
                  <c:v>202349.63153877269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046-400A-9F9A-9416FC3ADDC4}"/>
            </c:ext>
          </c:extLst>
        </c:ser>
        <c:ser>
          <c:idx val="11"/>
          <c:order val="11"/>
          <c:tx>
            <c:strRef>
              <c:f>'Produktion afgrøder-pivot'!$M$3:$M$4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afgrøder-pivot'!$M$5:$M$8</c:f>
              <c:numCache>
                <c:formatCode>#,##0</c:formatCode>
                <c:ptCount val="3"/>
                <c:pt idx="0">
                  <c:v>678407.81727843033</c:v>
                </c:pt>
                <c:pt idx="1">
                  <c:v>482021.37815281149</c:v>
                </c:pt>
                <c:pt idx="2">
                  <c:v>494167.70841044851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046-400A-9F9A-9416FC3ADDC4}"/>
            </c:ext>
          </c:extLst>
        </c:ser>
        <c:ser>
          <c:idx val="12"/>
          <c:order val="12"/>
          <c:tx>
            <c:strRef>
              <c:f>'Produktion afgrøder-pivot'!$N$3:$N$4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afgrøder-pivot'!$N$5:$N$8</c:f>
              <c:numCache>
                <c:formatCode>#,##0</c:formatCode>
                <c:ptCount val="3"/>
                <c:pt idx="0">
                  <c:v>2629423.1359865703</c:v>
                </c:pt>
                <c:pt idx="1">
                  <c:v>6431901.2155842176</c:v>
                </c:pt>
                <c:pt idx="2">
                  <c:v>6595761.847970549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046-400A-9F9A-9416FC3AD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856099200"/>
        <c:axId val="1856104608"/>
      </c:barChart>
      <c:catAx>
        <c:axId val="185609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auto val="1"/>
        <c:lblAlgn val="ctr"/>
        <c:lblOffset val="100"/>
        <c:noMultiLvlLbl val="0"/>
      </c:catAx>
      <c:valAx>
        <c:axId val="185610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Produktion, millioner 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99200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119081230384053"/>
          <c:y val="0.13865776501359975"/>
          <c:w val="0.13742614842467402"/>
          <c:h val="0.81487669486430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[Biomassescenarie.xlsm]Produkt skovbrug!PivotTable3</c:name>
    <c:fmtId val="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2863430.3661416383</c:v>
                </c:pt>
                <c:pt idx="2">
                  <c:v>2859899.9612931921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792440.79236345144</c:v>
                </c:pt>
                <c:pt idx="2">
                  <c:v>871392.37125140009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Skovbrug!$A$48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Skovbrug!$B$48:$G$48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D0-476F-847A-93E15E510130}"/>
            </c:ext>
          </c:extLst>
        </c:ser>
        <c:ser>
          <c:idx val="1"/>
          <c:order val="1"/>
          <c:tx>
            <c:strRef>
              <c:f>Skovbrug!$A$49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Skovbrug!$B$49:$G$49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Skovbrug!$B$50:$G$50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Skovbrug!$B$51:$G$51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Skovbrug!$B$52:$G$52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Skovbrug!$B$53:$G$53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72634.700000000026</c:v>
                </c:pt>
                <c:pt idx="2">
                  <c:v>97569.000000000029</c:v>
                </c:pt>
                <c:pt idx="3">
                  <c:v>0.6</c:v>
                </c:pt>
                <c:pt idx="4">
                  <c:v>1624.8</c:v>
                </c:pt>
                <c:pt idx="5">
                  <c:v>24372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480</c:v>
                </c:pt>
                <c:pt idx="2">
                  <c:v>600</c:v>
                </c:pt>
                <c:pt idx="3">
                  <c:v>0</c:v>
                </c:pt>
                <c:pt idx="4">
                  <c:v>160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8138.6352546285043</c:v>
                </c:pt>
                <c:pt idx="2">
                  <c:v>8404.7671078658768</c:v>
                </c:pt>
                <c:pt idx="15">
                  <c:v>3362.8500000000004</c:v>
                </c:pt>
                <c:pt idx="16">
                  <c:v>684.67883888144547</c:v>
                </c:pt>
                <c:pt idx="17">
                  <c:v>707.0677090744307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</c:v>
                </c:pt>
                <c:pt idx="2">
                  <c:v>85677.000000000015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75934.000000000015</c:v>
                </c:pt>
                <c:pt idx="2">
                  <c:v>75934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2080333.682561968</c:v>
                </c:pt>
                <c:pt idx="11">
                  <c:v>1930172.8654460763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3785.9999999999991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12515657.295601793</c:v>
                </c:pt>
                <c:pt idx="2">
                  <c:v>12276506.618354084</c:v>
                </c:pt>
                <c:pt idx="15">
                  <c:v>6423924.8458333323</c:v>
                </c:pt>
                <c:pt idx="16">
                  <c:v>921291.4398151316</c:v>
                </c:pt>
                <c:pt idx="17">
                  <c:v>903687.29273995303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482021.37815281149</c:v>
                </c:pt>
                <c:pt idx="20">
                  <c:v>494167.70841044851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28645.000000000004</c:v>
                </c:pt>
                <c:pt idx="2">
                  <c:v>28645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15533219.712531526</c:v>
                </c:pt>
                <c:pt idx="2">
                  <c:v>14871140.288295148</c:v>
                </c:pt>
                <c:pt idx="15">
                  <c:v>14742130.666666664</c:v>
                </c:pt>
                <c:pt idx="16">
                  <c:v>1725913.3013923911</c:v>
                </c:pt>
                <c:pt idx="17">
                  <c:v>1652348.9209216826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196559.60980685451</c:v>
                </c:pt>
                <c:pt idx="11">
                  <c:v>202349.63153877269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2863430.3661416383</c:v>
                </c:pt>
                <c:pt idx="11">
                  <c:v>2859899.9612931921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154246.84100889968</c:v>
                </c:pt>
                <c:pt idx="11">
                  <c:v>158133.66669134353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28521927.915010508</c:v>
                </c:pt>
                <c:pt idx="17">
                  <c:v>27737309.195274569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1108490.5539925825</c:v>
                </c:pt>
                <c:pt idx="16">
                  <c:v>855956.11724253604</c:v>
                </c:pt>
                <c:pt idx="17">
                  <c:v>805860.03783459379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236197.68983003267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166931.44861219462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1108490.5539925825</c:v>
                </c:pt>
                <c:pt idx="1">
                  <c:v>855956.11724253604</c:v>
                </c:pt>
                <c:pt idx="2">
                  <c:v>805860.03783459379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458817.74928054027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35-4E87-A0A8-E14845D561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218475.89285786889</c:v>
                </c:pt>
                <c:pt idx="2">
                  <c:v>226110.4756866793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2821317.759830459</c:v>
                </c:pt>
                <c:pt idx="2">
                  <c:v>2952551.0288410094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1502781.1107008122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22498503.824004248</c:v>
                </c:pt>
                <c:pt idx="2">
                  <c:v>23911523.721627589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2114999.9774601497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2">
                  <c:v>26163.144336591125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952519.64833213156</c:v>
                </c:pt>
                <c:pt idx="2">
                  <c:v>1243684.2219918412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5458842.7210985618</c:v>
                </c:pt>
                <c:pt idx="2">
                  <c:v>5622703.3534848932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827693.20492220437</c:v>
                </c:pt>
                <c:pt idx="1">
                  <c:v>792440.79236345144</c:v>
                </c:pt>
                <c:pt idx="2">
                  <c:v>871392.37125140009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3272565.4875000007</c:v>
                </c:pt>
                <c:pt idx="1">
                  <c:v>469337.14858506783</c:v>
                </c:pt>
                <c:pt idx="2">
                  <c:v>460368.99818827701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1078.6499999999999</c:v>
                </c:pt>
                <c:pt idx="1">
                  <c:v>219.61396718838785</c:v>
                </c:pt>
                <c:pt idx="2">
                  <c:v>226.79530291066658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949345.99548394862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6-C8CE-422F-9AF3-6B6B61CDDA40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1362725.53997907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7-C8CE-422F-9AF3-6B6B61CDDA40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632.81348314511342</c:v>
                </c:pt>
                <c:pt idx="2">
                  <c:v>6705.9786119636192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2E-464B-8225-0220F08942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59.629497759472514</c:v>
                </c:pt>
                <c:pt idx="2">
                  <c:v>63.719282873772414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21.501926063738726</c:v>
                </c:pt>
                <c:pt idx="2">
                  <c:v>20.039498044815318</c:v>
                </c:pt>
                <c:pt idx="3">
                  <c:v>0.45076703431999998</c:v>
                </c:pt>
                <c:pt idx="4">
                  <c:v>0.45076703432000015</c:v>
                </c:pt>
                <c:pt idx="5">
                  <c:v>0.45076703432000009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2.2528620676195708</c:v>
                </c:pt>
                <c:pt idx="2">
                  <c:v>2.3447387190129585</c:v>
                </c:pt>
                <c:pt idx="3">
                  <c:v>5.0922829580050024</c:v>
                </c:pt>
                <c:pt idx="4">
                  <c:v>16.27366559690411</c:v>
                </c:pt>
                <c:pt idx="5">
                  <c:v>16.022658393242192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5.3986394353114884</c:v>
                </c:pt>
                <c:pt idx="2">
                  <c:v>5.5346783341970225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45.11802212469226</c:v>
                </c:pt>
                <c:pt idx="2">
                  <c:v>45.173390358640965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7805831.8694405425</c:v>
                </c:pt>
                <c:pt idx="2">
                  <c:v>8321598.9393502567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1834001.1901776728</c:v>
                </c:pt>
                <c:pt idx="2">
                  <c:v>1714475.0703735081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2496360.7088010199</c:v>
                </c:pt>
                <c:pt idx="2">
                  <c:v>2479453.136644504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1497777.1733240632</c:v>
                </c:pt>
                <c:pt idx="2">
                  <c:v>1498433.9529448485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28</xdr:row>
      <xdr:rowOff>114300</xdr:rowOff>
    </xdr:from>
    <xdr:to>
      <xdr:col>13</xdr:col>
      <xdr:colOff>285750</xdr:colOff>
      <xdr:row>60</xdr:row>
      <xdr:rowOff>88900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450273</xdr:colOff>
      <xdr:row>59</xdr:row>
      <xdr:rowOff>173182</xdr:rowOff>
    </xdr:from>
    <xdr:to>
      <xdr:col>15</xdr:col>
      <xdr:colOff>6061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102</xdr:row>
      <xdr:rowOff>111125</xdr:rowOff>
    </xdr:from>
    <xdr:to>
      <xdr:col>28</xdr:col>
      <xdr:colOff>0</xdr:colOff>
      <xdr:row>133</xdr:row>
      <xdr:rowOff>142876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46200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20844</xdr:rowOff>
    </xdr:from>
    <xdr:to>
      <xdr:col>3</xdr:col>
      <xdr:colOff>42581</xdr:colOff>
      <xdr:row>60</xdr:row>
      <xdr:rowOff>121024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8291</xdr:colOff>
      <xdr:row>18</xdr:row>
      <xdr:rowOff>18939</xdr:rowOff>
    </xdr:from>
    <xdr:to>
      <xdr:col>7</xdr:col>
      <xdr:colOff>546510</xdr:colOff>
      <xdr:row>59</xdr:row>
      <xdr:rowOff>164393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BC47F09-ED04-498B-BC7F-53F156BC51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268940</xdr:colOff>
      <xdr:row>17</xdr:row>
      <xdr:rowOff>156882</xdr:rowOff>
    </xdr:from>
    <xdr:to>
      <xdr:col>14</xdr:col>
      <xdr:colOff>685800</xdr:colOff>
      <xdr:row>49</xdr:row>
      <xdr:rowOff>118558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0CBF99-2CF5-496F-B5D4-BF8C9B9399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367974</xdr:colOff>
      <xdr:row>1</xdr:row>
      <xdr:rowOff>89647</xdr:rowOff>
    </xdr:from>
    <xdr:to>
      <xdr:col>14</xdr:col>
      <xdr:colOff>253254</xdr:colOff>
      <xdr:row>17</xdr:row>
      <xdr:rowOff>13026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7DE2B0C-E916-43A1-B6FD-77BF04CFA1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397809</xdr:colOff>
      <xdr:row>46</xdr:row>
      <xdr:rowOff>80123</xdr:rowOff>
    </xdr:from>
    <xdr:to>
      <xdr:col>15</xdr:col>
      <xdr:colOff>642658</xdr:colOff>
      <xdr:row>67</xdr:row>
      <xdr:rowOff>93009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723ACF8-CA4B-4E8D-BF02-0E98B53C14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257175</xdr:colOff>
      <xdr:row>26</xdr:row>
      <xdr:rowOff>171449</xdr:rowOff>
    </xdr:from>
    <xdr:to>
      <xdr:col>16</xdr:col>
      <xdr:colOff>47625</xdr:colOff>
      <xdr:row>44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15</xdr:col>
      <xdr:colOff>600074</xdr:colOff>
      <xdr:row>27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  <sheetName val="DK-BioRes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Skovtype1</v>
          </cell>
          <cell r="D14" t="str">
            <v>Areal-skovtype1-10</v>
          </cell>
          <cell r="E14" t="str">
            <v>Hektar</v>
          </cell>
          <cell r="F14" t="str">
            <v>Træer</v>
          </cell>
          <cell r="G14" t="str">
            <v>m3</v>
          </cell>
          <cell r="H14">
            <v>0</v>
          </cell>
          <cell r="I14">
            <v>0</v>
          </cell>
          <cell r="J14">
            <v>0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 til energi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CO2 - atmosfære</v>
          </cell>
          <cell r="G16" t="str">
            <v>t CO2-ækvivalenter</v>
          </cell>
          <cell r="H16">
            <v>-2.5</v>
          </cell>
          <cell r="I16">
            <v>-2.5</v>
          </cell>
          <cell r="J16">
            <v>-2.5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Areal-skovtype1-20</v>
          </cell>
          <cell r="E17" t="str">
            <v>Hektar</v>
          </cell>
          <cell r="F17" t="str">
            <v>Træer</v>
          </cell>
          <cell r="G17" t="str">
            <v>m3</v>
          </cell>
          <cell r="H17">
            <v>0</v>
          </cell>
          <cell r="I17">
            <v>0</v>
          </cell>
          <cell r="J17">
            <v>0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Areal-skovtype1-20</v>
          </cell>
          <cell r="E18" t="str">
            <v>Hektar</v>
          </cell>
          <cell r="F18" t="str">
            <v>Træ til energi</v>
          </cell>
          <cell r="G18" t="str">
            <v>m3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CO2 - atmosfære</v>
          </cell>
          <cell r="G19" t="str">
            <v>t CO2-ækvivalenter</v>
          </cell>
          <cell r="H19">
            <v>-5.5</v>
          </cell>
          <cell r="I19">
            <v>-5.5</v>
          </cell>
          <cell r="J19">
            <v>-5.5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Areal-skovtype1-30</v>
          </cell>
          <cell r="E20" t="str">
            <v>Hektar</v>
          </cell>
          <cell r="F20" t="str">
            <v>Træer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Areal-skovtype1-30</v>
          </cell>
          <cell r="E21" t="str">
            <v>Hektar</v>
          </cell>
          <cell r="F21" t="str">
            <v>Træ til energi</v>
          </cell>
          <cell r="G21" t="str">
            <v>m3</v>
          </cell>
          <cell r="H21">
            <v>0</v>
          </cell>
          <cell r="I21">
            <v>0</v>
          </cell>
          <cell r="J21">
            <v>0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Areal-skovtype1-30</v>
          </cell>
          <cell r="E22" t="str">
            <v>Hektar</v>
          </cell>
          <cell r="F22" t="str">
            <v>CO2 - atmosfære</v>
          </cell>
          <cell r="G22" t="str">
            <v>t CO2-ækvivalenter</v>
          </cell>
          <cell r="H22">
            <v>-14</v>
          </cell>
          <cell r="I22">
            <v>-14</v>
          </cell>
          <cell r="J22">
            <v>-14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Areal-skovtype1-40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1.9091716555549518</v>
          </cell>
          <cell r="I23">
            <v>1.9091716555549518</v>
          </cell>
          <cell r="J23">
            <v>1.9091716555549518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Areal-skovtype1-40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0.99732847678243752</v>
          </cell>
          <cell r="I24">
            <v>0.99732847678243752</v>
          </cell>
          <cell r="J24">
            <v>0.99732847678243752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Areal-skovtype1-40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-14.5</v>
          </cell>
          <cell r="I25">
            <v>-14.5</v>
          </cell>
          <cell r="J25">
            <v>-14.5</v>
          </cell>
        </row>
        <row r="26">
          <cell r="A26" t="str">
            <v>Skovproduktion</v>
          </cell>
          <cell r="C26" t="str">
            <v>Skovtype2</v>
          </cell>
          <cell r="D26" t="str">
            <v>Areal-skovtype2-10</v>
          </cell>
          <cell r="E26" t="str">
            <v>Hektar</v>
          </cell>
          <cell r="F26" t="str">
            <v>Træer</v>
          </cell>
          <cell r="G26" t="str">
            <v>m3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Skovtype2</v>
          </cell>
          <cell r="D27" t="str">
            <v>Areal-skovtype2-10</v>
          </cell>
          <cell r="E27" t="str">
            <v>Hektar</v>
          </cell>
          <cell r="F27" t="str">
            <v>Træ til energi</v>
          </cell>
          <cell r="G27" t="str">
            <v>m3</v>
          </cell>
          <cell r="H27">
            <v>0</v>
          </cell>
          <cell r="I27">
            <v>0</v>
          </cell>
          <cell r="J27">
            <v>0</v>
          </cell>
        </row>
        <row r="28">
          <cell r="A28" t="str">
            <v>Skovproduktion</v>
          </cell>
          <cell r="C28" t="str">
            <v>Skovtype2</v>
          </cell>
          <cell r="D28" t="str">
            <v>Areal-skovtype2-10</v>
          </cell>
          <cell r="E28" t="str">
            <v>Hektar</v>
          </cell>
          <cell r="F28" t="str">
            <v>CO2 - atmosfære</v>
          </cell>
          <cell r="G28" t="str">
            <v>t CO2-ækvivalenter</v>
          </cell>
          <cell r="H28">
            <v>-12.5</v>
          </cell>
          <cell r="I28">
            <v>-12.5</v>
          </cell>
          <cell r="J28">
            <v>-12.5</v>
          </cell>
        </row>
        <row r="29">
          <cell r="A29" t="str">
            <v>Skovproduktion</v>
          </cell>
          <cell r="C29" t="str">
            <v>Skovtype2</v>
          </cell>
          <cell r="D29" t="str">
            <v>Areal-skovtype2-20</v>
          </cell>
          <cell r="E29" t="str">
            <v>Hektar</v>
          </cell>
          <cell r="F29" t="str">
            <v>Træer</v>
          </cell>
          <cell r="G29" t="str">
            <v>m3</v>
          </cell>
          <cell r="H29">
            <v>2.2854721106219968</v>
          </cell>
          <cell r="I29">
            <v>2.2854721106219968</v>
          </cell>
          <cell r="J29">
            <v>2.2854721106219968</v>
          </cell>
        </row>
        <row r="30">
          <cell r="A30" t="str">
            <v>Skovproduktion</v>
          </cell>
          <cell r="C30" t="str">
            <v>Skovtype2</v>
          </cell>
          <cell r="D30" t="str">
            <v>Areal-skovtype2-20</v>
          </cell>
          <cell r="E30" t="str">
            <v>Hektar</v>
          </cell>
          <cell r="F30" t="str">
            <v>Træ til energi</v>
          </cell>
          <cell r="G30" t="str">
            <v>m3</v>
          </cell>
          <cell r="H30">
            <v>0.57136802765549921</v>
          </cell>
          <cell r="I30">
            <v>0.57136802765549921</v>
          </cell>
          <cell r="J30">
            <v>0.57136802765549921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Areal-skovtype2-20</v>
          </cell>
          <cell r="E31" t="str">
            <v>Hektar</v>
          </cell>
          <cell r="F31" t="str">
            <v>CO2 - atmosfære</v>
          </cell>
          <cell r="G31" t="str">
            <v>t CO2-ækvivalenter</v>
          </cell>
          <cell r="H31">
            <v>-16</v>
          </cell>
          <cell r="I31">
            <v>-16</v>
          </cell>
          <cell r="J31">
            <v>-16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Areal-skovtype2-30</v>
          </cell>
          <cell r="E32" t="str">
            <v>Hektar</v>
          </cell>
          <cell r="F32" t="str">
            <v>Træer</v>
          </cell>
          <cell r="G32" t="str">
            <v>m3</v>
          </cell>
          <cell r="H32">
            <v>2.4169774503204851</v>
          </cell>
          <cell r="I32">
            <v>2.4169774503204851</v>
          </cell>
          <cell r="J32">
            <v>2.4169774503204851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Areal-skovtype2-30</v>
          </cell>
          <cell r="E33" t="str">
            <v>Hektar</v>
          </cell>
          <cell r="F33" t="str">
            <v>Træ til energi</v>
          </cell>
          <cell r="G33" t="str">
            <v>m3</v>
          </cell>
          <cell r="H33">
            <v>0.83664604049555269</v>
          </cell>
          <cell r="I33">
            <v>0.83664604049555269</v>
          </cell>
          <cell r="J33">
            <v>0.83664604049555269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Areal-skovtype2-30</v>
          </cell>
          <cell r="E34" t="str">
            <v>Hektar</v>
          </cell>
          <cell r="F34" t="str">
            <v>CO2 - atmosfære</v>
          </cell>
          <cell r="G34" t="str">
            <v>t CO2-ækvivalenter</v>
          </cell>
          <cell r="H34">
            <v>-0.5</v>
          </cell>
          <cell r="I34">
            <v>-0.5</v>
          </cell>
          <cell r="J34">
            <v>-0.5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Areal-skovtype2-40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1.1109933871079152</v>
          </cell>
          <cell r="I35">
            <v>1.1109933871079152</v>
          </cell>
          <cell r="J35">
            <v>1.1109933871079152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Areal-skovtype2-40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0.5554966935539577</v>
          </cell>
          <cell r="I36">
            <v>0.5554966935539577</v>
          </cell>
          <cell r="J36">
            <v>0.5554966935539577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Areal-skovtype2-40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-12.5</v>
          </cell>
          <cell r="I37">
            <v>-12.5</v>
          </cell>
          <cell r="J37">
            <v>-12.5</v>
          </cell>
        </row>
        <row r="38">
          <cell r="A38" t="str">
            <v>Skovproduktion</v>
          </cell>
          <cell r="C38" t="str">
            <v>Skovtype3</v>
          </cell>
          <cell r="D38" t="str">
            <v>Areal-skovtype3-10</v>
          </cell>
          <cell r="E38" t="str">
            <v>Hektar</v>
          </cell>
          <cell r="F38" t="str">
            <v>Træer</v>
          </cell>
          <cell r="G38" t="str">
            <v>m3</v>
          </cell>
          <cell r="H38">
            <v>0</v>
          </cell>
          <cell r="I38">
            <v>0</v>
          </cell>
          <cell r="J38">
            <v>0</v>
          </cell>
        </row>
        <row r="39">
          <cell r="A39" t="str">
            <v>Skovproduktion</v>
          </cell>
          <cell r="C39" t="str">
            <v>Skovtype3</v>
          </cell>
          <cell r="D39" t="str">
            <v>Areal-skovtype3-10</v>
          </cell>
          <cell r="E39" t="str">
            <v>Hektar</v>
          </cell>
          <cell r="F39" t="str">
            <v>Træ til energi</v>
          </cell>
          <cell r="G39" t="str">
            <v>m3</v>
          </cell>
          <cell r="H39">
            <v>0</v>
          </cell>
          <cell r="I39">
            <v>0</v>
          </cell>
          <cell r="J39">
            <v>0</v>
          </cell>
        </row>
        <row r="40">
          <cell r="A40" t="str">
            <v>Skovproduktion</v>
          </cell>
          <cell r="C40" t="str">
            <v>Skovtype3</v>
          </cell>
          <cell r="D40" t="str">
            <v>Areal-skovtype3-10</v>
          </cell>
          <cell r="E40" t="str">
            <v>Hektar</v>
          </cell>
          <cell r="F40" t="str">
            <v>CO2 - atmosfære</v>
          </cell>
          <cell r="G40" t="str">
            <v>t CO2-ækvivalenter</v>
          </cell>
          <cell r="H40">
            <v>-2.5</v>
          </cell>
          <cell r="I40">
            <v>-2.5</v>
          </cell>
          <cell r="J40">
            <v>-2.5</v>
          </cell>
        </row>
        <row r="41">
          <cell r="A41" t="str">
            <v>Skovproduktion</v>
          </cell>
          <cell r="C41" t="str">
            <v>Skovtype3</v>
          </cell>
          <cell r="D41" t="str">
            <v>Areal-skovtype3-20</v>
          </cell>
          <cell r="E41" t="str">
            <v>Hektar</v>
          </cell>
          <cell r="F41" t="str">
            <v>Træer</v>
          </cell>
          <cell r="G41" t="str">
            <v>m3</v>
          </cell>
          <cell r="H41">
            <v>0</v>
          </cell>
          <cell r="I41">
            <v>0</v>
          </cell>
          <cell r="J41">
            <v>0</v>
          </cell>
        </row>
        <row r="42">
          <cell r="A42" t="str">
            <v>Skovproduktion</v>
          </cell>
          <cell r="C42" t="str">
            <v>Skovtype3</v>
          </cell>
          <cell r="D42" t="str">
            <v>Areal-skovtype3-20</v>
          </cell>
          <cell r="E42" t="str">
            <v>Hektar</v>
          </cell>
          <cell r="F42" t="str">
            <v>Træ til energi</v>
          </cell>
          <cell r="G42" t="str">
            <v>m3</v>
          </cell>
          <cell r="H42">
            <v>0</v>
          </cell>
          <cell r="I42">
            <v>0</v>
          </cell>
          <cell r="J42">
            <v>0</v>
          </cell>
        </row>
        <row r="43">
          <cell r="A43" t="str">
            <v>Skovproduktion</v>
          </cell>
          <cell r="C43" t="str">
            <v>Skovtype3</v>
          </cell>
          <cell r="D43" t="str">
            <v>Areal-skovtype3-20</v>
          </cell>
          <cell r="E43" t="str">
            <v>Hektar</v>
          </cell>
          <cell r="F43" t="str">
            <v>CO2 - atmosfære</v>
          </cell>
          <cell r="G43" t="str">
            <v>t CO2-ækvivalenter</v>
          </cell>
          <cell r="H43">
            <v>-4.25</v>
          </cell>
          <cell r="I43">
            <v>-4.25</v>
          </cell>
          <cell r="J43">
            <v>-4.25</v>
          </cell>
        </row>
        <row r="44">
          <cell r="A44" t="str">
            <v>Skovproduktion</v>
          </cell>
          <cell r="C44" t="str">
            <v>Skovtype3</v>
          </cell>
          <cell r="D44" t="str">
            <v>Areal-skovtype3-30</v>
          </cell>
          <cell r="E44" t="str">
            <v>Hektar</v>
          </cell>
          <cell r="F44" t="str">
            <v>Træer</v>
          </cell>
          <cell r="G44" t="str">
            <v>m3</v>
          </cell>
          <cell r="H44">
            <v>0</v>
          </cell>
          <cell r="I44">
            <v>0</v>
          </cell>
          <cell r="J44">
            <v>0</v>
          </cell>
        </row>
        <row r="45">
          <cell r="A45" t="str">
            <v>Skovproduktion</v>
          </cell>
          <cell r="C45" t="str">
            <v>Skovtype3</v>
          </cell>
          <cell r="D45" t="str">
            <v>Areal-skovtype3-30</v>
          </cell>
          <cell r="E45" t="str">
            <v>Hektar</v>
          </cell>
          <cell r="F45" t="str">
            <v>Træ til energi</v>
          </cell>
          <cell r="G45" t="str">
            <v>m3</v>
          </cell>
          <cell r="H45">
            <v>0</v>
          </cell>
          <cell r="I45">
            <v>0</v>
          </cell>
          <cell r="J45">
            <v>0</v>
          </cell>
        </row>
        <row r="46">
          <cell r="A46" t="str">
            <v>Skovproduktion</v>
          </cell>
          <cell r="C46" t="str">
            <v>Skovtype3</v>
          </cell>
          <cell r="D46" t="str">
            <v>Areal-skovtype3-30</v>
          </cell>
          <cell r="E46" t="str">
            <v>Hektar</v>
          </cell>
          <cell r="F46" t="str">
            <v>CO2 - atmosfære</v>
          </cell>
          <cell r="G46" t="str">
            <v>t CO2-ækvivalenter</v>
          </cell>
          <cell r="H46">
            <v>-13.75</v>
          </cell>
          <cell r="I46">
            <v>-13.75</v>
          </cell>
          <cell r="J46">
            <v>-13.75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Areal-skovtype3-40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1.3997528151560328</v>
          </cell>
          <cell r="I47">
            <v>1.3997528151560328</v>
          </cell>
          <cell r="J47">
            <v>1.3997528151560328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Areal-skovtype3-40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0.76350153553965439</v>
          </cell>
          <cell r="I48">
            <v>0.76350153553965439</v>
          </cell>
          <cell r="J48">
            <v>0.76350153553965439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Areal-skovtype3-40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-13.25</v>
          </cell>
          <cell r="I49">
            <v>-13.25</v>
          </cell>
          <cell r="J49">
            <v>-13.25</v>
          </cell>
        </row>
        <row r="50">
          <cell r="A50" t="str">
            <v>Skovproduktion</v>
          </cell>
          <cell r="C50" t="str">
            <v>Skovtype4</v>
          </cell>
          <cell r="D50" t="str">
            <v>Areal-skovtype4-10</v>
          </cell>
          <cell r="E50" t="str">
            <v>Hektar</v>
          </cell>
          <cell r="F50" t="str">
            <v>Træer</v>
          </cell>
          <cell r="G50" t="str">
            <v>m3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Skovtype4</v>
          </cell>
          <cell r="D51" t="str">
            <v>Areal-skovtype4-10</v>
          </cell>
          <cell r="E51" t="str">
            <v>Hektar</v>
          </cell>
          <cell r="F51" t="str">
            <v>Træ til energi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Skovtype4</v>
          </cell>
          <cell r="D52" t="str">
            <v>Areal-skovtype4-10</v>
          </cell>
          <cell r="E52" t="str">
            <v>Hektar</v>
          </cell>
          <cell r="F52" t="str">
            <v>CO2 - atmosfære</v>
          </cell>
          <cell r="G52" t="str">
            <v>t CO2-ækvivalenter</v>
          </cell>
          <cell r="H52">
            <v>-9.5</v>
          </cell>
          <cell r="I52">
            <v>-9.5</v>
          </cell>
          <cell r="J52">
            <v>-9.5</v>
          </cell>
        </row>
        <row r="53">
          <cell r="A53" t="str">
            <v>Skovproduktion</v>
          </cell>
          <cell r="C53" t="str">
            <v>Skovtype4</v>
          </cell>
          <cell r="D53" t="str">
            <v>Areal-skovtype4-20</v>
          </cell>
          <cell r="E53" t="str">
            <v>Hektar</v>
          </cell>
          <cell r="F53" t="str">
            <v>Træer</v>
          </cell>
          <cell r="G53" t="str">
            <v>m3</v>
          </cell>
          <cell r="H53">
            <v>0.5803853136012822</v>
          </cell>
          <cell r="I53">
            <v>0.5803853136012822</v>
          </cell>
          <cell r="J53">
            <v>0.5803853136012822</v>
          </cell>
        </row>
        <row r="54">
          <cell r="A54" t="str">
            <v>Skovproduktion</v>
          </cell>
          <cell r="C54" t="str">
            <v>Skovtype4</v>
          </cell>
          <cell r="D54" t="str">
            <v>Areal-skovtype4-20</v>
          </cell>
          <cell r="E54" t="str">
            <v>Hektar</v>
          </cell>
          <cell r="F54" t="str">
            <v>Træ til energi</v>
          </cell>
          <cell r="G54" t="str">
            <v>m3</v>
          </cell>
          <cell r="H54">
            <v>2.0313485976044867</v>
          </cell>
          <cell r="I54">
            <v>2.0313485976044867</v>
          </cell>
          <cell r="J54">
            <v>2.0313485976044867</v>
          </cell>
        </row>
        <row r="55">
          <cell r="A55" t="str">
            <v>Skovproduktion</v>
          </cell>
          <cell r="C55" t="str">
            <v>Skovtype4</v>
          </cell>
          <cell r="D55" t="str">
            <v>Areal-skovtype4-20</v>
          </cell>
          <cell r="E55" t="str">
            <v>Hektar</v>
          </cell>
          <cell r="F55" t="str">
            <v>CO2 - atmosfære</v>
          </cell>
          <cell r="G55" t="str">
            <v>t CO2-ækvivalenter</v>
          </cell>
          <cell r="H55">
            <v>-8</v>
          </cell>
          <cell r="I55">
            <v>-8</v>
          </cell>
          <cell r="J55">
            <v>-8</v>
          </cell>
        </row>
        <row r="56">
          <cell r="A56" t="str">
            <v>Skovproduktion</v>
          </cell>
          <cell r="C56" t="str">
            <v>Skovtype4</v>
          </cell>
          <cell r="D56" t="str">
            <v>Areal-skovtype4-30</v>
          </cell>
          <cell r="E56" t="str">
            <v>Hektar</v>
          </cell>
          <cell r="F56" t="str">
            <v>Træer</v>
          </cell>
          <cell r="G56" t="str">
            <v>m3</v>
          </cell>
          <cell r="H56">
            <v>0.62472030283471314</v>
          </cell>
          <cell r="I56">
            <v>0.62472030283471314</v>
          </cell>
          <cell r="J56">
            <v>0.62472030283471314</v>
          </cell>
        </row>
        <row r="57">
          <cell r="A57" t="str">
            <v>Skovproduktion</v>
          </cell>
          <cell r="C57" t="str">
            <v>Skovtype4</v>
          </cell>
          <cell r="D57" t="str">
            <v>Areal-skovtype4-30</v>
          </cell>
          <cell r="E57" t="str">
            <v>Hektar</v>
          </cell>
          <cell r="F57" t="str">
            <v>Træ til energi</v>
          </cell>
          <cell r="G57" t="str">
            <v>m3</v>
          </cell>
          <cell r="H57">
            <v>0.8262429811684916</v>
          </cell>
          <cell r="I57">
            <v>0.8262429811684916</v>
          </cell>
          <cell r="J57">
            <v>0.8262429811684916</v>
          </cell>
        </row>
        <row r="58">
          <cell r="A58" t="str">
            <v>Skovproduktion</v>
          </cell>
          <cell r="C58" t="str">
            <v>Skovtype4</v>
          </cell>
          <cell r="D58" t="str">
            <v>Areal-skovtype4-30</v>
          </cell>
          <cell r="E58" t="str">
            <v>Hektar</v>
          </cell>
          <cell r="F58" t="str">
            <v>CO2 - atmosfære</v>
          </cell>
          <cell r="G58" t="str">
            <v>t CO2-ækvivalenter</v>
          </cell>
          <cell r="H58">
            <v>-4.5</v>
          </cell>
          <cell r="I58">
            <v>-4.5</v>
          </cell>
          <cell r="J58">
            <v>-4.5</v>
          </cell>
        </row>
        <row r="59">
          <cell r="A59" t="str">
            <v>Skovproduktion</v>
          </cell>
          <cell r="C59" t="str">
            <v>Skovtype4</v>
          </cell>
          <cell r="D59" t="str">
            <v>Areal-skovtype4-40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0.51637222754231693</v>
          </cell>
          <cell r="I59">
            <v>0.51637222754231693</v>
          </cell>
          <cell r="J59">
            <v>0.51637222754231693</v>
          </cell>
        </row>
        <row r="60">
          <cell r="A60" t="str">
            <v>Skovproduktion</v>
          </cell>
          <cell r="C60" t="str">
            <v>Skovtype4</v>
          </cell>
          <cell r="D60" t="str">
            <v>Areal-skovtype4-40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0.28165757865944563</v>
          </cell>
          <cell r="I60">
            <v>0.28165757865944563</v>
          </cell>
          <cell r="J60">
            <v>0.28165757865944563</v>
          </cell>
        </row>
        <row r="61">
          <cell r="A61" t="str">
            <v>Skovproduktion</v>
          </cell>
          <cell r="C61" t="str">
            <v>Skovtype4</v>
          </cell>
          <cell r="D61" t="str">
            <v>Areal-skovtype4-40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</v>
          </cell>
          <cell r="I61">
            <v>-13</v>
          </cell>
          <cell r="J61">
            <v>-13</v>
          </cell>
        </row>
        <row r="62">
          <cell r="A62" t="str">
            <v>Skovproduktion</v>
          </cell>
          <cell r="C62" t="str">
            <v>Skovtype5</v>
          </cell>
          <cell r="D62" t="str">
            <v>Areal-skovtype5-10</v>
          </cell>
          <cell r="E62" t="str">
            <v>Hektar</v>
          </cell>
          <cell r="F62" t="str">
            <v>Træer</v>
          </cell>
          <cell r="G62" t="str">
            <v>m3</v>
          </cell>
          <cell r="H62">
            <v>0</v>
          </cell>
          <cell r="I62">
            <v>0</v>
          </cell>
          <cell r="J62">
            <v>0</v>
          </cell>
        </row>
        <row r="63">
          <cell r="A63" t="str">
            <v>Skovproduktion</v>
          </cell>
          <cell r="C63" t="str">
            <v>Skovtype5</v>
          </cell>
          <cell r="D63" t="str">
            <v>Areal-skovtype5-10</v>
          </cell>
          <cell r="E63" t="str">
            <v>Hektar</v>
          </cell>
          <cell r="F63" t="str">
            <v>Træ til energi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Skovtype5</v>
          </cell>
          <cell r="D64" t="str">
            <v>Areal-skovtype5-10</v>
          </cell>
          <cell r="E64" t="str">
            <v>Hektar</v>
          </cell>
          <cell r="F64" t="str">
            <v>CO2 - atmosfære</v>
          </cell>
          <cell r="G64" t="str">
            <v>t CO2-ækvivalenter</v>
          </cell>
          <cell r="H64">
            <v>-2.6666666666666665</v>
          </cell>
          <cell r="I64">
            <v>-2.6666666666666665</v>
          </cell>
          <cell r="J64">
            <v>-2.6666666666666665</v>
          </cell>
        </row>
        <row r="65">
          <cell r="A65" t="str">
            <v>Skovproduktion</v>
          </cell>
          <cell r="C65" t="str">
            <v>Skovtype5</v>
          </cell>
          <cell r="D65" t="str">
            <v>Areal-skovtype5-20</v>
          </cell>
          <cell r="E65" t="str">
            <v>Hektar</v>
          </cell>
          <cell r="F65" t="str">
            <v>Træer</v>
          </cell>
          <cell r="G65" t="str">
            <v>m3</v>
          </cell>
          <cell r="H65">
            <v>0</v>
          </cell>
          <cell r="I65">
            <v>0</v>
          </cell>
          <cell r="J65">
            <v>0</v>
          </cell>
        </row>
        <row r="66">
          <cell r="A66" t="str">
            <v>Skovproduktion</v>
          </cell>
          <cell r="C66" t="str">
            <v>Skovtype5</v>
          </cell>
          <cell r="D66" t="str">
            <v>Areal-skovtype5-20</v>
          </cell>
          <cell r="E66" t="str">
            <v>Hektar</v>
          </cell>
          <cell r="F66" t="str">
            <v>Træ til energi</v>
          </cell>
          <cell r="G66" t="str">
            <v>m3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Skovtype5</v>
          </cell>
          <cell r="D67" t="str">
            <v>Areal-skovtype5-20</v>
          </cell>
          <cell r="E67" t="str">
            <v>Hektar</v>
          </cell>
          <cell r="F67" t="str">
            <v>CO2 - atmosfære</v>
          </cell>
          <cell r="G67" t="str">
            <v>t CO2-ækvivalenter</v>
          </cell>
          <cell r="H67">
            <v>-2.6666666666666665</v>
          </cell>
          <cell r="I67">
            <v>-2.6666666666666665</v>
          </cell>
          <cell r="J67">
            <v>-2.6666666666666665</v>
          </cell>
        </row>
        <row r="68">
          <cell r="A68" t="str">
            <v>Skovproduktion</v>
          </cell>
          <cell r="C68" t="str">
            <v>Skovtype5</v>
          </cell>
          <cell r="D68" t="str">
            <v>Areal-skovtype5-30</v>
          </cell>
          <cell r="E68" t="str">
            <v>Hektar</v>
          </cell>
          <cell r="F68" t="str">
            <v>Træer</v>
          </cell>
          <cell r="G68" t="str">
            <v>m3</v>
          </cell>
          <cell r="H68">
            <v>0.17075688277482162</v>
          </cell>
          <cell r="I68">
            <v>0.17075688277482162</v>
          </cell>
          <cell r="J68">
            <v>0.17075688277482162</v>
          </cell>
        </row>
        <row r="69">
          <cell r="A69" t="str">
            <v>Skovproduktion</v>
          </cell>
          <cell r="C69" t="str">
            <v>Skovtype5</v>
          </cell>
          <cell r="D69" t="str">
            <v>Areal-skovtype5-30</v>
          </cell>
          <cell r="E69" t="str">
            <v>Hektar</v>
          </cell>
          <cell r="F69" t="str">
            <v>Træ til energi</v>
          </cell>
          <cell r="G69" t="str">
            <v>m3</v>
          </cell>
          <cell r="H69">
            <v>0.22583974818605437</v>
          </cell>
          <cell r="I69">
            <v>0.22583974818605437</v>
          </cell>
          <cell r="J69">
            <v>0.22583974818605437</v>
          </cell>
        </row>
        <row r="70">
          <cell r="A70" t="str">
            <v>Skovproduktion</v>
          </cell>
          <cell r="C70" t="str">
            <v>Skovtype5</v>
          </cell>
          <cell r="D70" t="str">
            <v>Areal-skovtype5-30</v>
          </cell>
          <cell r="E70" t="str">
            <v>Hektar</v>
          </cell>
          <cell r="F70" t="str">
            <v>CO2 - atmosfære</v>
          </cell>
          <cell r="G70" t="str">
            <v>t CO2-ækvivalenter</v>
          </cell>
          <cell r="H70">
            <v>-3.3333333333333335</v>
          </cell>
          <cell r="I70">
            <v>-3.3333333333333335</v>
          </cell>
          <cell r="J70">
            <v>-3.3333333333333335</v>
          </cell>
        </row>
        <row r="71">
          <cell r="A71" t="str">
            <v>Skovproduktion</v>
          </cell>
          <cell r="C71" t="str">
            <v>Skovtype5</v>
          </cell>
          <cell r="D71" t="str">
            <v>Areal-skovtype5-40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2.0529707955621812</v>
          </cell>
          <cell r="I71">
            <v>2.0529707955621812</v>
          </cell>
          <cell r="J71">
            <v>2.0529707955621812</v>
          </cell>
        </row>
        <row r="72">
          <cell r="A72" t="str">
            <v>Skovproduktion</v>
          </cell>
          <cell r="C72" t="str">
            <v>Skovtype5</v>
          </cell>
          <cell r="D72" t="str">
            <v>Areal-skovtype5-40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1.1198022521248263</v>
          </cell>
          <cell r="I72">
            <v>1.1198022521248263</v>
          </cell>
          <cell r="J72">
            <v>1.1198022521248263</v>
          </cell>
        </row>
        <row r="73">
          <cell r="A73" t="str">
            <v>Skovproduktion</v>
          </cell>
          <cell r="C73" t="str">
            <v>Skovtype5</v>
          </cell>
          <cell r="D73" t="str">
            <v>Areal-skovtype5-40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-4.333333333333333</v>
          </cell>
          <cell r="I73">
            <v>-4.333333333333333</v>
          </cell>
          <cell r="J73">
            <v>-4.333333333333333</v>
          </cell>
        </row>
        <row r="74">
          <cell r="A74" t="str">
            <v>Grisestald</v>
          </cell>
          <cell r="B74" t="str">
            <v>Konventionel</v>
          </cell>
          <cell r="D74" t="str">
            <v>Svin</v>
          </cell>
          <cell r="E74" t="str">
            <v>Antal</v>
          </cell>
          <cell r="F74" t="str">
            <v>Slagtesvin</v>
          </cell>
          <cell r="G74" t="str">
            <v>Antal</v>
          </cell>
          <cell r="H74">
            <v>1.3861685078371839</v>
          </cell>
          <cell r="I74">
            <v>1.3861685078371839</v>
          </cell>
          <cell r="J74">
            <v>1.3861685078371839</v>
          </cell>
        </row>
        <row r="75">
          <cell r="A75" t="str">
            <v>Grisestald</v>
          </cell>
          <cell r="B75" t="str">
            <v>Konventionel</v>
          </cell>
          <cell r="D75" t="str">
            <v>Svin</v>
          </cell>
          <cell r="E75" t="str">
            <v>Antal</v>
          </cell>
          <cell r="F75" t="str">
            <v>Svinegylle</v>
          </cell>
          <cell r="G75" t="str">
            <v>Ton</v>
          </cell>
          <cell r="H75">
            <v>1.4953335295833323</v>
          </cell>
          <cell r="I75">
            <v>1.4953335295833323</v>
          </cell>
          <cell r="J75">
            <v>1.4953335295833323</v>
          </cell>
        </row>
        <row r="76">
          <cell r="A76" t="str">
            <v>Grisestald</v>
          </cell>
          <cell r="B76" t="str">
            <v>Konventionel</v>
          </cell>
          <cell r="D76" t="str">
            <v>Svin</v>
          </cell>
          <cell r="E76" t="str">
            <v>Antal</v>
          </cell>
          <cell r="F76" t="str">
            <v>Dybstrøelse</v>
          </cell>
          <cell r="G76" t="str">
            <v>Ton</v>
          </cell>
          <cell r="H76">
            <v>0.19169096925932338</v>
          </cell>
          <cell r="I76">
            <v>0.19169096925932338</v>
          </cell>
          <cell r="J76">
            <v>0.19169096925932338</v>
          </cell>
        </row>
        <row r="77">
          <cell r="A77" t="str">
            <v>Grisestald</v>
          </cell>
          <cell r="B77" t="str">
            <v>Konventionel</v>
          </cell>
          <cell r="D77" t="str">
            <v>Svin</v>
          </cell>
          <cell r="E77" t="str">
            <v>Antal</v>
          </cell>
          <cell r="F77" t="str">
            <v>Industriaffald</v>
          </cell>
          <cell r="G77" t="str">
            <v>Ton</v>
          </cell>
          <cell r="H77">
            <v>1.5668203052737979E-2</v>
          </cell>
          <cell r="I77">
            <v>1.5668203052737979E-2</v>
          </cell>
          <cell r="J77">
            <v>1.5668203052737979E-2</v>
          </cell>
        </row>
        <row r="78">
          <cell r="A78" t="str">
            <v>Grisestald</v>
          </cell>
          <cell r="B78" t="str">
            <v>Konventionel</v>
          </cell>
          <cell r="D78" t="str">
            <v>Svin</v>
          </cell>
          <cell r="E78" t="str">
            <v>Antal</v>
          </cell>
          <cell r="F78" t="str">
            <v>Foder</v>
          </cell>
          <cell r="G78" t="str">
            <v>FE</v>
          </cell>
          <cell r="H78">
            <v>-855.47</v>
          </cell>
          <cell r="I78">
            <v>-855.47</v>
          </cell>
          <cell r="J78">
            <v>-855.47</v>
          </cell>
        </row>
        <row r="79">
          <cell r="A79" t="str">
            <v>Grisestald</v>
          </cell>
          <cell r="B79" t="str">
            <v>Konventionel</v>
          </cell>
          <cell r="D79" t="str">
            <v>Svin</v>
          </cell>
          <cell r="E79" t="str">
            <v>Antal</v>
          </cell>
          <cell r="F79" t="str">
            <v>Halm</v>
          </cell>
          <cell r="G79" t="str">
            <v>Ton</v>
          </cell>
          <cell r="H79">
            <v>-6.5699999999999995E-2</v>
          </cell>
          <cell r="I79">
            <v>-6.5699999999999995E-2</v>
          </cell>
          <cell r="J79">
            <v>-6.5699999999999995E-2</v>
          </cell>
        </row>
        <row r="80">
          <cell r="A80" t="str">
            <v>Grisestald</v>
          </cell>
          <cell r="B80" t="str">
            <v>Konventionel</v>
          </cell>
          <cell r="D80" t="str">
            <v>Svin</v>
          </cell>
          <cell r="E80" t="str">
            <v>Antal</v>
          </cell>
          <cell r="F80" t="str">
            <v>CO2 - atmosfære</v>
          </cell>
          <cell r="G80" t="str">
            <v>t CO2-ækvivalenter</v>
          </cell>
          <cell r="H80">
            <v>0.11202449132751124</v>
          </cell>
          <cell r="I80">
            <v>0.11202449132751124</v>
          </cell>
          <cell r="J80">
            <v>0.11202449132751124</v>
          </cell>
        </row>
        <row r="81">
          <cell r="A81" t="str">
            <v>Grisestald</v>
          </cell>
          <cell r="B81" t="str">
            <v>Økologisk</v>
          </cell>
          <cell r="D81" t="str">
            <v>Svin</v>
          </cell>
          <cell r="E81" t="str">
            <v>Antal</v>
          </cell>
          <cell r="F81" t="str">
            <v>Slagtesvin</v>
          </cell>
          <cell r="G81" t="str">
            <v>Antal</v>
          </cell>
          <cell r="H81">
            <v>0.47263527552126194</v>
          </cell>
          <cell r="I81">
            <v>0.47263527552126194</v>
          </cell>
          <cell r="J81">
            <v>0.47263527552126194</v>
          </cell>
        </row>
        <row r="82">
          <cell r="A82" t="str">
            <v>Grisestald</v>
          </cell>
          <cell r="B82" t="str">
            <v>Økologisk</v>
          </cell>
          <cell r="D82" t="str">
            <v>Svin</v>
          </cell>
          <cell r="E82" t="str">
            <v>Antal</v>
          </cell>
          <cell r="F82" t="str">
            <v>Svinegylle</v>
          </cell>
          <cell r="G82" t="str">
            <v>Ton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Grisestald</v>
          </cell>
          <cell r="B83" t="str">
            <v>Økologisk</v>
          </cell>
          <cell r="D83" t="str">
            <v>Svin</v>
          </cell>
          <cell r="E83" t="str">
            <v>Antal</v>
          </cell>
          <cell r="F83" t="str">
            <v>Dybstrøelse</v>
          </cell>
          <cell r="G83" t="str">
            <v>Ton</v>
          </cell>
          <cell r="H83">
            <v>0.51229925609666671</v>
          </cell>
          <cell r="I83">
            <v>0.51229925609666671</v>
          </cell>
          <cell r="J83">
            <v>0.51229925609666671</v>
          </cell>
        </row>
        <row r="84">
          <cell r="A84" t="str">
            <v>Grisestald</v>
          </cell>
          <cell r="B84" t="str">
            <v>Økologisk</v>
          </cell>
          <cell r="D84" t="str">
            <v>Svin</v>
          </cell>
          <cell r="E84" t="str">
            <v>Antal</v>
          </cell>
          <cell r="F84" t="str">
            <v>Industriaffald</v>
          </cell>
          <cell r="G84" t="str">
            <v>Ton</v>
          </cell>
          <cell r="H84">
            <v>1.5668203052737979E-2</v>
          </cell>
          <cell r="I84">
            <v>1.5668203052737979E-2</v>
          </cell>
          <cell r="J84">
            <v>1.5668203052737979E-2</v>
          </cell>
        </row>
        <row r="85">
          <cell r="A85" t="str">
            <v>Grisestald</v>
          </cell>
          <cell r="B85" t="str">
            <v>Økologisk</v>
          </cell>
          <cell r="D85" t="str">
            <v>Svin</v>
          </cell>
          <cell r="E85" t="str">
            <v>Antal</v>
          </cell>
          <cell r="F85" t="str">
            <v>Foder</v>
          </cell>
          <cell r="G85" t="str">
            <v>FE</v>
          </cell>
          <cell r="H85">
            <v>-855.47</v>
          </cell>
          <cell r="I85">
            <v>-855.47</v>
          </cell>
          <cell r="J85">
            <v>-855.47</v>
          </cell>
        </row>
        <row r="86">
          <cell r="A86" t="str">
            <v>Grisestald</v>
          </cell>
          <cell r="B86" t="str">
            <v>Økologisk</v>
          </cell>
          <cell r="D86" t="str">
            <v>Svin</v>
          </cell>
          <cell r="E86" t="str">
            <v>Antal</v>
          </cell>
          <cell r="F86" t="str">
            <v>Halm</v>
          </cell>
          <cell r="G86" t="str">
            <v>Ton</v>
          </cell>
          <cell r="H86">
            <v>-5.7750000000000003E-2</v>
          </cell>
          <cell r="I86">
            <v>-5.7750000000000003E-2</v>
          </cell>
          <cell r="J86">
            <v>-5.7750000000000003E-2</v>
          </cell>
        </row>
        <row r="87">
          <cell r="A87" t="str">
            <v>Grisestald</v>
          </cell>
          <cell r="B87" t="str">
            <v>Økologisk</v>
          </cell>
          <cell r="D87" t="str">
            <v>Svin</v>
          </cell>
          <cell r="E87" t="str">
            <v>Antal</v>
          </cell>
          <cell r="F87" t="str">
            <v>CO2 - atmosfære</v>
          </cell>
          <cell r="G87" t="str">
            <v>t CO2-ækvivalenter</v>
          </cell>
          <cell r="H87">
            <v>0.12322694046026236</v>
          </cell>
          <cell r="I87">
            <v>0.12322694046026236</v>
          </cell>
          <cell r="J87">
            <v>0.12322694046026236</v>
          </cell>
        </row>
        <row r="88">
          <cell r="A88" t="str">
            <v>Kostald</v>
          </cell>
          <cell r="B88" t="str">
            <v>Konventionel</v>
          </cell>
          <cell r="D88" t="str">
            <v>Køer</v>
          </cell>
          <cell r="E88" t="str">
            <v>Antal</v>
          </cell>
          <cell r="F88" t="str">
            <v>Slagtekøer</v>
          </cell>
          <cell r="G88" t="str">
            <v>Antal</v>
          </cell>
          <cell r="H88">
            <v>0.34772753819004898</v>
          </cell>
          <cell r="I88">
            <v>0.34772753819004898</v>
          </cell>
          <cell r="J88">
            <v>0.34772753819004898</v>
          </cell>
        </row>
        <row r="89">
          <cell r="A89" t="str">
            <v>Kostald</v>
          </cell>
          <cell r="B89" t="str">
            <v>Konventionel</v>
          </cell>
          <cell r="D89" t="str">
            <v>Køer</v>
          </cell>
          <cell r="E89" t="str">
            <v>Antal</v>
          </cell>
          <cell r="F89" t="str">
            <v>Kvæggylle</v>
          </cell>
          <cell r="G89" t="str">
            <v>Ton</v>
          </cell>
          <cell r="H89">
            <v>10.090491238149957</v>
          </cell>
          <cell r="I89">
            <v>10.090491238149957</v>
          </cell>
          <cell r="J89">
            <v>10.090491238149957</v>
          </cell>
        </row>
        <row r="90">
          <cell r="A90" t="str">
            <v>Kostald</v>
          </cell>
          <cell r="B90" t="str">
            <v>Konventionel</v>
          </cell>
          <cell r="D90" t="str">
            <v>Køer</v>
          </cell>
          <cell r="E90" t="str">
            <v>Antal</v>
          </cell>
          <cell r="F90" t="str">
            <v>Dybstrøelse</v>
          </cell>
          <cell r="G90" t="str">
            <v>Ton</v>
          </cell>
          <cell r="H90">
            <v>0.19774537441874415</v>
          </cell>
          <cell r="I90">
            <v>0.19774537441874415</v>
          </cell>
          <cell r="J90">
            <v>0.19774537441874415</v>
          </cell>
        </row>
        <row r="91">
          <cell r="A91" t="str">
            <v>Kostald</v>
          </cell>
          <cell r="B91" t="str">
            <v>Konventionel</v>
          </cell>
          <cell r="D91" t="str">
            <v>Køer</v>
          </cell>
          <cell r="E91" t="str">
            <v>Antal</v>
          </cell>
          <cell r="F91" t="str">
            <v>Råmælk</v>
          </cell>
          <cell r="G91" t="str">
            <v>Ton</v>
          </cell>
          <cell r="H91">
            <v>3.7771765723503732</v>
          </cell>
          <cell r="I91">
            <v>3.7771765723503732</v>
          </cell>
          <cell r="J91">
            <v>3.7771765723503732</v>
          </cell>
        </row>
        <row r="92">
          <cell r="A92" t="str">
            <v>Kostald</v>
          </cell>
          <cell r="B92" t="str">
            <v>Konventionel</v>
          </cell>
          <cell r="D92" t="str">
            <v>Køer</v>
          </cell>
          <cell r="E92" t="str">
            <v>Antal</v>
          </cell>
          <cell r="F92" t="str">
            <v>Industriaffald</v>
          </cell>
          <cell r="G92" t="str">
            <v>Ton</v>
          </cell>
          <cell r="H92">
            <v>4.3029625219252375E-2</v>
          </cell>
          <cell r="I92">
            <v>4.3029625219252375E-2</v>
          </cell>
          <cell r="J92">
            <v>4.3029625219252375E-2</v>
          </cell>
        </row>
        <row r="93">
          <cell r="A93" t="str">
            <v>Kostald</v>
          </cell>
          <cell r="B93" t="str">
            <v>Konventionel</v>
          </cell>
          <cell r="D93" t="str">
            <v>Køer</v>
          </cell>
          <cell r="E93" t="str">
            <v>Antal</v>
          </cell>
          <cell r="F93" t="str">
            <v>Foder</v>
          </cell>
          <cell r="G93" t="str">
            <v>FE</v>
          </cell>
          <cell r="H93">
            <v>-2618</v>
          </cell>
          <cell r="I93">
            <v>-2618</v>
          </cell>
          <cell r="J93">
            <v>-2618</v>
          </cell>
        </row>
        <row r="94">
          <cell r="A94" t="str">
            <v>Kostald</v>
          </cell>
          <cell r="B94" t="str">
            <v>Konventionel</v>
          </cell>
          <cell r="D94" t="str">
            <v>Køer</v>
          </cell>
          <cell r="E94" t="str">
            <v>Antal</v>
          </cell>
          <cell r="F94" t="str">
            <v>Halm</v>
          </cell>
          <cell r="G94" t="str">
            <v>Ton</v>
          </cell>
          <cell r="H94">
            <v>-1.095E-2</v>
          </cell>
          <cell r="I94">
            <v>-1.095E-2</v>
          </cell>
          <cell r="J94">
            <v>-1.095E-2</v>
          </cell>
        </row>
        <row r="95">
          <cell r="A95" t="str">
            <v>Kostald</v>
          </cell>
          <cell r="B95" t="str">
            <v>Konventionel</v>
          </cell>
          <cell r="D95" t="str">
            <v>Køer</v>
          </cell>
          <cell r="E95" t="str">
            <v>Antal</v>
          </cell>
          <cell r="F95" t="str">
            <v>CO2 - atmosfære</v>
          </cell>
          <cell r="G95" t="str">
            <v>t CO2-ækvivalenter</v>
          </cell>
          <cell r="H95">
            <v>2.831717934524296</v>
          </cell>
          <cell r="I95">
            <v>2.831717934524296</v>
          </cell>
          <cell r="J95">
            <v>2.831717934524296</v>
          </cell>
        </row>
        <row r="96">
          <cell r="A96" t="str">
            <v>Kostald</v>
          </cell>
          <cell r="B96" t="str">
            <v>Økologisk</v>
          </cell>
          <cell r="D96" t="str">
            <v>Køer</v>
          </cell>
          <cell r="E96" t="str">
            <v>Antal</v>
          </cell>
          <cell r="F96" t="str">
            <v>Slagtekøer</v>
          </cell>
          <cell r="G96" t="str">
            <v>Antal</v>
          </cell>
          <cell r="H96">
            <v>0.10430224472694208</v>
          </cell>
          <cell r="I96">
            <v>0.10430224472694208</v>
          </cell>
          <cell r="J96">
            <v>0.10430224472694208</v>
          </cell>
        </row>
        <row r="97">
          <cell r="A97" t="str">
            <v>Kostald</v>
          </cell>
          <cell r="B97" t="str">
            <v>Økologisk</v>
          </cell>
          <cell r="D97" t="str">
            <v>Køer</v>
          </cell>
          <cell r="E97" t="str">
            <v>Antal</v>
          </cell>
          <cell r="F97" t="str">
            <v>Kvæggylle</v>
          </cell>
          <cell r="G97" t="str">
            <v>Ton</v>
          </cell>
          <cell r="H97">
            <v>5.636332840052062</v>
          </cell>
          <cell r="I97">
            <v>5.636332840052062</v>
          </cell>
          <cell r="J97">
            <v>5.636332840052062</v>
          </cell>
        </row>
        <row r="98">
          <cell r="A98" t="str">
            <v>Kostald</v>
          </cell>
          <cell r="B98" t="str">
            <v>Økologisk</v>
          </cell>
          <cell r="D98" t="str">
            <v>Køer</v>
          </cell>
          <cell r="E98" t="str">
            <v>Antal</v>
          </cell>
          <cell r="F98" t="str">
            <v>Dybstrøelse</v>
          </cell>
          <cell r="G98" t="str">
            <v>Ton</v>
          </cell>
          <cell r="H98">
            <v>4.6534847647404926E-2</v>
          </cell>
          <cell r="I98">
            <v>4.6534847647404926E-2</v>
          </cell>
          <cell r="J98">
            <v>4.6534847647404926E-2</v>
          </cell>
        </row>
        <row r="99">
          <cell r="A99" t="str">
            <v>Kostald</v>
          </cell>
          <cell r="B99" t="str">
            <v>Økologisk</v>
          </cell>
          <cell r="D99" t="str">
            <v>Køer</v>
          </cell>
          <cell r="E99" t="str">
            <v>Antal</v>
          </cell>
          <cell r="F99" t="str">
            <v>Råmælk</v>
          </cell>
          <cell r="G99" t="str">
            <v>Ton</v>
          </cell>
          <cell r="H99">
            <v>2.1529053078253426</v>
          </cell>
          <cell r="I99">
            <v>2.1529053078253426</v>
          </cell>
          <cell r="J99">
            <v>2.1529053078253426</v>
          </cell>
        </row>
        <row r="100">
          <cell r="A100" t="str">
            <v>Kostald</v>
          </cell>
          <cell r="B100" t="str">
            <v>Økologisk</v>
          </cell>
          <cell r="D100" t="str">
            <v>Køer</v>
          </cell>
          <cell r="E100" t="str">
            <v>Antal</v>
          </cell>
          <cell r="F100" t="str">
            <v>Industriaffald</v>
          </cell>
          <cell r="G100" t="str">
            <v>Ton</v>
          </cell>
          <cell r="H100">
            <v>4.3029625219252375E-2</v>
          </cell>
          <cell r="I100">
            <v>4.3029625219252375E-2</v>
          </cell>
          <cell r="J100">
            <v>4.3029625219252375E-2</v>
          </cell>
        </row>
        <row r="101">
          <cell r="A101" t="str">
            <v>Kostald</v>
          </cell>
          <cell r="B101" t="str">
            <v>Økologisk</v>
          </cell>
          <cell r="D101" t="str">
            <v>Køer</v>
          </cell>
          <cell r="E101" t="str">
            <v>Antal</v>
          </cell>
          <cell r="F101" t="str">
            <v>Foder</v>
          </cell>
          <cell r="G101" t="str">
            <v>FE</v>
          </cell>
          <cell r="H101">
            <v>-2618</v>
          </cell>
          <cell r="I101">
            <v>-2618</v>
          </cell>
          <cell r="J101">
            <v>-2618</v>
          </cell>
        </row>
        <row r="102">
          <cell r="A102" t="str">
            <v>Kostald</v>
          </cell>
          <cell r="B102" t="str">
            <v>Økologisk</v>
          </cell>
          <cell r="D102" t="str">
            <v>Køer</v>
          </cell>
          <cell r="E102" t="str">
            <v>Antal</v>
          </cell>
          <cell r="F102" t="str">
            <v>Halm</v>
          </cell>
          <cell r="G102" t="str">
            <v>Ton</v>
          </cell>
          <cell r="H102">
            <v>-1.32E-2</v>
          </cell>
          <cell r="I102">
            <v>-1.32E-2</v>
          </cell>
          <cell r="J102">
            <v>-1.32E-2</v>
          </cell>
        </row>
        <row r="103">
          <cell r="A103" t="str">
            <v>Kostald</v>
          </cell>
          <cell r="B103" t="str">
            <v>Økologisk</v>
          </cell>
          <cell r="D103" t="str">
            <v>Køer</v>
          </cell>
          <cell r="E103" t="str">
            <v>Antal</v>
          </cell>
          <cell r="F103" t="str">
            <v>CO2 - atmosfære</v>
          </cell>
          <cell r="G103" t="str">
            <v>t CO2-ækvivalenter</v>
          </cell>
          <cell r="H103">
            <v>2.3680201988872902</v>
          </cell>
          <cell r="I103">
            <v>2.3680201988872902</v>
          </cell>
          <cell r="J103">
            <v>2.3680201988872902</v>
          </cell>
        </row>
        <row r="104">
          <cell r="A104" t="str">
            <v>Fjerkræbrug</v>
          </cell>
          <cell r="B104" t="str">
            <v>Konventionel</v>
          </cell>
          <cell r="D104" t="str">
            <v>Fjerkræ</v>
          </cell>
          <cell r="E104" t="str">
            <v>Antal</v>
          </cell>
          <cell r="F104" t="str">
            <v>Slagtefjerkræ</v>
          </cell>
          <cell r="G104" t="str">
            <v>Antal</v>
          </cell>
          <cell r="H104">
            <v>5.3363578103053619</v>
          </cell>
          <cell r="I104">
            <v>5.3363578103053619</v>
          </cell>
          <cell r="J104">
            <v>5.3363578103053619</v>
          </cell>
        </row>
        <row r="105">
          <cell r="A105" t="str">
            <v>Fjerkræbrug</v>
          </cell>
          <cell r="B105" t="str">
            <v>Konventionel</v>
          </cell>
          <cell r="D105" t="str">
            <v>Fjerkræ</v>
          </cell>
          <cell r="E105" t="str">
            <v>Antal</v>
          </cell>
          <cell r="F105" t="str">
            <v>Fjerkrægylle</v>
          </cell>
          <cell r="G105" t="str">
            <v>Ton</v>
          </cell>
          <cell r="H105">
            <v>3.3965332371824528E-4</v>
          </cell>
          <cell r="I105">
            <v>3.3965332371824528E-4</v>
          </cell>
          <cell r="J105">
            <v>3.3965332371824528E-4</v>
          </cell>
        </row>
        <row r="106">
          <cell r="A106" t="str">
            <v>Fjerkræbrug</v>
          </cell>
          <cell r="B106" t="str">
            <v>Konventionel</v>
          </cell>
          <cell r="D106" t="str">
            <v>Fjerkræ</v>
          </cell>
          <cell r="E106" t="str">
            <v>Antal</v>
          </cell>
          <cell r="F106" t="str">
            <v>Dybstrøelse</v>
          </cell>
          <cell r="G106" t="str">
            <v>Ton</v>
          </cell>
          <cell r="H106">
            <v>7.5279568763122248E-3</v>
          </cell>
          <cell r="I106">
            <v>7.5279568763122248E-3</v>
          </cell>
          <cell r="J106">
            <v>7.5279568763122248E-3</v>
          </cell>
        </row>
        <row r="107">
          <cell r="A107" t="str">
            <v>Fjerkræbrug</v>
          </cell>
          <cell r="B107" t="str">
            <v>Konventionel</v>
          </cell>
          <cell r="D107" t="str">
            <v>Fjerkræ</v>
          </cell>
          <cell r="E107" t="str">
            <v>Antal</v>
          </cell>
          <cell r="F107" t="str">
            <v>Æg</v>
          </cell>
          <cell r="G107" t="str">
            <v>Ton</v>
          </cell>
          <cell r="H107">
            <v>1.1120887382109748E-2</v>
          </cell>
          <cell r="I107">
            <v>1.1120887382109748E-2</v>
          </cell>
          <cell r="J107">
            <v>1.1120887382109748E-2</v>
          </cell>
        </row>
        <row r="108">
          <cell r="A108" t="str">
            <v>Fjerkræbrug</v>
          </cell>
          <cell r="B108" t="str">
            <v>Konventionel</v>
          </cell>
          <cell r="D108" t="str">
            <v>Fjerkræ</v>
          </cell>
          <cell r="E108" t="str">
            <v>Antal</v>
          </cell>
          <cell r="F108" t="str">
            <v>Industriaffald</v>
          </cell>
          <cell r="G108" t="str">
            <v>Ton</v>
          </cell>
          <cell r="H108">
            <v>4.6967971777477953E-4</v>
          </cell>
          <cell r="I108">
            <v>4.6967971777477953E-4</v>
          </cell>
          <cell r="J108">
            <v>4.6967971777477953E-4</v>
          </cell>
        </row>
        <row r="109">
          <cell r="A109" t="str">
            <v>Fjerkræbrug</v>
          </cell>
          <cell r="B109" t="str">
            <v>Konventionel</v>
          </cell>
          <cell r="D109" t="str">
            <v>Fjerkræ</v>
          </cell>
          <cell r="E109" t="str">
            <v>Antal</v>
          </cell>
          <cell r="F109" t="str">
            <v>Foder</v>
          </cell>
          <cell r="G109" t="str">
            <v>FE</v>
          </cell>
          <cell r="H109">
            <v>-18.48</v>
          </cell>
          <cell r="I109">
            <v>-18.48</v>
          </cell>
          <cell r="J109">
            <v>-18.48</v>
          </cell>
        </row>
        <row r="110">
          <cell r="A110" t="str">
            <v>Fjerkræbrug</v>
          </cell>
          <cell r="B110" t="str">
            <v>Konventionel</v>
          </cell>
          <cell r="D110" t="str">
            <v>Fjerkræ</v>
          </cell>
          <cell r="E110" t="str">
            <v>Antal</v>
          </cell>
          <cell r="F110" t="str">
            <v>Halm</v>
          </cell>
          <cell r="G110" t="str">
            <v>Ton</v>
          </cell>
          <cell r="H110">
            <v>-4.3799999999999997E-4</v>
          </cell>
          <cell r="I110">
            <v>-4.3799999999999997E-4</v>
          </cell>
          <cell r="J110">
            <v>-4.3799999999999997E-4</v>
          </cell>
        </row>
        <row r="111">
          <cell r="A111" t="str">
            <v>Fjerkræbrug</v>
          </cell>
          <cell r="B111" t="str">
            <v>Konventionel</v>
          </cell>
          <cell r="D111" t="str">
            <v>Fjerkræ</v>
          </cell>
          <cell r="E111" t="str">
            <v>Antal</v>
          </cell>
          <cell r="F111" t="str">
            <v>CO2 - atmosfære</v>
          </cell>
          <cell r="G111" t="str">
            <v>t CO2-ækvivalenter</v>
          </cell>
          <cell r="H111">
            <v>7.1358057718871957E-4</v>
          </cell>
          <cell r="I111">
            <v>7.1358057718871957E-4</v>
          </cell>
          <cell r="J111">
            <v>7.1358057718871957E-4</v>
          </cell>
        </row>
        <row r="112">
          <cell r="A112" t="str">
            <v>Fjerkræbrug</v>
          </cell>
          <cell r="B112" t="str">
            <v>Økologisk</v>
          </cell>
          <cell r="D112" t="str">
            <v>Fjerkræ</v>
          </cell>
          <cell r="E112" t="str">
            <v>Antal</v>
          </cell>
          <cell r="F112" t="str">
            <v>Slagtefjerkræ</v>
          </cell>
          <cell r="G112" t="str">
            <v>Antal</v>
          </cell>
          <cell r="H112">
            <v>0.37369537669419861</v>
          </cell>
          <cell r="I112">
            <v>0.37369537669419861</v>
          </cell>
          <cell r="J112">
            <v>0.37369537669419861</v>
          </cell>
        </row>
        <row r="113">
          <cell r="A113" t="str">
            <v>Fjerkræbrug</v>
          </cell>
          <cell r="B113" t="str">
            <v>Økologisk</v>
          </cell>
          <cell r="D113" t="str">
            <v>Fjerkræ</v>
          </cell>
          <cell r="E113" t="str">
            <v>Antal</v>
          </cell>
          <cell r="F113" t="str">
            <v>Fjerkrægylle</v>
          </cell>
          <cell r="G113" t="str">
            <v>Ton</v>
          </cell>
          <cell r="H113">
            <v>6.6023396673266124E-4</v>
          </cell>
          <cell r="I113">
            <v>6.6023396673266124E-4</v>
          </cell>
          <cell r="J113">
            <v>6.6023396673266124E-4</v>
          </cell>
        </row>
        <row r="114">
          <cell r="A114" t="str">
            <v>Fjerkræbrug</v>
          </cell>
          <cell r="B114" t="str">
            <v>Økologisk</v>
          </cell>
          <cell r="D114" t="str">
            <v>Fjerkræ</v>
          </cell>
          <cell r="E114" t="str">
            <v>Antal</v>
          </cell>
          <cell r="F114" t="str">
            <v>Dybstrøelse</v>
          </cell>
          <cell r="G114" t="str">
            <v>Ton</v>
          </cell>
          <cell r="H114">
            <v>2.4860457648070043E-3</v>
          </cell>
          <cell r="I114">
            <v>2.4860457648070043E-3</v>
          </cell>
          <cell r="J114">
            <v>2.4860457648070043E-3</v>
          </cell>
        </row>
        <row r="115">
          <cell r="A115" t="str">
            <v>Fjerkræbrug</v>
          </cell>
          <cell r="B115" t="str">
            <v>Økologisk</v>
          </cell>
          <cell r="D115" t="str">
            <v>Fjerkræ</v>
          </cell>
          <cell r="E115" t="str">
            <v>Antal</v>
          </cell>
          <cell r="F115" t="str">
            <v>Æg</v>
          </cell>
          <cell r="G115" t="str">
            <v>Ton</v>
          </cell>
          <cell r="H115">
            <v>4.5769564887054442E-3</v>
          </cell>
          <cell r="I115">
            <v>4.5769564887054442E-3</v>
          </cell>
          <cell r="J115">
            <v>4.5769564887054442E-3</v>
          </cell>
        </row>
        <row r="116">
          <cell r="A116" t="str">
            <v>Fjerkræbrug</v>
          </cell>
          <cell r="B116" t="str">
            <v>Økologisk</v>
          </cell>
          <cell r="D116" t="str">
            <v>Fjerkræ</v>
          </cell>
          <cell r="E116" t="str">
            <v>Antal</v>
          </cell>
          <cell r="F116" t="str">
            <v>Industriaffald</v>
          </cell>
          <cell r="G116" t="str">
            <v>Ton</v>
          </cell>
          <cell r="H116">
            <v>4.6967971777477953E-4</v>
          </cell>
          <cell r="I116">
            <v>4.6967971777477953E-4</v>
          </cell>
          <cell r="J116">
            <v>4.6967971777477953E-4</v>
          </cell>
        </row>
        <row r="117">
          <cell r="A117" t="str">
            <v>Fjerkræbrug</v>
          </cell>
          <cell r="B117" t="str">
            <v>Økologisk</v>
          </cell>
          <cell r="D117" t="str">
            <v>Fjerkræ</v>
          </cell>
          <cell r="E117" t="str">
            <v>Antal</v>
          </cell>
          <cell r="F117" t="str">
            <v>Foder</v>
          </cell>
          <cell r="G117" t="str">
            <v>FE</v>
          </cell>
          <cell r="H117">
            <v>-18.48</v>
          </cell>
          <cell r="I117">
            <v>-18.48</v>
          </cell>
          <cell r="J117">
            <v>-18.48</v>
          </cell>
        </row>
        <row r="118">
          <cell r="A118" t="str">
            <v>Fjerkræbrug</v>
          </cell>
          <cell r="B118" t="str">
            <v>Økologisk</v>
          </cell>
          <cell r="D118" t="str">
            <v>Fjerkræ</v>
          </cell>
          <cell r="E118" t="str">
            <v>Antal</v>
          </cell>
          <cell r="F118" t="str">
            <v>Halm</v>
          </cell>
          <cell r="G118" t="str">
            <v>Ton</v>
          </cell>
          <cell r="H118">
            <v>-8.25E-4</v>
          </cell>
          <cell r="I118">
            <v>-8.25E-4</v>
          </cell>
          <cell r="J118">
            <v>-8.25E-4</v>
          </cell>
        </row>
        <row r="119">
          <cell r="A119" t="str">
            <v>Fjerkræbrug</v>
          </cell>
          <cell r="B119" t="str">
            <v>Økologisk</v>
          </cell>
          <cell r="D119" t="str">
            <v>Fjerkræ</v>
          </cell>
          <cell r="E119" t="str">
            <v>Antal</v>
          </cell>
          <cell r="F119" t="str">
            <v>CO2 - atmosfære</v>
          </cell>
          <cell r="G119" t="str">
            <v>t CO2-ækvivalenter</v>
          </cell>
          <cell r="H119">
            <v>7.8493863490759156E-4</v>
          </cell>
          <cell r="I119">
            <v>7.8493863490759156E-4</v>
          </cell>
          <cell r="J119">
            <v>7.8493863490759156E-4</v>
          </cell>
        </row>
        <row r="120">
          <cell r="A120" t="str">
            <v>Kornmark</v>
          </cell>
          <cell r="B120" t="str">
            <v>Konventionel</v>
          </cell>
          <cell r="C120" t="str">
            <v>JB1-10</v>
          </cell>
          <cell r="D120" t="str">
            <v>Areal-korn</v>
          </cell>
          <cell r="E120" t="str">
            <v>Hektar</v>
          </cell>
          <cell r="F120" t="str">
            <v>Korn</v>
          </cell>
          <cell r="G120" t="str">
            <v>Ton</v>
          </cell>
          <cell r="H120">
            <v>7.01</v>
          </cell>
          <cell r="I120">
            <v>7.01</v>
          </cell>
          <cell r="J120">
            <v>7.01</v>
          </cell>
        </row>
        <row r="121">
          <cell r="A121" t="str">
            <v>Kornmark</v>
          </cell>
          <cell r="B121" t="str">
            <v>Konventionel</v>
          </cell>
          <cell r="C121" t="str">
            <v>JB1-10</v>
          </cell>
          <cell r="D121" t="str">
            <v>Areal-korn</v>
          </cell>
          <cell r="E121" t="str">
            <v>Hektar</v>
          </cell>
          <cell r="F121" t="str">
            <v>Halm</v>
          </cell>
          <cell r="G121" t="str">
            <v>Ton</v>
          </cell>
          <cell r="H121">
            <v>3.8555000000000001</v>
          </cell>
          <cell r="I121">
            <v>3.8555000000000001</v>
          </cell>
          <cell r="J121">
            <v>3.8555000000000001</v>
          </cell>
        </row>
        <row r="122">
          <cell r="A122" t="str">
            <v>Kornmark</v>
          </cell>
          <cell r="B122" t="str">
            <v>Konventionel</v>
          </cell>
          <cell r="C122" t="str">
            <v>JB1-10</v>
          </cell>
          <cell r="D122" t="str">
            <v>Areal-korn</v>
          </cell>
          <cell r="E122" t="str">
            <v>Hektar</v>
          </cell>
          <cell r="F122" t="str">
            <v>Gødning</v>
          </cell>
          <cell r="G122" t="str">
            <v>kg N</v>
          </cell>
          <cell r="H122">
            <v>-160</v>
          </cell>
          <cell r="I122">
            <v>-160</v>
          </cell>
          <cell r="J122">
            <v>-160</v>
          </cell>
        </row>
        <row r="123">
          <cell r="A123" t="str">
            <v>Kornmark</v>
          </cell>
          <cell r="B123" t="str">
            <v>Konventionel</v>
          </cell>
          <cell r="C123" t="str">
            <v>JB1-10</v>
          </cell>
          <cell r="D123" t="str">
            <v>Areal-korn</v>
          </cell>
          <cell r="E123" t="str">
            <v>Hektar</v>
          </cell>
          <cell r="F123" t="str">
            <v>CO2 - atmosfære</v>
          </cell>
          <cell r="G123" t="str">
            <v>t CO2-ækvivalenter</v>
          </cell>
          <cell r="H123">
            <v>2.2736943674854606</v>
          </cell>
          <cell r="I123">
            <v>2.2736943674854606</v>
          </cell>
          <cell r="J123">
            <v>2.2736943674854606</v>
          </cell>
        </row>
        <row r="124">
          <cell r="A124" t="str">
            <v>Kornmark</v>
          </cell>
          <cell r="B124" t="str">
            <v>Konventionel</v>
          </cell>
          <cell r="C124" t="str">
            <v>OC6</v>
          </cell>
          <cell r="D124" t="str">
            <v>Areal-korn</v>
          </cell>
          <cell r="E124" t="str">
            <v>Hektar</v>
          </cell>
          <cell r="F124" t="str">
            <v>Korn</v>
          </cell>
          <cell r="G124" t="str">
            <v>Ton</v>
          </cell>
          <cell r="H124">
            <v>8.411999999999999</v>
          </cell>
          <cell r="I124">
            <v>8.411999999999999</v>
          </cell>
          <cell r="J124">
            <v>8.411999999999999</v>
          </cell>
        </row>
        <row r="125">
          <cell r="A125" t="str">
            <v>Kornmark</v>
          </cell>
          <cell r="B125" t="str">
            <v>Konventionel</v>
          </cell>
          <cell r="C125" t="str">
            <v>OC6</v>
          </cell>
          <cell r="D125" t="str">
            <v>Areal-korn</v>
          </cell>
          <cell r="E125" t="str">
            <v>Hektar</v>
          </cell>
          <cell r="F125" t="str">
            <v>Halm</v>
          </cell>
          <cell r="G125" t="str">
            <v>Ton</v>
          </cell>
          <cell r="H125">
            <v>4.6265999999999998</v>
          </cell>
          <cell r="I125">
            <v>4.6265999999999998</v>
          </cell>
          <cell r="J125">
            <v>4.6265999999999998</v>
          </cell>
        </row>
        <row r="126">
          <cell r="A126" t="str">
            <v>Kornmark</v>
          </cell>
          <cell r="B126" t="str">
            <v>Konventionel</v>
          </cell>
          <cell r="C126" t="str">
            <v>OC6</v>
          </cell>
          <cell r="D126" t="str">
            <v>Areal-korn</v>
          </cell>
          <cell r="E126" t="str">
            <v>Hektar</v>
          </cell>
          <cell r="F126" t="str">
            <v>Gødning</v>
          </cell>
          <cell r="G126" t="str">
            <v>kg N</v>
          </cell>
          <cell r="H126">
            <v>-130</v>
          </cell>
          <cell r="I126">
            <v>-130</v>
          </cell>
          <cell r="J126">
            <v>-130</v>
          </cell>
        </row>
        <row r="127">
          <cell r="A127" t="str">
            <v>Kornmark</v>
          </cell>
          <cell r="B127" t="str">
            <v>Konventionel</v>
          </cell>
          <cell r="C127" t="str">
            <v>OC6</v>
          </cell>
          <cell r="D127" t="str">
            <v>Areal-korn</v>
          </cell>
          <cell r="E127" t="str">
            <v>Hektar</v>
          </cell>
          <cell r="F127" t="str">
            <v>CO2 - atmosfære</v>
          </cell>
          <cell r="G127" t="str">
            <v>t CO2-ækvivalenter</v>
          </cell>
          <cell r="H127">
            <v>15.99169436748546</v>
          </cell>
          <cell r="I127">
            <v>15.99169436748546</v>
          </cell>
          <cell r="J127">
            <v>15.99169436748546</v>
          </cell>
        </row>
        <row r="128">
          <cell r="A128" t="str">
            <v>Kornmark</v>
          </cell>
          <cell r="B128" t="str">
            <v>Konventionel</v>
          </cell>
          <cell r="C128" t="str">
            <v>OC12</v>
          </cell>
          <cell r="D128" t="str">
            <v>Areal-korn</v>
          </cell>
          <cell r="E128" t="str">
            <v>Hektar</v>
          </cell>
          <cell r="F128" t="str">
            <v>Korn</v>
          </cell>
          <cell r="G128" t="str">
            <v>Ton</v>
          </cell>
          <cell r="H128">
            <v>9.8139999999999983</v>
          </cell>
          <cell r="I128">
            <v>9.8139999999999983</v>
          </cell>
          <cell r="J128">
            <v>9.8139999999999983</v>
          </cell>
        </row>
        <row r="129">
          <cell r="A129" t="str">
            <v>Kornmark</v>
          </cell>
          <cell r="B129" t="str">
            <v>Konventionel</v>
          </cell>
          <cell r="C129" t="str">
            <v>OC12</v>
          </cell>
          <cell r="D129" t="str">
            <v>Areal-korn</v>
          </cell>
          <cell r="E129" t="str">
            <v>Hektar</v>
          </cell>
          <cell r="F129" t="str">
            <v>Halm</v>
          </cell>
          <cell r="G129" t="str">
            <v>Ton</v>
          </cell>
          <cell r="H129">
            <v>5.3976999999999995</v>
          </cell>
          <cell r="I129">
            <v>5.3976999999999995</v>
          </cell>
          <cell r="J129">
            <v>5.3976999999999995</v>
          </cell>
        </row>
        <row r="130">
          <cell r="A130" t="str">
            <v>Kornmark</v>
          </cell>
          <cell r="B130" t="str">
            <v>Konventionel</v>
          </cell>
          <cell r="C130" t="str">
            <v>OC12</v>
          </cell>
          <cell r="D130" t="str">
            <v>Areal-korn</v>
          </cell>
          <cell r="E130" t="str">
            <v>Hektar</v>
          </cell>
          <cell r="F130" t="str">
            <v>Gødning</v>
          </cell>
          <cell r="G130" t="str">
            <v>kg N</v>
          </cell>
          <cell r="H130">
            <v>-100</v>
          </cell>
          <cell r="I130">
            <v>-100</v>
          </cell>
          <cell r="J130">
            <v>-100</v>
          </cell>
        </row>
        <row r="131">
          <cell r="A131" t="str">
            <v>Kornmark</v>
          </cell>
          <cell r="B131" t="str">
            <v>Konventionel</v>
          </cell>
          <cell r="C131" t="str">
            <v>OC12</v>
          </cell>
          <cell r="D131" t="str">
            <v>Areal-korn</v>
          </cell>
          <cell r="E131" t="str">
            <v>Hektar</v>
          </cell>
          <cell r="F131" t="str">
            <v>CO2 - atmosfære</v>
          </cell>
          <cell r="G131" t="str">
            <v>t CO2-ækvivalenter</v>
          </cell>
          <cell r="H131">
            <v>40.951694367485452</v>
          </cell>
          <cell r="I131">
            <v>40.951694367485452</v>
          </cell>
          <cell r="J131">
            <v>40.951694367485452</v>
          </cell>
        </row>
        <row r="132">
          <cell r="A132" t="str">
            <v>Kornmark</v>
          </cell>
          <cell r="B132" t="str">
            <v>Økologisk</v>
          </cell>
          <cell r="C132" t="str">
            <v>JB1-10</v>
          </cell>
          <cell r="D132" t="str">
            <v>Areal-korn</v>
          </cell>
          <cell r="E132" t="str">
            <v>Hektar</v>
          </cell>
          <cell r="F132" t="str">
            <v>Korn</v>
          </cell>
          <cell r="G132" t="str">
            <v>Ton</v>
          </cell>
          <cell r="H132">
            <v>4.6966999999999999</v>
          </cell>
          <cell r="I132">
            <v>4.6966999999999999</v>
          </cell>
          <cell r="J132">
            <v>4.6966999999999999</v>
          </cell>
        </row>
        <row r="133">
          <cell r="A133" t="str">
            <v>Kornmark</v>
          </cell>
          <cell r="B133" t="str">
            <v>Økologisk</v>
          </cell>
          <cell r="C133" t="str">
            <v>JB1-10</v>
          </cell>
          <cell r="D133" t="str">
            <v>Areal-korn</v>
          </cell>
          <cell r="E133" t="str">
            <v>Hektar</v>
          </cell>
          <cell r="F133" t="str">
            <v>Halm</v>
          </cell>
          <cell r="G133" t="str">
            <v>Ton</v>
          </cell>
          <cell r="H133">
            <v>2.5831850000000003</v>
          </cell>
          <cell r="I133">
            <v>2.5831850000000003</v>
          </cell>
          <cell r="J133">
            <v>2.5831850000000003</v>
          </cell>
        </row>
        <row r="134">
          <cell r="A134" t="str">
            <v>Kornmark</v>
          </cell>
          <cell r="B134" t="str">
            <v>Økologisk</v>
          </cell>
          <cell r="C134" t="str">
            <v>JB1-10</v>
          </cell>
          <cell r="D134" t="str">
            <v>Areal-korn</v>
          </cell>
          <cell r="E134" t="str">
            <v>Hektar</v>
          </cell>
          <cell r="F134" t="str">
            <v>Gødning</v>
          </cell>
          <cell r="G134" t="str">
            <v>kg N</v>
          </cell>
          <cell r="H134">
            <v>-107.2</v>
          </cell>
          <cell r="I134">
            <v>-107.2</v>
          </cell>
          <cell r="J134">
            <v>-107.2</v>
          </cell>
        </row>
        <row r="135">
          <cell r="A135" t="str">
            <v>Kornmark</v>
          </cell>
          <cell r="B135" t="str">
            <v>Økologisk</v>
          </cell>
          <cell r="C135" t="str">
            <v>JB1-10</v>
          </cell>
          <cell r="D135" t="str">
            <v>Areal-korn</v>
          </cell>
          <cell r="E135" t="str">
            <v>Hektar</v>
          </cell>
          <cell r="F135" t="str">
            <v>CO2 - atmosfære</v>
          </cell>
          <cell r="G135" t="str">
            <v>t CO2-ækvivalenter</v>
          </cell>
          <cell r="H135">
            <v>2.2736943674854606</v>
          </cell>
          <cell r="I135">
            <v>2.2736943674854606</v>
          </cell>
          <cell r="J135">
            <v>2.2736943674854606</v>
          </cell>
        </row>
        <row r="136">
          <cell r="A136" t="str">
            <v>Kornmark</v>
          </cell>
          <cell r="B136" t="str">
            <v>Økologisk</v>
          </cell>
          <cell r="C136" t="str">
            <v>OC6</v>
          </cell>
          <cell r="D136" t="str">
            <v>Areal-korn</v>
          </cell>
          <cell r="E136" t="str">
            <v>Hektar</v>
          </cell>
          <cell r="F136" t="str">
            <v>Korn</v>
          </cell>
          <cell r="G136" t="str">
            <v>Ton</v>
          </cell>
          <cell r="H136">
            <v>5.6360399999999995</v>
          </cell>
          <cell r="I136">
            <v>5.6360399999999995</v>
          </cell>
          <cell r="J136">
            <v>5.6360399999999995</v>
          </cell>
        </row>
        <row r="137">
          <cell r="A137" t="str">
            <v>Kornmark</v>
          </cell>
          <cell r="B137" t="str">
            <v>Økologisk</v>
          </cell>
          <cell r="C137" t="str">
            <v>OC6</v>
          </cell>
          <cell r="D137" t="str">
            <v>Areal-korn</v>
          </cell>
          <cell r="E137" t="str">
            <v>Hektar</v>
          </cell>
          <cell r="F137" t="str">
            <v>Halm</v>
          </cell>
          <cell r="G137" t="str">
            <v>Ton</v>
          </cell>
          <cell r="H137">
            <v>3.0998220000000001</v>
          </cell>
          <cell r="I137">
            <v>3.0998220000000001</v>
          </cell>
          <cell r="J137">
            <v>3.0998220000000001</v>
          </cell>
        </row>
        <row r="138">
          <cell r="A138" t="str">
            <v>Kornmark</v>
          </cell>
          <cell r="B138" t="str">
            <v>Økologisk</v>
          </cell>
          <cell r="C138" t="str">
            <v>OC6</v>
          </cell>
          <cell r="D138" t="str">
            <v>Areal-korn</v>
          </cell>
          <cell r="E138" t="str">
            <v>Hektar</v>
          </cell>
          <cell r="F138" t="str">
            <v>Gødning</v>
          </cell>
          <cell r="G138" t="str">
            <v>kg N</v>
          </cell>
          <cell r="H138">
            <v>-87.100000000000009</v>
          </cell>
          <cell r="I138">
            <v>-87.100000000000009</v>
          </cell>
          <cell r="J138">
            <v>-87.100000000000009</v>
          </cell>
        </row>
        <row r="139">
          <cell r="A139" t="str">
            <v>Kornmark</v>
          </cell>
          <cell r="B139" t="str">
            <v>Økologisk</v>
          </cell>
          <cell r="C139" t="str">
            <v>OC6</v>
          </cell>
          <cell r="D139" t="str">
            <v>Areal-korn</v>
          </cell>
          <cell r="E139" t="str">
            <v>Hektar</v>
          </cell>
          <cell r="F139" t="str">
            <v>CO2 - atmosfære</v>
          </cell>
          <cell r="G139" t="str">
            <v>t CO2-ækvivalenter</v>
          </cell>
          <cell r="H139">
            <v>15.99169436748546</v>
          </cell>
          <cell r="I139">
            <v>15.99169436748546</v>
          </cell>
          <cell r="J139">
            <v>15.99169436748546</v>
          </cell>
        </row>
        <row r="140">
          <cell r="A140" t="str">
            <v>Kornmark</v>
          </cell>
          <cell r="B140" t="str">
            <v>Økologisk</v>
          </cell>
          <cell r="C140" t="str">
            <v>OC12</v>
          </cell>
          <cell r="D140" t="str">
            <v>Areal-korn</v>
          </cell>
          <cell r="E140" t="str">
            <v>Hektar</v>
          </cell>
          <cell r="F140" t="str">
            <v>Korn</v>
          </cell>
          <cell r="G140" t="str">
            <v>Ton</v>
          </cell>
          <cell r="H140">
            <v>6.5753799999999991</v>
          </cell>
          <cell r="I140">
            <v>6.5753799999999991</v>
          </cell>
          <cell r="J140">
            <v>6.5753799999999991</v>
          </cell>
        </row>
        <row r="141">
          <cell r="A141" t="str">
            <v>Kornmark</v>
          </cell>
          <cell r="B141" t="str">
            <v>Økologisk</v>
          </cell>
          <cell r="C141" t="str">
            <v>OC12</v>
          </cell>
          <cell r="D141" t="str">
            <v>Areal-korn</v>
          </cell>
          <cell r="E141" t="str">
            <v>Hektar</v>
          </cell>
          <cell r="F141" t="str">
            <v>Halm</v>
          </cell>
          <cell r="G141" t="str">
            <v>Ton</v>
          </cell>
          <cell r="H141">
            <v>3.6164589999999999</v>
          </cell>
          <cell r="I141">
            <v>3.6164589999999999</v>
          </cell>
          <cell r="J141">
            <v>3.6164589999999999</v>
          </cell>
        </row>
        <row r="142">
          <cell r="A142" t="str">
            <v>Kornmark</v>
          </cell>
          <cell r="B142" t="str">
            <v>Økologisk</v>
          </cell>
          <cell r="C142" t="str">
            <v>OC12</v>
          </cell>
          <cell r="D142" t="str">
            <v>Areal-korn</v>
          </cell>
          <cell r="E142" t="str">
            <v>Hektar</v>
          </cell>
          <cell r="F142" t="str">
            <v>Gødning</v>
          </cell>
          <cell r="G142" t="str">
            <v>kg N</v>
          </cell>
          <cell r="H142">
            <v>-67</v>
          </cell>
          <cell r="I142">
            <v>-67</v>
          </cell>
          <cell r="J142">
            <v>-67</v>
          </cell>
        </row>
        <row r="143">
          <cell r="A143" t="str">
            <v>Kornmark</v>
          </cell>
          <cell r="B143" t="str">
            <v>Økologisk</v>
          </cell>
          <cell r="C143" t="str">
            <v>OC12</v>
          </cell>
          <cell r="D143" t="str">
            <v>Areal-korn</v>
          </cell>
          <cell r="E143" t="str">
            <v>Hektar</v>
          </cell>
          <cell r="F143" t="str">
            <v>CO2 - atmosfære</v>
          </cell>
          <cell r="G143" t="str">
            <v>t CO2-ækvivalenter</v>
          </cell>
          <cell r="H143">
            <v>40.951694367485452</v>
          </cell>
          <cell r="I143">
            <v>40.951694367485452</v>
          </cell>
          <cell r="J143">
            <v>40.951694367485452</v>
          </cell>
        </row>
        <row r="144">
          <cell r="A144" t="str">
            <v>Grøntsager på land</v>
          </cell>
          <cell r="B144" t="str">
            <v>Konventionel</v>
          </cell>
          <cell r="C144" t="str">
            <v>JB1-10</v>
          </cell>
          <cell r="D144" t="str">
            <v>Areal-grøntsager</v>
          </cell>
          <cell r="E144" t="str">
            <v>Hektar</v>
          </cell>
          <cell r="F144" t="str">
            <v>Grøntsager</v>
          </cell>
          <cell r="G144" t="str">
            <v>Ton</v>
          </cell>
          <cell r="H144">
            <v>20.75</v>
          </cell>
          <cell r="I144">
            <v>20.75</v>
          </cell>
          <cell r="J144">
            <v>20.75</v>
          </cell>
        </row>
        <row r="145">
          <cell r="A145" t="str">
            <v>Grøntsager på land</v>
          </cell>
          <cell r="B145" t="str">
            <v>Konventionel</v>
          </cell>
          <cell r="C145" t="str">
            <v>JB1-10</v>
          </cell>
          <cell r="D145" t="str">
            <v>Areal-grøntsager</v>
          </cell>
          <cell r="E145" t="str">
            <v>Hektar</v>
          </cell>
          <cell r="F145" t="str">
            <v>Gødning</v>
          </cell>
          <cell r="G145" t="str">
            <v>kg N</v>
          </cell>
          <cell r="H145">
            <v>-200</v>
          </cell>
          <cell r="I145">
            <v>-200</v>
          </cell>
          <cell r="J145">
            <v>-200</v>
          </cell>
        </row>
        <row r="146">
          <cell r="A146" t="str">
            <v>Grøntsager på land</v>
          </cell>
          <cell r="B146" t="str">
            <v>Konventionel</v>
          </cell>
          <cell r="C146" t="str">
            <v>JB1-10</v>
          </cell>
          <cell r="D146" t="str">
            <v>Areal-grøntsager</v>
          </cell>
          <cell r="E146" t="str">
            <v>Hektar</v>
          </cell>
          <cell r="F146" t="str">
            <v>CO2 - atmosfære</v>
          </cell>
          <cell r="G146" t="str">
            <v>t CO2-ækvivalenter</v>
          </cell>
          <cell r="H146">
            <v>2.2736943674854606</v>
          </cell>
          <cell r="I146">
            <v>2.2736943674854606</v>
          </cell>
          <cell r="J146">
            <v>2.2736943674854606</v>
          </cell>
        </row>
        <row r="147">
          <cell r="A147" t="str">
            <v>Grøntsager på land</v>
          </cell>
          <cell r="B147" t="str">
            <v>Konventionel</v>
          </cell>
          <cell r="C147" t="str">
            <v>OC6</v>
          </cell>
          <cell r="D147" t="str">
            <v>Areal-grøntsager</v>
          </cell>
          <cell r="E147" t="str">
            <v>Hektar</v>
          </cell>
          <cell r="F147" t="str">
            <v>Grøntsager</v>
          </cell>
          <cell r="G147" t="str">
            <v>Ton</v>
          </cell>
          <cell r="H147">
            <v>24.9</v>
          </cell>
          <cell r="I147">
            <v>24.9</v>
          </cell>
          <cell r="J147">
            <v>24.9</v>
          </cell>
        </row>
        <row r="148">
          <cell r="A148" t="str">
            <v>Grøntsager på land</v>
          </cell>
          <cell r="B148" t="str">
            <v>Konventionel</v>
          </cell>
          <cell r="C148" t="str">
            <v>OC6</v>
          </cell>
          <cell r="D148" t="str">
            <v>Areal-grøntsager</v>
          </cell>
          <cell r="E148" t="str">
            <v>Hektar</v>
          </cell>
          <cell r="F148" t="str">
            <v>Gødning</v>
          </cell>
          <cell r="G148" t="str">
            <v>kg N</v>
          </cell>
          <cell r="H148">
            <v>-195</v>
          </cell>
          <cell r="I148">
            <v>-195</v>
          </cell>
          <cell r="J148">
            <v>-195</v>
          </cell>
        </row>
        <row r="149">
          <cell r="A149" t="str">
            <v>Grøntsager på land</v>
          </cell>
          <cell r="B149" t="str">
            <v>Konventionel</v>
          </cell>
          <cell r="C149" t="str">
            <v>OC6</v>
          </cell>
          <cell r="D149" t="str">
            <v>Areal-grøntsager</v>
          </cell>
          <cell r="E149" t="str">
            <v>Hektar</v>
          </cell>
          <cell r="F149" t="str">
            <v>CO2 - atmosfære</v>
          </cell>
          <cell r="G149" t="str">
            <v>t CO2-ækvivalenter</v>
          </cell>
          <cell r="H149">
            <v>15.99169436748546</v>
          </cell>
          <cell r="I149">
            <v>15.99169436748546</v>
          </cell>
          <cell r="J149">
            <v>15.99169436748546</v>
          </cell>
        </row>
        <row r="150">
          <cell r="A150" t="str">
            <v>Grøntsager på land</v>
          </cell>
          <cell r="B150" t="str">
            <v>Konventionel</v>
          </cell>
          <cell r="C150" t="str">
            <v>OC12</v>
          </cell>
          <cell r="D150" t="str">
            <v>Areal-grøntsager</v>
          </cell>
          <cell r="E150" t="str">
            <v>Hektar</v>
          </cell>
          <cell r="F150" t="str">
            <v>Grøntsager</v>
          </cell>
          <cell r="G150" t="str">
            <v>Ton</v>
          </cell>
          <cell r="H150">
            <v>29.049999999999997</v>
          </cell>
          <cell r="I150">
            <v>29.049999999999997</v>
          </cell>
          <cell r="J150">
            <v>29.049999999999997</v>
          </cell>
        </row>
        <row r="151">
          <cell r="A151" t="str">
            <v>Grøntsager på land</v>
          </cell>
          <cell r="B151" t="str">
            <v>Konventionel</v>
          </cell>
          <cell r="C151" t="str">
            <v>OC12</v>
          </cell>
          <cell r="D151" t="str">
            <v>Areal-grøntsager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-190</v>
          </cell>
          <cell r="I151">
            <v>-190</v>
          </cell>
          <cell r="J151">
            <v>-190</v>
          </cell>
        </row>
        <row r="152">
          <cell r="A152" t="str">
            <v>Grøntsager på land</v>
          </cell>
          <cell r="B152" t="str">
            <v>Konventionel</v>
          </cell>
          <cell r="C152" t="str">
            <v>OC12</v>
          </cell>
          <cell r="D152" t="str">
            <v>Areal-grøntsager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Grøntsager på land</v>
          </cell>
          <cell r="B153" t="str">
            <v>Økologisk</v>
          </cell>
          <cell r="C153" t="str">
            <v>JB1-10</v>
          </cell>
          <cell r="D153" t="str">
            <v>Areal-grøntsager</v>
          </cell>
          <cell r="E153" t="str">
            <v>Hektar</v>
          </cell>
          <cell r="F153" t="str">
            <v>Grøntsager</v>
          </cell>
          <cell r="G153" t="str">
            <v>Ton</v>
          </cell>
          <cell r="H153">
            <v>11.827499999999999</v>
          </cell>
          <cell r="I153">
            <v>11.827499999999999</v>
          </cell>
          <cell r="J153">
            <v>11.827499999999999</v>
          </cell>
        </row>
        <row r="154">
          <cell r="A154" t="str">
            <v>Grøntsager på land</v>
          </cell>
          <cell r="B154" t="str">
            <v>Økologisk</v>
          </cell>
          <cell r="C154" t="str">
            <v>JB1-10</v>
          </cell>
          <cell r="D154" t="str">
            <v>Areal-grøntsager</v>
          </cell>
          <cell r="E154" t="str">
            <v>Hektar</v>
          </cell>
          <cell r="F154" t="str">
            <v>Gødning</v>
          </cell>
          <cell r="G154" t="str">
            <v>kg N</v>
          </cell>
          <cell r="H154">
            <v>-113.99999999999999</v>
          </cell>
          <cell r="I154">
            <v>-113.99999999999999</v>
          </cell>
          <cell r="J154">
            <v>-113.99999999999999</v>
          </cell>
        </row>
        <row r="155">
          <cell r="A155" t="str">
            <v>Grøntsager på land</v>
          </cell>
          <cell r="B155" t="str">
            <v>Økologisk</v>
          </cell>
          <cell r="C155" t="str">
            <v>JB1-10</v>
          </cell>
          <cell r="D155" t="str">
            <v>Areal-grøntsager</v>
          </cell>
          <cell r="E155" t="str">
            <v>Hektar</v>
          </cell>
          <cell r="F155" t="str">
            <v>CO2 - atmosfære</v>
          </cell>
          <cell r="G155" t="str">
            <v>t CO2-ækvivalenter</v>
          </cell>
          <cell r="H155">
            <v>2.2736943674854606</v>
          </cell>
          <cell r="I155">
            <v>2.2736943674854606</v>
          </cell>
          <cell r="J155">
            <v>2.2736943674854606</v>
          </cell>
        </row>
        <row r="156">
          <cell r="A156" t="str">
            <v>Grøntsager på land</v>
          </cell>
          <cell r="B156" t="str">
            <v>Økologisk</v>
          </cell>
          <cell r="C156" t="str">
            <v>OC6</v>
          </cell>
          <cell r="D156" t="str">
            <v>Areal-grøntsager</v>
          </cell>
          <cell r="E156" t="str">
            <v>Hektar</v>
          </cell>
          <cell r="F156" t="str">
            <v>Grøntsager</v>
          </cell>
          <cell r="G156" t="str">
            <v>Ton</v>
          </cell>
          <cell r="H156">
            <v>14.192999999999998</v>
          </cell>
          <cell r="I156">
            <v>14.192999999999998</v>
          </cell>
          <cell r="J156">
            <v>14.192999999999998</v>
          </cell>
        </row>
        <row r="157">
          <cell r="A157" t="str">
            <v>Grøntsager på land</v>
          </cell>
          <cell r="B157" t="str">
            <v>Økologisk</v>
          </cell>
          <cell r="C157" t="str">
            <v>OC6</v>
          </cell>
          <cell r="D157" t="str">
            <v>Areal-grøntsager</v>
          </cell>
          <cell r="E157" t="str">
            <v>Hektar</v>
          </cell>
          <cell r="F157" t="str">
            <v>Gødning</v>
          </cell>
          <cell r="G157" t="str">
            <v>kg N</v>
          </cell>
          <cell r="H157">
            <v>-111.14999999999999</v>
          </cell>
          <cell r="I157">
            <v>-111.14999999999999</v>
          </cell>
          <cell r="J157">
            <v>-111.14999999999999</v>
          </cell>
        </row>
        <row r="158">
          <cell r="A158" t="str">
            <v>Grøntsager på land</v>
          </cell>
          <cell r="B158" t="str">
            <v>Økologisk</v>
          </cell>
          <cell r="C158" t="str">
            <v>OC6</v>
          </cell>
          <cell r="D158" t="str">
            <v>Areal-grøntsager</v>
          </cell>
          <cell r="E158" t="str">
            <v>Hektar</v>
          </cell>
          <cell r="F158" t="str">
            <v>CO2 - atmosfære</v>
          </cell>
          <cell r="G158" t="str">
            <v>t CO2-ækvivalenter</v>
          </cell>
          <cell r="H158">
            <v>15.99169436748546</v>
          </cell>
          <cell r="I158">
            <v>15.99169436748546</v>
          </cell>
          <cell r="J158">
            <v>15.99169436748546</v>
          </cell>
        </row>
        <row r="159">
          <cell r="A159" t="str">
            <v>Grøntsager på land</v>
          </cell>
          <cell r="B159" t="str">
            <v>Økologisk</v>
          </cell>
          <cell r="C159" t="str">
            <v>OC12</v>
          </cell>
          <cell r="D159" t="str">
            <v>Areal-grøntsager</v>
          </cell>
          <cell r="E159" t="str">
            <v>Hektar</v>
          </cell>
          <cell r="F159" t="str">
            <v>Grøntsager</v>
          </cell>
          <cell r="G159" t="str">
            <v>Ton</v>
          </cell>
          <cell r="H159">
            <v>16.558499999999999</v>
          </cell>
          <cell r="I159">
            <v>16.558499999999999</v>
          </cell>
          <cell r="J159">
            <v>16.558499999999999</v>
          </cell>
        </row>
        <row r="160">
          <cell r="A160" t="str">
            <v>Grøntsager på land</v>
          </cell>
          <cell r="B160" t="str">
            <v>Økologisk</v>
          </cell>
          <cell r="C160" t="str">
            <v>OC12</v>
          </cell>
          <cell r="D160" t="str">
            <v>Areal-grøntsager</v>
          </cell>
          <cell r="E160" t="str">
            <v>Hektar</v>
          </cell>
          <cell r="F160" t="str">
            <v>Gødning</v>
          </cell>
          <cell r="G160" t="str">
            <v>kg N</v>
          </cell>
          <cell r="H160">
            <v>-108.3</v>
          </cell>
          <cell r="I160">
            <v>-108.3</v>
          </cell>
          <cell r="J160">
            <v>-108.3</v>
          </cell>
        </row>
        <row r="161">
          <cell r="A161" t="str">
            <v>Grøntsager på land</v>
          </cell>
          <cell r="B161" t="str">
            <v>Økologisk</v>
          </cell>
          <cell r="C161" t="str">
            <v>OC12</v>
          </cell>
          <cell r="D161" t="str">
            <v>Areal-grøntsager</v>
          </cell>
          <cell r="E161" t="str">
            <v>Hektar</v>
          </cell>
          <cell r="F161" t="str">
            <v>CO2 - atmosfære</v>
          </cell>
          <cell r="G161" t="str">
            <v>t CO2-ækvivalenter</v>
          </cell>
          <cell r="H161">
            <v>40.951694367485452</v>
          </cell>
          <cell r="I161">
            <v>40.951694367485452</v>
          </cell>
          <cell r="J161">
            <v>40.951694367485452</v>
          </cell>
        </row>
        <row r="162">
          <cell r="A162" t="str">
            <v>Grøntsager i drivhus</v>
          </cell>
          <cell r="B162" t="str">
            <v>Konventionel</v>
          </cell>
          <cell r="D162" t="str">
            <v>Areal-grøntsager</v>
          </cell>
          <cell r="E162" t="str">
            <v>Hektar</v>
          </cell>
          <cell r="F162" t="str">
            <v>Grøntsager</v>
          </cell>
          <cell r="G162" t="str">
            <v>Ton</v>
          </cell>
          <cell r="H162">
            <v>379.01908396946601</v>
          </cell>
          <cell r="I162">
            <v>379.01908396946601</v>
          </cell>
          <cell r="J162">
            <v>379.01908396946601</v>
          </cell>
        </row>
        <row r="163">
          <cell r="A163" t="str">
            <v>Grøntsager i drivhus</v>
          </cell>
          <cell r="B163" t="str">
            <v>Konventionel</v>
          </cell>
          <cell r="D163" t="str">
            <v>Areal-grøntsager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-2100</v>
          </cell>
          <cell r="I163">
            <v>-2100</v>
          </cell>
          <cell r="J163">
            <v>-2100</v>
          </cell>
        </row>
        <row r="164">
          <cell r="A164" t="str">
            <v>Grøntsager i drivhus</v>
          </cell>
          <cell r="B164" t="str">
            <v>Konventionel</v>
          </cell>
          <cell r="D164" t="str">
            <v>Areal-grøntsager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0.45473887349709213</v>
          </cell>
          <cell r="I164">
            <v>0.45473887349709213</v>
          </cell>
          <cell r="J164">
            <v>0.45473887349709213</v>
          </cell>
        </row>
        <row r="165">
          <cell r="A165" t="str">
            <v>Grøntsager i drivhus</v>
          </cell>
          <cell r="B165" t="str">
            <v>Økologisk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216.04087786259561</v>
          </cell>
          <cell r="I165">
            <v>216.04087786259561</v>
          </cell>
          <cell r="J165">
            <v>216.04087786259561</v>
          </cell>
        </row>
        <row r="166">
          <cell r="A166" t="str">
            <v>Grøntsager i drivhus</v>
          </cell>
          <cell r="B166" t="str">
            <v>Økologisk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-1197</v>
          </cell>
          <cell r="I166">
            <v>-1197</v>
          </cell>
          <cell r="J166">
            <v>-1197</v>
          </cell>
        </row>
        <row r="167">
          <cell r="A167" t="str">
            <v>Grøntsager i drivhus</v>
          </cell>
          <cell r="B167" t="str">
            <v>Økologisk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0.45473887349709213</v>
          </cell>
          <cell r="I167">
            <v>0.45473887349709213</v>
          </cell>
          <cell r="J167">
            <v>0.45473887349709213</v>
          </cell>
        </row>
        <row r="168">
          <cell r="A168" t="str">
            <v>Kartoffelmark</v>
          </cell>
          <cell r="B168" t="str">
            <v>Konventionel</v>
          </cell>
          <cell r="C168" t="str">
            <v>JB1-10</v>
          </cell>
          <cell r="D168" t="str">
            <v>Areal-kartofler</v>
          </cell>
          <cell r="E168" t="str">
            <v>Hektar</v>
          </cell>
          <cell r="F168" t="str">
            <v>Kartofler</v>
          </cell>
          <cell r="G168" t="str">
            <v>Ton</v>
          </cell>
          <cell r="H168">
            <v>42.470899470899468</v>
          </cell>
          <cell r="I168">
            <v>42.470899470899468</v>
          </cell>
          <cell r="J168">
            <v>42.470899470899468</v>
          </cell>
        </row>
        <row r="169">
          <cell r="A169" t="str">
            <v>Kartoffelmark</v>
          </cell>
          <cell r="B169" t="str">
            <v>Konventionel</v>
          </cell>
          <cell r="C169" t="str">
            <v>JB1-10</v>
          </cell>
          <cell r="D169" t="str">
            <v>Areal-kartofler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-150</v>
          </cell>
          <cell r="I169">
            <v>-150</v>
          </cell>
          <cell r="J169">
            <v>-150</v>
          </cell>
        </row>
        <row r="170">
          <cell r="A170" t="str">
            <v>Kartoffelmark</v>
          </cell>
          <cell r="B170" t="str">
            <v>Konventionel</v>
          </cell>
          <cell r="C170" t="str">
            <v>JB1-10</v>
          </cell>
          <cell r="D170" t="str">
            <v>Areal-kartofler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2.2736943674854606</v>
          </cell>
          <cell r="I170">
            <v>2.2736943674854606</v>
          </cell>
          <cell r="J170">
            <v>2.2736943674854606</v>
          </cell>
        </row>
        <row r="171">
          <cell r="A171" t="str">
            <v>Kartoffelmark</v>
          </cell>
          <cell r="B171" t="str">
            <v>Konventionel</v>
          </cell>
          <cell r="C171" t="str">
            <v>OC6</v>
          </cell>
          <cell r="D171" t="str">
            <v>Areal-kartofler</v>
          </cell>
          <cell r="E171" t="str">
            <v>Hektar</v>
          </cell>
          <cell r="F171" t="str">
            <v>Kartofler</v>
          </cell>
          <cell r="G171" t="str">
            <v>Ton</v>
          </cell>
          <cell r="H171">
            <v>50.965079365079362</v>
          </cell>
          <cell r="I171">
            <v>50.965079365079362</v>
          </cell>
          <cell r="J171">
            <v>50.965079365079362</v>
          </cell>
        </row>
        <row r="172">
          <cell r="A172" t="str">
            <v>Kartoffelmark</v>
          </cell>
          <cell r="B172" t="str">
            <v>Konventionel</v>
          </cell>
          <cell r="C172" t="str">
            <v>OC6</v>
          </cell>
          <cell r="D172" t="str">
            <v>Areal-kartofler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-120</v>
          </cell>
          <cell r="I172">
            <v>-120</v>
          </cell>
          <cell r="J172">
            <v>-120</v>
          </cell>
        </row>
        <row r="173">
          <cell r="A173" t="str">
            <v>Kartoffelmark</v>
          </cell>
          <cell r="B173" t="str">
            <v>Konventionel</v>
          </cell>
          <cell r="C173" t="str">
            <v>OC6</v>
          </cell>
          <cell r="D173" t="str">
            <v>Areal-kartofler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15.99169436748546</v>
          </cell>
          <cell r="I173">
            <v>15.99169436748546</v>
          </cell>
          <cell r="J173">
            <v>15.99169436748546</v>
          </cell>
        </row>
        <row r="174">
          <cell r="A174" t="str">
            <v>Kartoffelmark</v>
          </cell>
          <cell r="B174" t="str">
            <v>Konventionel</v>
          </cell>
          <cell r="C174" t="str">
            <v>OC12</v>
          </cell>
          <cell r="D174" t="str">
            <v>Areal-kartofler</v>
          </cell>
          <cell r="E174" t="str">
            <v>Hektar</v>
          </cell>
          <cell r="F174" t="str">
            <v>Kartofler</v>
          </cell>
          <cell r="G174" t="str">
            <v>Ton</v>
          </cell>
          <cell r="H174">
            <v>59.459259259259248</v>
          </cell>
          <cell r="I174">
            <v>59.459259259259248</v>
          </cell>
          <cell r="J174">
            <v>59.459259259259248</v>
          </cell>
        </row>
        <row r="175">
          <cell r="A175" t="str">
            <v>Kartoffelmark</v>
          </cell>
          <cell r="B175" t="str">
            <v>Konventionel</v>
          </cell>
          <cell r="C175" t="str">
            <v>OC12</v>
          </cell>
          <cell r="D175" t="str">
            <v>Areal-kartofler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-90</v>
          </cell>
          <cell r="I175">
            <v>-90</v>
          </cell>
          <cell r="J175">
            <v>-90</v>
          </cell>
        </row>
        <row r="176">
          <cell r="A176" t="str">
            <v>Kartoffelmark</v>
          </cell>
          <cell r="B176" t="str">
            <v>Konventionel</v>
          </cell>
          <cell r="C176" t="str">
            <v>OC12</v>
          </cell>
          <cell r="D176" t="str">
            <v>Areal-kartofler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40.951694367485452</v>
          </cell>
          <cell r="I176">
            <v>40.951694367485452</v>
          </cell>
          <cell r="J176">
            <v>40.951694367485452</v>
          </cell>
        </row>
        <row r="177">
          <cell r="A177" t="str">
            <v>Kartoffelmark</v>
          </cell>
          <cell r="B177" t="str">
            <v>Økologisk</v>
          </cell>
          <cell r="C177" t="str">
            <v>JB1-10</v>
          </cell>
          <cell r="D177" t="str">
            <v>Areal-kartofler</v>
          </cell>
          <cell r="E177" t="str">
            <v>Hektar</v>
          </cell>
          <cell r="F177" t="str">
            <v>Kartofler</v>
          </cell>
          <cell r="G177" t="str">
            <v>Ton</v>
          </cell>
          <cell r="H177">
            <v>24.208412698412694</v>
          </cell>
          <cell r="I177">
            <v>24.208412698412694</v>
          </cell>
          <cell r="J177">
            <v>24.208412698412694</v>
          </cell>
        </row>
        <row r="178">
          <cell r="A178" t="str">
            <v>Kartoffelmark</v>
          </cell>
          <cell r="B178" t="str">
            <v>Økologisk</v>
          </cell>
          <cell r="C178" t="str">
            <v>JB1-10</v>
          </cell>
          <cell r="D178" t="str">
            <v>Areal-kartofler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-85.499999999999986</v>
          </cell>
          <cell r="I178">
            <v>-85.499999999999986</v>
          </cell>
          <cell r="J178">
            <v>-85.499999999999986</v>
          </cell>
        </row>
        <row r="179">
          <cell r="A179" t="str">
            <v>Kartoffelmark</v>
          </cell>
          <cell r="B179" t="str">
            <v>Økologisk</v>
          </cell>
          <cell r="C179" t="str">
            <v>JB1-10</v>
          </cell>
          <cell r="D179" t="str">
            <v>Areal-kartofler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2.2736943674854606</v>
          </cell>
          <cell r="I179">
            <v>2.2736943674854606</v>
          </cell>
          <cell r="J179">
            <v>2.2736943674854606</v>
          </cell>
        </row>
        <row r="180">
          <cell r="A180" t="str">
            <v>Kartoffelmark</v>
          </cell>
          <cell r="B180" t="str">
            <v>Økologisk</v>
          </cell>
          <cell r="C180" t="str">
            <v>OC6</v>
          </cell>
          <cell r="D180" t="str">
            <v>Areal-kartofler</v>
          </cell>
          <cell r="E180" t="str">
            <v>Hektar</v>
          </cell>
          <cell r="F180" t="str">
            <v>Kartofler</v>
          </cell>
          <cell r="G180" t="str">
            <v>Ton</v>
          </cell>
          <cell r="H180">
            <v>29.050095238095235</v>
          </cell>
          <cell r="I180">
            <v>29.050095238095235</v>
          </cell>
          <cell r="J180">
            <v>29.050095238095235</v>
          </cell>
        </row>
        <row r="181">
          <cell r="A181" t="str">
            <v>Kartoffelmark</v>
          </cell>
          <cell r="B181" t="str">
            <v>Økologisk</v>
          </cell>
          <cell r="C181" t="str">
            <v>OC6</v>
          </cell>
          <cell r="D181" t="str">
            <v>Areal-kartofler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-68.399999999999991</v>
          </cell>
          <cell r="I181">
            <v>-68.399999999999991</v>
          </cell>
          <cell r="J181">
            <v>-68.399999999999991</v>
          </cell>
        </row>
        <row r="182">
          <cell r="A182" t="str">
            <v>Kartoffelmark</v>
          </cell>
          <cell r="B182" t="str">
            <v>Økologisk</v>
          </cell>
          <cell r="C182" t="str">
            <v>OC6</v>
          </cell>
          <cell r="D182" t="str">
            <v>Areal-kartofler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15.99169436748546</v>
          </cell>
          <cell r="I182">
            <v>15.99169436748546</v>
          </cell>
          <cell r="J182">
            <v>15.99169436748546</v>
          </cell>
        </row>
        <row r="183">
          <cell r="A183" t="str">
            <v>Kartoffelmark</v>
          </cell>
          <cell r="B183" t="str">
            <v>Økologisk</v>
          </cell>
          <cell r="C183" t="str">
            <v>OC12</v>
          </cell>
          <cell r="D183" t="str">
            <v>Areal-kartofler</v>
          </cell>
          <cell r="E183" t="str">
            <v>Hektar</v>
          </cell>
          <cell r="F183" t="str">
            <v>Kartofler</v>
          </cell>
          <cell r="G183" t="str">
            <v>Ton</v>
          </cell>
          <cell r="H183">
            <v>33.891777777777769</v>
          </cell>
          <cell r="I183">
            <v>33.891777777777769</v>
          </cell>
          <cell r="J183">
            <v>33.891777777777769</v>
          </cell>
        </row>
        <row r="184">
          <cell r="A184" t="str">
            <v>Kartoffelmark</v>
          </cell>
          <cell r="B184" t="str">
            <v>Økologisk</v>
          </cell>
          <cell r="C184" t="str">
            <v>OC12</v>
          </cell>
          <cell r="D184" t="str">
            <v>Areal-kartofler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-51.3</v>
          </cell>
          <cell r="I184">
            <v>-51.3</v>
          </cell>
          <cell r="J184">
            <v>-51.3</v>
          </cell>
        </row>
        <row r="185">
          <cell r="A185" t="str">
            <v>Kartoffelmark</v>
          </cell>
          <cell r="B185" t="str">
            <v>Økologisk</v>
          </cell>
          <cell r="C185" t="str">
            <v>OC12</v>
          </cell>
          <cell r="D185" t="str">
            <v>Areal-kartofler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40.951694367485452</v>
          </cell>
          <cell r="I185">
            <v>40.951694367485452</v>
          </cell>
          <cell r="J185">
            <v>40.951694367485452</v>
          </cell>
        </row>
        <row r="186">
          <cell r="A186" t="str">
            <v>Græsmark</v>
          </cell>
          <cell r="B186" t="str">
            <v>Konventionel</v>
          </cell>
          <cell r="C186" t="str">
            <v>JB1-10</v>
          </cell>
          <cell r="D186" t="str">
            <v>Areal-græs</v>
          </cell>
          <cell r="E186" t="str">
            <v>Hektar</v>
          </cell>
          <cell r="F186" t="str">
            <v>Græs</v>
          </cell>
          <cell r="G186" t="str">
            <v>Ton</v>
          </cell>
          <cell r="H186">
            <v>49.62</v>
          </cell>
          <cell r="I186">
            <v>49.62</v>
          </cell>
          <cell r="J186">
            <v>49.62</v>
          </cell>
        </row>
        <row r="187">
          <cell r="A187" t="str">
            <v>Græsmark</v>
          </cell>
          <cell r="B187" t="str">
            <v>Konventionel</v>
          </cell>
          <cell r="C187" t="str">
            <v>JB1-10</v>
          </cell>
          <cell r="D187" t="str">
            <v>Areal-græs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-155</v>
          </cell>
          <cell r="I187">
            <v>-155</v>
          </cell>
          <cell r="J187">
            <v>-155</v>
          </cell>
        </row>
        <row r="188">
          <cell r="A188" t="str">
            <v>Græsmark</v>
          </cell>
          <cell r="B188" t="str">
            <v>Konventionel</v>
          </cell>
          <cell r="C188" t="str">
            <v>JB1-10</v>
          </cell>
          <cell r="D188" t="str">
            <v>Areal-græs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2.2736943674854606</v>
          </cell>
          <cell r="I188">
            <v>2.2736943674854606</v>
          </cell>
          <cell r="J188">
            <v>2.2736943674854606</v>
          </cell>
        </row>
        <row r="189">
          <cell r="A189" t="str">
            <v>Græsmark</v>
          </cell>
          <cell r="B189" t="str">
            <v>Konventionel</v>
          </cell>
          <cell r="C189" t="str">
            <v>OC6</v>
          </cell>
          <cell r="D189" t="str">
            <v>Areal-græs</v>
          </cell>
          <cell r="E189" t="str">
            <v>Hektar</v>
          </cell>
          <cell r="F189" t="str">
            <v>Græs</v>
          </cell>
          <cell r="G189" t="str">
            <v>Ton</v>
          </cell>
          <cell r="H189">
            <v>59.543999999999997</v>
          </cell>
          <cell r="I189">
            <v>59.543999999999997</v>
          </cell>
          <cell r="J189">
            <v>59.543999999999997</v>
          </cell>
        </row>
        <row r="190">
          <cell r="A190" t="str">
            <v>Græsmark</v>
          </cell>
          <cell r="B190" t="str">
            <v>Konventionel</v>
          </cell>
          <cell r="C190" t="str">
            <v>OC6</v>
          </cell>
          <cell r="D190" t="str">
            <v>Areal-græs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-130</v>
          </cell>
          <cell r="I190">
            <v>-130</v>
          </cell>
          <cell r="J190">
            <v>-130</v>
          </cell>
        </row>
        <row r="191">
          <cell r="A191" t="str">
            <v>Græsmark</v>
          </cell>
          <cell r="B191" t="str">
            <v>Konventionel</v>
          </cell>
          <cell r="C191" t="str">
            <v>OC6</v>
          </cell>
          <cell r="D191" t="str">
            <v>Areal-græs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15.99169436748546</v>
          </cell>
          <cell r="I191">
            <v>15.99169436748546</v>
          </cell>
          <cell r="J191">
            <v>15.99169436748546</v>
          </cell>
        </row>
        <row r="192">
          <cell r="A192" t="str">
            <v>Græsmark</v>
          </cell>
          <cell r="B192" t="str">
            <v>Konventionel</v>
          </cell>
          <cell r="C192" t="str">
            <v>OC12</v>
          </cell>
          <cell r="D192" t="str">
            <v>Areal-græs</v>
          </cell>
          <cell r="E192" t="str">
            <v>Hektar</v>
          </cell>
          <cell r="F192" t="str">
            <v>Græs</v>
          </cell>
          <cell r="G192" t="str">
            <v>Ton</v>
          </cell>
          <cell r="H192">
            <v>69.467999999999989</v>
          </cell>
          <cell r="I192">
            <v>69.467999999999989</v>
          </cell>
          <cell r="J192">
            <v>69.467999999999989</v>
          </cell>
        </row>
        <row r="193">
          <cell r="A193" t="str">
            <v>Græsmark</v>
          </cell>
          <cell r="B193" t="str">
            <v>Konventionel</v>
          </cell>
          <cell r="C193" t="str">
            <v>OC12</v>
          </cell>
          <cell r="D193" t="str">
            <v>Areal-græs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-105</v>
          </cell>
          <cell r="I193">
            <v>-105</v>
          </cell>
          <cell r="J193">
            <v>-105</v>
          </cell>
        </row>
        <row r="194">
          <cell r="A194" t="str">
            <v>Græsmark</v>
          </cell>
          <cell r="B194" t="str">
            <v>Konventionel</v>
          </cell>
          <cell r="C194" t="str">
            <v>OC12</v>
          </cell>
          <cell r="D194" t="str">
            <v>Areal-græs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40.951694367485452</v>
          </cell>
          <cell r="I194">
            <v>40.951694367485452</v>
          </cell>
          <cell r="J194">
            <v>40.951694367485452</v>
          </cell>
        </row>
        <row r="195">
          <cell r="A195" t="str">
            <v>Græsmark</v>
          </cell>
          <cell r="B195" t="str">
            <v>Økologisk</v>
          </cell>
          <cell r="C195" t="str">
            <v>JB1-10</v>
          </cell>
          <cell r="D195" t="str">
            <v>Areal-græs</v>
          </cell>
          <cell r="E195" t="str">
            <v>Hektar</v>
          </cell>
          <cell r="F195" t="str">
            <v>Græs</v>
          </cell>
          <cell r="G195" t="str">
            <v>Ton</v>
          </cell>
          <cell r="H195">
            <v>38.703600000000002</v>
          </cell>
          <cell r="I195">
            <v>38.703600000000002</v>
          </cell>
          <cell r="J195">
            <v>38.703600000000002</v>
          </cell>
        </row>
        <row r="196">
          <cell r="A196" t="str">
            <v>Græsmark</v>
          </cell>
          <cell r="B196" t="str">
            <v>Økologisk</v>
          </cell>
          <cell r="C196" t="str">
            <v>JB1-10</v>
          </cell>
          <cell r="D196" t="str">
            <v>Areal-græs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-120.9</v>
          </cell>
          <cell r="I196">
            <v>-120.9</v>
          </cell>
          <cell r="J196">
            <v>-120.9</v>
          </cell>
        </row>
        <row r="197">
          <cell r="A197" t="str">
            <v>Græsmark</v>
          </cell>
          <cell r="B197" t="str">
            <v>Økologisk</v>
          </cell>
          <cell r="C197" t="str">
            <v>JB1-10</v>
          </cell>
          <cell r="D197" t="str">
            <v>Areal-græs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2.2736943674854606</v>
          </cell>
          <cell r="I197">
            <v>2.2736943674854606</v>
          </cell>
          <cell r="J197">
            <v>2.2736943674854606</v>
          </cell>
        </row>
        <row r="198">
          <cell r="A198" t="str">
            <v>Græsmark</v>
          </cell>
          <cell r="B198" t="str">
            <v>Økologisk</v>
          </cell>
          <cell r="C198" t="str">
            <v>OC6</v>
          </cell>
          <cell r="D198" t="str">
            <v>Areal-græs</v>
          </cell>
          <cell r="E198" t="str">
            <v>Hektar</v>
          </cell>
          <cell r="F198" t="str">
            <v>Græs</v>
          </cell>
          <cell r="G198" t="str">
            <v>Ton</v>
          </cell>
          <cell r="H198">
            <v>46.444319999999998</v>
          </cell>
          <cell r="I198">
            <v>46.444319999999998</v>
          </cell>
          <cell r="J198">
            <v>46.444319999999998</v>
          </cell>
        </row>
        <row r="199">
          <cell r="A199" t="str">
            <v>Græsmark</v>
          </cell>
          <cell r="B199" t="str">
            <v>Økologisk</v>
          </cell>
          <cell r="C199" t="str">
            <v>OC6</v>
          </cell>
          <cell r="D199" t="str">
            <v>Areal-græs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-101.4</v>
          </cell>
          <cell r="I199">
            <v>-101.4</v>
          </cell>
          <cell r="J199">
            <v>-101.4</v>
          </cell>
        </row>
        <row r="200">
          <cell r="A200" t="str">
            <v>Græsmark</v>
          </cell>
          <cell r="B200" t="str">
            <v>Økologisk</v>
          </cell>
          <cell r="C200" t="str">
            <v>OC6</v>
          </cell>
          <cell r="D200" t="str">
            <v>Areal-græs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15.99169436748546</v>
          </cell>
          <cell r="I200">
            <v>15.99169436748546</v>
          </cell>
          <cell r="J200">
            <v>15.99169436748546</v>
          </cell>
        </row>
        <row r="201">
          <cell r="A201" t="str">
            <v>Græsmark</v>
          </cell>
          <cell r="B201" t="str">
            <v>Økologisk</v>
          </cell>
          <cell r="C201" t="str">
            <v>OC12</v>
          </cell>
          <cell r="D201" t="str">
            <v>Areal-græs</v>
          </cell>
          <cell r="E201" t="str">
            <v>Hektar</v>
          </cell>
          <cell r="F201" t="str">
            <v>Græs</v>
          </cell>
          <cell r="G201" t="str">
            <v>Ton</v>
          </cell>
          <cell r="H201">
            <v>54.185039999999994</v>
          </cell>
          <cell r="I201">
            <v>54.185039999999994</v>
          </cell>
          <cell r="J201">
            <v>54.185039999999994</v>
          </cell>
        </row>
        <row r="202">
          <cell r="A202" t="str">
            <v>Græsmark</v>
          </cell>
          <cell r="B202" t="str">
            <v>Økologisk</v>
          </cell>
          <cell r="C202" t="str">
            <v>OC12</v>
          </cell>
          <cell r="D202" t="str">
            <v>Areal-græs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-81.900000000000006</v>
          </cell>
          <cell r="I202">
            <v>-81.900000000000006</v>
          </cell>
          <cell r="J202">
            <v>-81.900000000000006</v>
          </cell>
        </row>
        <row r="203">
          <cell r="A203" t="str">
            <v>Græsmark</v>
          </cell>
          <cell r="B203" t="str">
            <v>Økologisk</v>
          </cell>
          <cell r="C203" t="str">
            <v>OC12</v>
          </cell>
          <cell r="D203" t="str">
            <v>Areal-græs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40.951694367485452</v>
          </cell>
          <cell r="I203">
            <v>40.951694367485452</v>
          </cell>
          <cell r="J203">
            <v>40.951694367485452</v>
          </cell>
        </row>
        <row r="204">
          <cell r="A204" t="str">
            <v>Bælgsædsmark</v>
          </cell>
          <cell r="B204" t="str">
            <v>Konventionel</v>
          </cell>
          <cell r="C204" t="str">
            <v>JB1-10</v>
          </cell>
          <cell r="D204" t="str">
            <v>Areal-bælgsæd</v>
          </cell>
          <cell r="E204" t="str">
            <v>Hektar</v>
          </cell>
          <cell r="F204" t="str">
            <v>Bælgsæd</v>
          </cell>
          <cell r="G204" t="str">
            <v>Ton</v>
          </cell>
          <cell r="H204">
            <v>3.8600000000000003</v>
          </cell>
          <cell r="I204">
            <v>3.8600000000000003</v>
          </cell>
          <cell r="J204">
            <v>3.8600000000000003</v>
          </cell>
        </row>
        <row r="205">
          <cell r="A205" t="str">
            <v>Bælgsædsmark</v>
          </cell>
          <cell r="B205" t="str">
            <v>Konventionel</v>
          </cell>
          <cell r="C205" t="str">
            <v>JB1-10</v>
          </cell>
          <cell r="D205" t="str">
            <v>Areal-bælgsæd</v>
          </cell>
          <cell r="E205" t="str">
            <v>Hektar</v>
          </cell>
          <cell r="F205" t="str">
            <v>Halm</v>
          </cell>
          <cell r="G205" t="str">
            <v>Ton</v>
          </cell>
          <cell r="H205">
            <v>1.9309999999999998</v>
          </cell>
          <cell r="I205">
            <v>1.9309999999999998</v>
          </cell>
          <cell r="J205">
            <v>1.9309999999999998</v>
          </cell>
        </row>
        <row r="206">
          <cell r="A206" t="str">
            <v>Bælgsædsmark</v>
          </cell>
          <cell r="B206" t="str">
            <v>Konventionel</v>
          </cell>
          <cell r="C206" t="str">
            <v>JB1-10</v>
          </cell>
          <cell r="D206" t="str">
            <v>Areal-bælgsæd</v>
          </cell>
          <cell r="E206" t="str">
            <v>Hektar</v>
          </cell>
          <cell r="F206" t="str">
            <v>Gødning</v>
          </cell>
          <cell r="G206" t="str">
            <v>kg N</v>
          </cell>
          <cell r="H206">
            <v>0</v>
          </cell>
          <cell r="I206">
            <v>0</v>
          </cell>
          <cell r="J206">
            <v>0</v>
          </cell>
        </row>
        <row r="207">
          <cell r="A207" t="str">
            <v>Bælgsædsmark</v>
          </cell>
          <cell r="B207" t="str">
            <v>Konventionel</v>
          </cell>
          <cell r="C207" t="str">
            <v>JB1-10</v>
          </cell>
          <cell r="D207" t="str">
            <v>Areal-bælgsæd</v>
          </cell>
          <cell r="E207" t="str">
            <v>Hektar</v>
          </cell>
          <cell r="F207" t="str">
            <v>CO2 - atmosfære</v>
          </cell>
          <cell r="G207" t="str">
            <v>t CO2-ækvivalenter</v>
          </cell>
          <cell r="H207">
            <v>2.2736943674854606</v>
          </cell>
          <cell r="I207">
            <v>2.2736943674854606</v>
          </cell>
          <cell r="J207">
            <v>2.2736943674854606</v>
          </cell>
        </row>
        <row r="208">
          <cell r="A208" t="str">
            <v>Bælgsædsmark</v>
          </cell>
          <cell r="B208" t="str">
            <v>Konventionel</v>
          </cell>
          <cell r="C208" t="str">
            <v>OC6</v>
          </cell>
          <cell r="D208" t="str">
            <v>Areal-bælgsæd</v>
          </cell>
          <cell r="E208" t="str">
            <v>Hektar</v>
          </cell>
          <cell r="F208" t="str">
            <v>Bælgsæd</v>
          </cell>
          <cell r="G208" t="str">
            <v>Ton</v>
          </cell>
          <cell r="H208">
            <v>4.6320000000000006</v>
          </cell>
          <cell r="I208">
            <v>4.6320000000000006</v>
          </cell>
          <cell r="J208">
            <v>4.6320000000000006</v>
          </cell>
        </row>
        <row r="209">
          <cell r="A209" t="str">
            <v>Bælgsædsmark</v>
          </cell>
          <cell r="B209" t="str">
            <v>Konventionel</v>
          </cell>
          <cell r="C209" t="str">
            <v>OC6</v>
          </cell>
          <cell r="D209" t="str">
            <v>Areal-bælgsæd</v>
          </cell>
          <cell r="E209" t="str">
            <v>Hektar</v>
          </cell>
          <cell r="F209" t="str">
            <v>Halm</v>
          </cell>
          <cell r="G209" t="str">
            <v>Ton</v>
          </cell>
          <cell r="H209">
            <v>2.3171999999999997</v>
          </cell>
          <cell r="I209">
            <v>2.3171999999999997</v>
          </cell>
          <cell r="J209">
            <v>2.3171999999999997</v>
          </cell>
        </row>
        <row r="210">
          <cell r="A210" t="str">
            <v>Bælgsædsmark</v>
          </cell>
          <cell r="B210" t="str">
            <v>Konventionel</v>
          </cell>
          <cell r="C210" t="str">
            <v>OC6</v>
          </cell>
          <cell r="D210" t="str">
            <v>Areal-bælgsæd</v>
          </cell>
          <cell r="E210" t="str">
            <v>Hektar</v>
          </cell>
          <cell r="F210" t="str">
            <v>Gødning</v>
          </cell>
          <cell r="G210" t="str">
            <v>kg N</v>
          </cell>
          <cell r="H210">
            <v>0</v>
          </cell>
          <cell r="I210">
            <v>0</v>
          </cell>
          <cell r="J210">
            <v>0</v>
          </cell>
        </row>
        <row r="211">
          <cell r="A211" t="str">
            <v>Bælgsædsmark</v>
          </cell>
          <cell r="B211" t="str">
            <v>Konventionel</v>
          </cell>
          <cell r="C211" t="str">
            <v>OC6</v>
          </cell>
          <cell r="D211" t="str">
            <v>Areal-bælgsæd</v>
          </cell>
          <cell r="E211" t="str">
            <v>Hektar</v>
          </cell>
          <cell r="F211" t="str">
            <v>CO2 - atmosfære</v>
          </cell>
          <cell r="G211" t="str">
            <v>t CO2-ækvivalenter</v>
          </cell>
          <cell r="H211">
            <v>15.99169436748546</v>
          </cell>
          <cell r="I211">
            <v>15.99169436748546</v>
          </cell>
          <cell r="J211">
            <v>15.99169436748546</v>
          </cell>
        </row>
        <row r="212">
          <cell r="A212" t="str">
            <v>Bælgsædsmark</v>
          </cell>
          <cell r="B212" t="str">
            <v>Konventionel</v>
          </cell>
          <cell r="C212" t="str">
            <v>OC12</v>
          </cell>
          <cell r="D212" t="str">
            <v>Areal-bælgsæd</v>
          </cell>
          <cell r="E212" t="str">
            <v>Hektar</v>
          </cell>
          <cell r="F212" t="str">
            <v>Bælgsæd</v>
          </cell>
          <cell r="G212" t="str">
            <v>Ton</v>
          </cell>
          <cell r="H212">
            <v>5.4039999999999999</v>
          </cell>
          <cell r="I212">
            <v>5.4039999999999999</v>
          </cell>
          <cell r="J212">
            <v>5.4039999999999999</v>
          </cell>
        </row>
        <row r="213">
          <cell r="A213" t="str">
            <v>Bælgsædsmark</v>
          </cell>
          <cell r="B213" t="str">
            <v>Konventionel</v>
          </cell>
          <cell r="C213" t="str">
            <v>OC12</v>
          </cell>
          <cell r="D213" t="str">
            <v>Areal-bælgsæd</v>
          </cell>
          <cell r="E213" t="str">
            <v>Hektar</v>
          </cell>
          <cell r="F213" t="str">
            <v>Halm</v>
          </cell>
          <cell r="G213" t="str">
            <v>Ton</v>
          </cell>
          <cell r="H213">
            <v>2.7033999999999998</v>
          </cell>
          <cell r="I213">
            <v>2.7033999999999998</v>
          </cell>
          <cell r="J213">
            <v>2.7033999999999998</v>
          </cell>
        </row>
        <row r="214">
          <cell r="A214" t="str">
            <v>Bælgsædsmark</v>
          </cell>
          <cell r="B214" t="str">
            <v>Konventionel</v>
          </cell>
          <cell r="C214" t="str">
            <v>OC12</v>
          </cell>
          <cell r="D214" t="str">
            <v>Areal-bælgsæd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0</v>
          </cell>
          <cell r="I214">
            <v>0</v>
          </cell>
          <cell r="J214">
            <v>0</v>
          </cell>
        </row>
        <row r="215">
          <cell r="A215" t="str">
            <v>Bælgsædsmark</v>
          </cell>
          <cell r="B215" t="str">
            <v>Konventionel</v>
          </cell>
          <cell r="C215" t="str">
            <v>OC12</v>
          </cell>
          <cell r="D215" t="str">
            <v>Areal-bælgsæd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Bælgsædsmark</v>
          </cell>
          <cell r="B216" t="str">
            <v>Økologisk</v>
          </cell>
          <cell r="C216" t="str">
            <v>JB1-10</v>
          </cell>
          <cell r="D216" t="str">
            <v>Areal-bælgsæd</v>
          </cell>
          <cell r="E216" t="str">
            <v>Hektar</v>
          </cell>
          <cell r="F216" t="str">
            <v>Bælgsæd</v>
          </cell>
          <cell r="G216" t="str">
            <v>Ton</v>
          </cell>
          <cell r="H216">
            <v>2.2002000000000002</v>
          </cell>
          <cell r="I216">
            <v>2.2002000000000002</v>
          </cell>
          <cell r="J216">
            <v>2.2002000000000002</v>
          </cell>
        </row>
        <row r="217">
          <cell r="A217" t="str">
            <v>Bælgsædsmark</v>
          </cell>
          <cell r="B217" t="str">
            <v>Økologisk</v>
          </cell>
          <cell r="C217" t="str">
            <v>JB1-10</v>
          </cell>
          <cell r="D217" t="str">
            <v>Areal-bælgsæd</v>
          </cell>
          <cell r="E217" t="str">
            <v>Hektar</v>
          </cell>
          <cell r="F217" t="str">
            <v>Halm</v>
          </cell>
          <cell r="G217" t="str">
            <v>Ton</v>
          </cell>
          <cell r="H217">
            <v>1.1006699999999998</v>
          </cell>
          <cell r="I217">
            <v>1.1006699999999998</v>
          </cell>
          <cell r="J217">
            <v>1.1006699999999998</v>
          </cell>
        </row>
        <row r="218">
          <cell r="A218" t="str">
            <v>Bælgsædsmark</v>
          </cell>
          <cell r="B218" t="str">
            <v>Økologisk</v>
          </cell>
          <cell r="C218" t="str">
            <v>JB1-10</v>
          </cell>
          <cell r="D218" t="str">
            <v>Areal-bælgsæd</v>
          </cell>
          <cell r="E218" t="str">
            <v>Hektar</v>
          </cell>
          <cell r="F218" t="str">
            <v>Gødning</v>
          </cell>
          <cell r="G218" t="str">
            <v>kg N</v>
          </cell>
          <cell r="H218">
            <v>0</v>
          </cell>
          <cell r="I218">
            <v>0</v>
          </cell>
          <cell r="J218">
            <v>0</v>
          </cell>
        </row>
        <row r="219">
          <cell r="A219" t="str">
            <v>Bælgsædsmark</v>
          </cell>
          <cell r="B219" t="str">
            <v>Økologisk</v>
          </cell>
          <cell r="C219" t="str">
            <v>JB1-10</v>
          </cell>
          <cell r="D219" t="str">
            <v>Areal-bælgsæd</v>
          </cell>
          <cell r="E219" t="str">
            <v>Hektar</v>
          </cell>
          <cell r="F219" t="str">
            <v>CO2 - atmosfære</v>
          </cell>
          <cell r="G219" t="str">
            <v>t CO2-ækvivalenter</v>
          </cell>
          <cell r="H219">
            <v>2.2736943674854606</v>
          </cell>
          <cell r="I219">
            <v>2.2736943674854606</v>
          </cell>
          <cell r="J219">
            <v>2.2736943674854606</v>
          </cell>
        </row>
        <row r="220">
          <cell r="A220" t="str">
            <v>Bælgsædsmark</v>
          </cell>
          <cell r="B220" t="str">
            <v>Økologisk</v>
          </cell>
          <cell r="C220" t="str">
            <v>OC6</v>
          </cell>
          <cell r="D220" t="str">
            <v>Areal-bælgsæd</v>
          </cell>
          <cell r="E220" t="str">
            <v>Hektar</v>
          </cell>
          <cell r="F220" t="str">
            <v>Bælgsæd</v>
          </cell>
          <cell r="G220" t="str">
            <v>Ton</v>
          </cell>
          <cell r="H220">
            <v>2.6402399999999999</v>
          </cell>
          <cell r="I220">
            <v>2.6402399999999999</v>
          </cell>
          <cell r="J220">
            <v>2.6402399999999999</v>
          </cell>
        </row>
        <row r="221">
          <cell r="A221" t="str">
            <v>Bælgsædsmark</v>
          </cell>
          <cell r="B221" t="str">
            <v>Økologisk</v>
          </cell>
          <cell r="C221" t="str">
            <v>OC6</v>
          </cell>
          <cell r="D221" t="str">
            <v>Areal-bælgsæd</v>
          </cell>
          <cell r="E221" t="str">
            <v>Hektar</v>
          </cell>
          <cell r="F221" t="str">
            <v>Halm</v>
          </cell>
          <cell r="G221" t="str">
            <v>Ton</v>
          </cell>
          <cell r="H221">
            <v>1.3208039999999996</v>
          </cell>
          <cell r="I221">
            <v>1.3208039999999996</v>
          </cell>
          <cell r="J221">
            <v>1.3208039999999996</v>
          </cell>
        </row>
        <row r="222">
          <cell r="A222" t="str">
            <v>Bælgsædsmark</v>
          </cell>
          <cell r="B222" t="str">
            <v>Økologisk</v>
          </cell>
          <cell r="C222" t="str">
            <v>OC6</v>
          </cell>
          <cell r="D222" t="str">
            <v>Areal-bælgsæd</v>
          </cell>
          <cell r="E222" t="str">
            <v>Hektar</v>
          </cell>
          <cell r="F222" t="str">
            <v>Gødning</v>
          </cell>
          <cell r="G222" t="str">
            <v>kg N</v>
          </cell>
          <cell r="H222">
            <v>0</v>
          </cell>
          <cell r="I222">
            <v>0</v>
          </cell>
          <cell r="J222">
            <v>0</v>
          </cell>
        </row>
        <row r="223">
          <cell r="A223" t="str">
            <v>Bælgsædsmark</v>
          </cell>
          <cell r="B223" t="str">
            <v>Økologisk</v>
          </cell>
          <cell r="C223" t="str">
            <v>OC6</v>
          </cell>
          <cell r="D223" t="str">
            <v>Areal-bælgsæd</v>
          </cell>
          <cell r="E223" t="str">
            <v>Hektar</v>
          </cell>
          <cell r="F223" t="str">
            <v>CO2 - atmosfære</v>
          </cell>
          <cell r="G223" t="str">
            <v>t CO2-ækvivalenter</v>
          </cell>
          <cell r="H223">
            <v>15.99169436748546</v>
          </cell>
          <cell r="I223">
            <v>15.99169436748546</v>
          </cell>
          <cell r="J223">
            <v>15.99169436748546</v>
          </cell>
        </row>
        <row r="224">
          <cell r="A224" t="str">
            <v>Bælgsædsmark</v>
          </cell>
          <cell r="B224" t="str">
            <v>Økologisk</v>
          </cell>
          <cell r="C224" t="str">
            <v>OC12</v>
          </cell>
          <cell r="D224" t="str">
            <v>Areal-bælgsæd</v>
          </cell>
          <cell r="E224" t="str">
            <v>Hektar</v>
          </cell>
          <cell r="F224" t="str">
            <v>Bælgsæd</v>
          </cell>
          <cell r="G224" t="str">
            <v>Ton</v>
          </cell>
          <cell r="H224">
            <v>3.0802799999999997</v>
          </cell>
          <cell r="I224">
            <v>3.0802799999999997</v>
          </cell>
          <cell r="J224">
            <v>3.0802799999999997</v>
          </cell>
        </row>
        <row r="225">
          <cell r="A225" t="str">
            <v>Bælgsædsmark</v>
          </cell>
          <cell r="B225" t="str">
            <v>Økologisk</v>
          </cell>
          <cell r="C225" t="str">
            <v>OC12</v>
          </cell>
          <cell r="D225" t="str">
            <v>Areal-bælgsæd</v>
          </cell>
          <cell r="E225" t="str">
            <v>Hektar</v>
          </cell>
          <cell r="F225" t="str">
            <v>Halm</v>
          </cell>
          <cell r="G225" t="str">
            <v>Ton</v>
          </cell>
          <cell r="H225">
            <v>1.5409379999999997</v>
          </cell>
          <cell r="I225">
            <v>1.5409379999999997</v>
          </cell>
          <cell r="J225">
            <v>1.5409379999999997</v>
          </cell>
        </row>
        <row r="226">
          <cell r="A226" t="str">
            <v>Bælgsædsmark</v>
          </cell>
          <cell r="B226" t="str">
            <v>Økologisk</v>
          </cell>
          <cell r="C226" t="str">
            <v>OC12</v>
          </cell>
          <cell r="D226" t="str">
            <v>Areal-bælgsæd</v>
          </cell>
          <cell r="E226" t="str">
            <v>Hektar</v>
          </cell>
          <cell r="F226" t="str">
            <v>Gødning</v>
          </cell>
          <cell r="G226" t="str">
            <v>kg N</v>
          </cell>
          <cell r="H226">
            <v>0</v>
          </cell>
          <cell r="I226">
            <v>0</v>
          </cell>
          <cell r="J226">
            <v>0</v>
          </cell>
        </row>
        <row r="227">
          <cell r="A227" t="str">
            <v>Bælgsædsmark</v>
          </cell>
          <cell r="B227" t="str">
            <v>Økologisk</v>
          </cell>
          <cell r="C227" t="str">
            <v>OC12</v>
          </cell>
          <cell r="D227" t="str">
            <v>Areal-bælgsæd</v>
          </cell>
          <cell r="E227" t="str">
            <v>Hektar</v>
          </cell>
          <cell r="F227" t="str">
            <v>CO2 - atmosfære</v>
          </cell>
          <cell r="G227" t="str">
            <v>t CO2-ækvivalenter</v>
          </cell>
          <cell r="H227">
            <v>40.951694367485452</v>
          </cell>
          <cell r="I227">
            <v>40.951694367485452</v>
          </cell>
          <cell r="J227">
            <v>40.951694367485452</v>
          </cell>
        </row>
        <row r="228">
          <cell r="A228" t="str">
            <v>Roemark</v>
          </cell>
          <cell r="B228" t="str">
            <v>Konventionel</v>
          </cell>
          <cell r="C228" t="str">
            <v>JB1-10</v>
          </cell>
          <cell r="D228" t="str">
            <v>Areal-roer</v>
          </cell>
          <cell r="E228" t="str">
            <v>Hektar</v>
          </cell>
          <cell r="F228" t="str">
            <v>Roer</v>
          </cell>
          <cell r="G228" t="str">
            <v>Ton</v>
          </cell>
          <cell r="H228">
            <v>81.253731343283576</v>
          </cell>
          <cell r="I228">
            <v>81.253731343283576</v>
          </cell>
          <cell r="J228">
            <v>81.253731343283576</v>
          </cell>
        </row>
        <row r="229">
          <cell r="A229" t="str">
            <v>Roemark</v>
          </cell>
          <cell r="B229" t="str">
            <v>Konventionel</v>
          </cell>
          <cell r="C229" t="str">
            <v>JB1-10</v>
          </cell>
          <cell r="D229" t="str">
            <v>Areal-roer</v>
          </cell>
          <cell r="E229" t="str">
            <v>Hektar</v>
          </cell>
          <cell r="F229" t="str">
            <v>Gødning</v>
          </cell>
          <cell r="G229" t="str">
            <v>kg N</v>
          </cell>
          <cell r="H229">
            <v>-135</v>
          </cell>
          <cell r="I229">
            <v>-135</v>
          </cell>
          <cell r="J229">
            <v>-135</v>
          </cell>
        </row>
        <row r="230">
          <cell r="A230" t="str">
            <v>Roemark</v>
          </cell>
          <cell r="B230" t="str">
            <v>Konventionel</v>
          </cell>
          <cell r="C230" t="str">
            <v>JB1-10</v>
          </cell>
          <cell r="D230" t="str">
            <v>Areal-roer</v>
          </cell>
          <cell r="E230" t="str">
            <v>Hektar</v>
          </cell>
          <cell r="F230" t="str">
            <v>CO2 - atmosfære</v>
          </cell>
          <cell r="G230" t="str">
            <v>t CO2-ækvivalenter</v>
          </cell>
          <cell r="H230">
            <v>2.2736943674854606</v>
          </cell>
          <cell r="I230">
            <v>2.2736943674854606</v>
          </cell>
          <cell r="J230">
            <v>2.2736943674854606</v>
          </cell>
        </row>
        <row r="231">
          <cell r="A231" t="str">
            <v>Roemark</v>
          </cell>
          <cell r="B231" t="str">
            <v>Konventionel</v>
          </cell>
          <cell r="C231" t="str">
            <v>OC6</v>
          </cell>
          <cell r="D231" t="str">
            <v>Areal-roer</v>
          </cell>
          <cell r="E231" t="str">
            <v>Hektar</v>
          </cell>
          <cell r="F231" t="str">
            <v>Roer</v>
          </cell>
          <cell r="G231" t="str">
            <v>Ton</v>
          </cell>
          <cell r="H231">
            <v>97.504477611940288</v>
          </cell>
          <cell r="I231">
            <v>97.504477611940288</v>
          </cell>
          <cell r="J231">
            <v>97.504477611940288</v>
          </cell>
        </row>
        <row r="232">
          <cell r="A232" t="str">
            <v>Roemark</v>
          </cell>
          <cell r="B232" t="str">
            <v>Konventionel</v>
          </cell>
          <cell r="C232" t="str">
            <v>OC6</v>
          </cell>
          <cell r="D232" t="str">
            <v>Areal-roer</v>
          </cell>
          <cell r="E232" t="str">
            <v>Hektar</v>
          </cell>
          <cell r="F232" t="str">
            <v>Gødning</v>
          </cell>
          <cell r="G232" t="str">
            <v>kg N</v>
          </cell>
          <cell r="H232">
            <v>-105</v>
          </cell>
          <cell r="I232">
            <v>-105</v>
          </cell>
          <cell r="J232">
            <v>-105</v>
          </cell>
        </row>
        <row r="233">
          <cell r="A233" t="str">
            <v>Roemark</v>
          </cell>
          <cell r="B233" t="str">
            <v>Konventionel</v>
          </cell>
          <cell r="C233" t="str">
            <v>OC6</v>
          </cell>
          <cell r="D233" t="str">
            <v>Areal-roer</v>
          </cell>
          <cell r="E233" t="str">
            <v>Hektar</v>
          </cell>
          <cell r="F233" t="str">
            <v>CO2 - atmosfære</v>
          </cell>
          <cell r="G233" t="str">
            <v>t CO2-ækvivalenter</v>
          </cell>
          <cell r="H233">
            <v>15.99169436748546</v>
          </cell>
          <cell r="I233">
            <v>15.99169436748546</v>
          </cell>
          <cell r="J233">
            <v>15.99169436748546</v>
          </cell>
        </row>
        <row r="234">
          <cell r="A234" t="str">
            <v>Roemark</v>
          </cell>
          <cell r="B234" t="str">
            <v>Konventionel</v>
          </cell>
          <cell r="C234" t="str">
            <v>OC12</v>
          </cell>
          <cell r="D234" t="str">
            <v>Areal-roer</v>
          </cell>
          <cell r="E234" t="str">
            <v>Hektar</v>
          </cell>
          <cell r="F234" t="str">
            <v>Roer</v>
          </cell>
          <cell r="G234" t="str">
            <v>Ton</v>
          </cell>
          <cell r="H234">
            <v>113.755223880597</v>
          </cell>
          <cell r="I234">
            <v>113.755223880597</v>
          </cell>
          <cell r="J234">
            <v>113.755223880597</v>
          </cell>
        </row>
        <row r="235">
          <cell r="A235" t="str">
            <v>Roemark</v>
          </cell>
          <cell r="B235" t="str">
            <v>Konventionel</v>
          </cell>
          <cell r="C235" t="str">
            <v>OC12</v>
          </cell>
          <cell r="D235" t="str">
            <v>Areal-roer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-75</v>
          </cell>
          <cell r="I235">
            <v>-75</v>
          </cell>
          <cell r="J235">
            <v>-75</v>
          </cell>
        </row>
        <row r="236">
          <cell r="A236" t="str">
            <v>Roemark</v>
          </cell>
          <cell r="B236" t="str">
            <v>Konventionel</v>
          </cell>
          <cell r="C236" t="str">
            <v>OC12</v>
          </cell>
          <cell r="D236" t="str">
            <v>Areal-roer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Roemark</v>
          </cell>
          <cell r="B237" t="str">
            <v>Økologisk</v>
          </cell>
          <cell r="C237" t="str">
            <v>JB1-10</v>
          </cell>
          <cell r="D237" t="str">
            <v>Areal-roer</v>
          </cell>
          <cell r="E237" t="str">
            <v>Hektar</v>
          </cell>
          <cell r="F237" t="str">
            <v>Roer</v>
          </cell>
          <cell r="G237" t="str">
            <v>Ton</v>
          </cell>
          <cell r="H237">
            <v>46.314626865671634</v>
          </cell>
          <cell r="I237">
            <v>46.314626865671634</v>
          </cell>
          <cell r="J237">
            <v>46.314626865671634</v>
          </cell>
        </row>
        <row r="238">
          <cell r="A238" t="str">
            <v>Roemark</v>
          </cell>
          <cell r="B238" t="str">
            <v>Økologisk</v>
          </cell>
          <cell r="C238" t="str">
            <v>JB1-10</v>
          </cell>
          <cell r="D238" t="str">
            <v>Areal-roer</v>
          </cell>
          <cell r="E238" t="str">
            <v>Hektar</v>
          </cell>
          <cell r="F238" t="str">
            <v>Gødning</v>
          </cell>
          <cell r="G238" t="str">
            <v>kg N</v>
          </cell>
          <cell r="H238">
            <v>-76.949999999999989</v>
          </cell>
          <cell r="I238">
            <v>-76.949999999999989</v>
          </cell>
          <cell r="J238">
            <v>-76.949999999999989</v>
          </cell>
        </row>
        <row r="239">
          <cell r="A239" t="str">
            <v>Roemark</v>
          </cell>
          <cell r="B239" t="str">
            <v>Økologisk</v>
          </cell>
          <cell r="C239" t="str">
            <v>JB1-10</v>
          </cell>
          <cell r="D239" t="str">
            <v>Areal-roer</v>
          </cell>
          <cell r="E239" t="str">
            <v>Hektar</v>
          </cell>
          <cell r="F239" t="str">
            <v>CO2 - atmosfære</v>
          </cell>
          <cell r="G239" t="str">
            <v>t CO2-ækvivalenter</v>
          </cell>
          <cell r="H239">
            <v>2.2736943674854606</v>
          </cell>
          <cell r="I239">
            <v>2.2736943674854606</v>
          </cell>
          <cell r="J239">
            <v>2.2736943674854606</v>
          </cell>
        </row>
        <row r="240">
          <cell r="A240" t="str">
            <v>Roemark</v>
          </cell>
          <cell r="B240" t="str">
            <v>Økologisk</v>
          </cell>
          <cell r="C240" t="str">
            <v>OC6</v>
          </cell>
          <cell r="D240" t="str">
            <v>Areal-roer</v>
          </cell>
          <cell r="E240" t="str">
            <v>Hektar</v>
          </cell>
          <cell r="F240" t="str">
            <v>Roer</v>
          </cell>
          <cell r="G240" t="str">
            <v>Ton</v>
          </cell>
          <cell r="H240">
            <v>55.577552238805957</v>
          </cell>
          <cell r="I240">
            <v>55.577552238805957</v>
          </cell>
          <cell r="J240">
            <v>55.577552238805957</v>
          </cell>
        </row>
        <row r="241">
          <cell r="A241" t="str">
            <v>Roemark</v>
          </cell>
          <cell r="B241" t="str">
            <v>Økologisk</v>
          </cell>
          <cell r="C241" t="str">
            <v>OC6</v>
          </cell>
          <cell r="D241" t="str">
            <v>Areal-roer</v>
          </cell>
          <cell r="E241" t="str">
            <v>Hektar</v>
          </cell>
          <cell r="F241" t="str">
            <v>Gødning</v>
          </cell>
          <cell r="G241" t="str">
            <v>kg N</v>
          </cell>
          <cell r="H241">
            <v>-59.849999999999994</v>
          </cell>
          <cell r="I241">
            <v>-59.849999999999994</v>
          </cell>
          <cell r="J241">
            <v>-59.849999999999994</v>
          </cell>
        </row>
        <row r="242">
          <cell r="A242" t="str">
            <v>Roemark</v>
          </cell>
          <cell r="B242" t="str">
            <v>Økologisk</v>
          </cell>
          <cell r="C242" t="str">
            <v>OC6</v>
          </cell>
          <cell r="D242" t="str">
            <v>Areal-roer</v>
          </cell>
          <cell r="E242" t="str">
            <v>Hektar</v>
          </cell>
          <cell r="F242" t="str">
            <v>CO2 - atmosfære</v>
          </cell>
          <cell r="G242" t="str">
            <v>t CO2-ækvivalenter</v>
          </cell>
          <cell r="H242">
            <v>15.99169436748546</v>
          </cell>
          <cell r="I242">
            <v>15.99169436748546</v>
          </cell>
          <cell r="J242">
            <v>15.99169436748546</v>
          </cell>
        </row>
        <row r="243">
          <cell r="A243" t="str">
            <v>Roemark</v>
          </cell>
          <cell r="B243" t="str">
            <v>Økologisk</v>
          </cell>
          <cell r="C243" t="str">
            <v>OC12</v>
          </cell>
          <cell r="D243" t="str">
            <v>Areal-roer</v>
          </cell>
          <cell r="E243" t="str">
            <v>Hektar</v>
          </cell>
          <cell r="F243" t="str">
            <v>Roer</v>
          </cell>
          <cell r="G243" t="str">
            <v>Ton</v>
          </cell>
          <cell r="H243">
            <v>64.840477611940287</v>
          </cell>
          <cell r="I243">
            <v>64.840477611940287</v>
          </cell>
          <cell r="J243">
            <v>64.840477611940287</v>
          </cell>
        </row>
        <row r="244">
          <cell r="A244" t="str">
            <v>Roemark</v>
          </cell>
          <cell r="B244" t="str">
            <v>Økologisk</v>
          </cell>
          <cell r="C244" t="str">
            <v>OC12</v>
          </cell>
          <cell r="D244" t="str">
            <v>Areal-roer</v>
          </cell>
          <cell r="E244" t="str">
            <v>Hektar</v>
          </cell>
          <cell r="F244" t="str">
            <v>Gødning</v>
          </cell>
          <cell r="G244" t="str">
            <v>kg N</v>
          </cell>
          <cell r="H244">
            <v>-42.749999999999993</v>
          </cell>
          <cell r="I244">
            <v>-42.749999999999993</v>
          </cell>
          <cell r="J244">
            <v>-42.749999999999993</v>
          </cell>
        </row>
        <row r="245">
          <cell r="A245" t="str">
            <v>Roemark</v>
          </cell>
          <cell r="B245" t="str">
            <v>Økologisk</v>
          </cell>
          <cell r="C245" t="str">
            <v>OC12</v>
          </cell>
          <cell r="D245" t="str">
            <v>Areal-roer</v>
          </cell>
          <cell r="E245" t="str">
            <v>Hektar</v>
          </cell>
          <cell r="F245" t="str">
            <v>CO2 - atmosfære</v>
          </cell>
          <cell r="G245" t="str">
            <v>t CO2-ækvivalenter</v>
          </cell>
          <cell r="H245">
            <v>40.951694367485452</v>
          </cell>
          <cell r="I245">
            <v>40.951694367485452</v>
          </cell>
          <cell r="J245">
            <v>40.951694367485452</v>
          </cell>
        </row>
        <row r="246">
          <cell r="A246" t="str">
            <v>Frugtmark</v>
          </cell>
          <cell r="B246" t="str">
            <v>Konventionel</v>
          </cell>
          <cell r="C246" t="str">
            <v>JB1-10</v>
          </cell>
          <cell r="D246" t="str">
            <v>Areal-frugt</v>
          </cell>
          <cell r="E246" t="str">
            <v>Hektar</v>
          </cell>
          <cell r="F246" t="str">
            <v>Frugt</v>
          </cell>
          <cell r="G246" t="str">
            <v>Ton</v>
          </cell>
          <cell r="H246">
            <v>8.49</v>
          </cell>
          <cell r="I246">
            <v>8.49</v>
          </cell>
          <cell r="J246">
            <v>8.49</v>
          </cell>
        </row>
        <row r="247">
          <cell r="A247" t="str">
            <v>Frugtmark</v>
          </cell>
          <cell r="B247" t="str">
            <v>Konventionel</v>
          </cell>
          <cell r="C247" t="str">
            <v>JB1-10</v>
          </cell>
          <cell r="D247" t="str">
            <v>Areal-frugt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-140</v>
          </cell>
          <cell r="I247">
            <v>-140</v>
          </cell>
          <cell r="J247">
            <v>-140</v>
          </cell>
        </row>
        <row r="248">
          <cell r="A248" t="str">
            <v>Frugtmark</v>
          </cell>
          <cell r="B248" t="str">
            <v>Konventionel</v>
          </cell>
          <cell r="C248" t="str">
            <v>JB1-10</v>
          </cell>
          <cell r="D248" t="str">
            <v>Areal-frugt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1.9656943674854606</v>
          </cell>
          <cell r="I248">
            <v>1.9656943674854606</v>
          </cell>
          <cell r="J248">
            <v>1.9656943674854606</v>
          </cell>
        </row>
        <row r="249">
          <cell r="A249" t="str">
            <v>Frugtmark</v>
          </cell>
          <cell r="B249" t="str">
            <v>Konventionel</v>
          </cell>
          <cell r="C249" t="str">
            <v>OC6</v>
          </cell>
          <cell r="D249" t="str">
            <v>Areal-frugt</v>
          </cell>
          <cell r="E249" t="str">
            <v>Hektar</v>
          </cell>
          <cell r="F249" t="str">
            <v>Frugt</v>
          </cell>
          <cell r="G249" t="str">
            <v>Ton</v>
          </cell>
          <cell r="H249">
            <v>10.188000000000001</v>
          </cell>
          <cell r="I249">
            <v>10.188000000000001</v>
          </cell>
          <cell r="J249">
            <v>10.188000000000001</v>
          </cell>
        </row>
        <row r="250">
          <cell r="A250" t="str">
            <v>Frugtmark</v>
          </cell>
          <cell r="B250" t="str">
            <v>Konventionel</v>
          </cell>
          <cell r="C250" t="str">
            <v>OC6</v>
          </cell>
          <cell r="D250" t="str">
            <v>Areal-frugt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-140</v>
          </cell>
          <cell r="I250">
            <v>-140</v>
          </cell>
          <cell r="J250">
            <v>-140</v>
          </cell>
        </row>
        <row r="251">
          <cell r="A251" t="str">
            <v>Frugtmark</v>
          </cell>
          <cell r="B251" t="str">
            <v>Konventionel</v>
          </cell>
          <cell r="C251" t="str">
            <v>OC6</v>
          </cell>
          <cell r="D251" t="str">
            <v>Areal-frugt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10.661694367485461</v>
          </cell>
          <cell r="I251">
            <v>10.661694367485461</v>
          </cell>
          <cell r="J251">
            <v>10.661694367485461</v>
          </cell>
        </row>
        <row r="252">
          <cell r="A252" t="str">
            <v>Frugtmark</v>
          </cell>
          <cell r="B252" t="str">
            <v>Konventionel</v>
          </cell>
          <cell r="C252" t="str">
            <v>OC12</v>
          </cell>
          <cell r="D252" t="str">
            <v>Areal-frugt</v>
          </cell>
          <cell r="E252" t="str">
            <v>Hektar</v>
          </cell>
          <cell r="F252" t="str">
            <v>Frugt</v>
          </cell>
          <cell r="G252" t="str">
            <v>Ton</v>
          </cell>
          <cell r="H252">
            <v>11.885999999999999</v>
          </cell>
          <cell r="I252">
            <v>11.885999999999999</v>
          </cell>
          <cell r="J252">
            <v>11.885999999999999</v>
          </cell>
        </row>
        <row r="253">
          <cell r="A253" t="str">
            <v>Frugtmark</v>
          </cell>
          <cell r="B253" t="str">
            <v>Konventionel</v>
          </cell>
          <cell r="C253" t="str">
            <v>OC12</v>
          </cell>
          <cell r="D253" t="str">
            <v>Areal-frugt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-140</v>
          </cell>
          <cell r="I253">
            <v>-140</v>
          </cell>
          <cell r="J253">
            <v>-140</v>
          </cell>
        </row>
        <row r="254">
          <cell r="A254" t="str">
            <v>Frugtmark</v>
          </cell>
          <cell r="B254" t="str">
            <v>Konventionel</v>
          </cell>
          <cell r="C254" t="str">
            <v>OC12</v>
          </cell>
          <cell r="D254" t="str">
            <v>Areal-frugt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28.501694367485467</v>
          </cell>
          <cell r="I254">
            <v>28.501694367485467</v>
          </cell>
          <cell r="J254">
            <v>28.501694367485467</v>
          </cell>
        </row>
        <row r="255">
          <cell r="A255" t="str">
            <v>Frugtmark</v>
          </cell>
          <cell r="B255" t="str">
            <v>Økologisk</v>
          </cell>
          <cell r="C255" t="str">
            <v>JB1-10</v>
          </cell>
          <cell r="D255" t="str">
            <v>Areal-frugt</v>
          </cell>
          <cell r="E255" t="str">
            <v>Hektar</v>
          </cell>
          <cell r="F255" t="str">
            <v>Frugt</v>
          </cell>
          <cell r="G255" t="str">
            <v>Ton</v>
          </cell>
          <cell r="H255">
            <v>4.8392999999999997</v>
          </cell>
          <cell r="I255">
            <v>4.8392999999999997</v>
          </cell>
          <cell r="J255">
            <v>4.8392999999999997</v>
          </cell>
        </row>
        <row r="256">
          <cell r="A256" t="str">
            <v>Frugtmark</v>
          </cell>
          <cell r="B256" t="str">
            <v>Økologisk</v>
          </cell>
          <cell r="C256" t="str">
            <v>JB1-10</v>
          </cell>
          <cell r="D256" t="str">
            <v>Areal-frugt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-79.8</v>
          </cell>
          <cell r="I256">
            <v>-79.8</v>
          </cell>
          <cell r="J256">
            <v>-79.8</v>
          </cell>
        </row>
        <row r="257">
          <cell r="A257" t="str">
            <v>Frugtmark</v>
          </cell>
          <cell r="B257" t="str">
            <v>Økologisk</v>
          </cell>
          <cell r="C257" t="str">
            <v>JB1-10</v>
          </cell>
          <cell r="D257" t="str">
            <v>Areal-frugt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1.9656943674854606</v>
          </cell>
          <cell r="I257">
            <v>1.9656943674854606</v>
          </cell>
          <cell r="J257">
            <v>1.9656943674854606</v>
          </cell>
        </row>
        <row r="258">
          <cell r="A258" t="str">
            <v>Frugtmark</v>
          </cell>
          <cell r="B258" t="str">
            <v>Økologisk</v>
          </cell>
          <cell r="C258" t="str">
            <v>OC6</v>
          </cell>
          <cell r="D258" t="str">
            <v>Areal-frugt</v>
          </cell>
          <cell r="E258" t="str">
            <v>Hektar</v>
          </cell>
          <cell r="F258" t="str">
            <v>Frugt</v>
          </cell>
          <cell r="G258" t="str">
            <v>Ton</v>
          </cell>
          <cell r="H258">
            <v>5.8071599999999997</v>
          </cell>
          <cell r="I258">
            <v>5.8071599999999997</v>
          </cell>
          <cell r="J258">
            <v>5.8071599999999997</v>
          </cell>
        </row>
        <row r="259">
          <cell r="A259" t="str">
            <v>Frugtmark</v>
          </cell>
          <cell r="B259" t="str">
            <v>Økologisk</v>
          </cell>
          <cell r="C259" t="str">
            <v>OC6</v>
          </cell>
          <cell r="D259" t="str">
            <v>Areal-frugt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-79.8</v>
          </cell>
          <cell r="I259">
            <v>-79.8</v>
          </cell>
          <cell r="J259">
            <v>-79.8</v>
          </cell>
        </row>
        <row r="260">
          <cell r="A260" t="str">
            <v>Frugtmark</v>
          </cell>
          <cell r="B260" t="str">
            <v>Økologisk</v>
          </cell>
          <cell r="C260" t="str">
            <v>OC6</v>
          </cell>
          <cell r="D260" t="str">
            <v>Areal-frugt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10.661694367485461</v>
          </cell>
          <cell r="I260">
            <v>10.661694367485461</v>
          </cell>
          <cell r="J260">
            <v>10.661694367485461</v>
          </cell>
        </row>
        <row r="261">
          <cell r="A261" t="str">
            <v>Frugtmark</v>
          </cell>
          <cell r="B261" t="str">
            <v>Økologisk</v>
          </cell>
          <cell r="C261" t="str">
            <v>OC12</v>
          </cell>
          <cell r="D261" t="str">
            <v>Areal-frugt</v>
          </cell>
          <cell r="E261" t="str">
            <v>Hektar</v>
          </cell>
          <cell r="F261" t="str">
            <v>Frugt</v>
          </cell>
          <cell r="G261" t="str">
            <v>Ton</v>
          </cell>
          <cell r="H261">
            <v>6.7750199999999987</v>
          </cell>
          <cell r="I261">
            <v>6.7750199999999987</v>
          </cell>
          <cell r="J261">
            <v>6.7750199999999987</v>
          </cell>
        </row>
        <row r="262">
          <cell r="A262" t="str">
            <v>Frugtmark</v>
          </cell>
          <cell r="B262" t="str">
            <v>Økologisk</v>
          </cell>
          <cell r="C262" t="str">
            <v>OC12</v>
          </cell>
          <cell r="D262" t="str">
            <v>Areal-frugt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-79.8</v>
          </cell>
          <cell r="I262">
            <v>-79.8</v>
          </cell>
          <cell r="J262">
            <v>-79.8</v>
          </cell>
        </row>
        <row r="263">
          <cell r="A263" t="str">
            <v>Frugtmark</v>
          </cell>
          <cell r="B263" t="str">
            <v>Økologisk</v>
          </cell>
          <cell r="C263" t="str">
            <v>OC12</v>
          </cell>
          <cell r="D263" t="str">
            <v>Areal-frugt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28.501694367485467</v>
          </cell>
          <cell r="I263">
            <v>28.501694367485467</v>
          </cell>
          <cell r="J263">
            <v>28.501694367485467</v>
          </cell>
        </row>
        <row r="264">
          <cell r="A264" t="str">
            <v>Øvrig mark</v>
          </cell>
          <cell r="B264" t="str">
            <v>Konventionel</v>
          </cell>
          <cell r="C264" t="str">
            <v>JB1-10</v>
          </cell>
          <cell r="D264" t="str">
            <v>Areal-øvrige</v>
          </cell>
          <cell r="E264" t="str">
            <v>Hektar</v>
          </cell>
          <cell r="F264" t="str">
            <v>Øvrige</v>
          </cell>
          <cell r="G264" t="str">
            <v>Ton</v>
          </cell>
          <cell r="H264">
            <v>29.795943508186305</v>
          </cell>
          <cell r="I264">
            <v>29.795943508186305</v>
          </cell>
          <cell r="J264">
            <v>29.795943508186305</v>
          </cell>
        </row>
        <row r="265">
          <cell r="A265" t="str">
            <v>Øvrig mark</v>
          </cell>
          <cell r="B265" t="str">
            <v>Konventionel</v>
          </cell>
          <cell r="C265" t="str">
            <v>JB1-10</v>
          </cell>
          <cell r="D265" t="str">
            <v>Areal-øvrige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-142.08333333333334</v>
          </cell>
          <cell r="I265">
            <v>-142.08333333333334</v>
          </cell>
          <cell r="J265">
            <v>-142.08333333333334</v>
          </cell>
        </row>
        <row r="266">
          <cell r="A266" t="str">
            <v>Øvrig mark</v>
          </cell>
          <cell r="B266" t="str">
            <v>Konventionel</v>
          </cell>
          <cell r="C266" t="str">
            <v>JB1-10</v>
          </cell>
          <cell r="D266" t="str">
            <v>Areal-øvrige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2.2736943674854606</v>
          </cell>
          <cell r="I266">
            <v>2.2736943674854606</v>
          </cell>
          <cell r="J266">
            <v>2.2736943674854606</v>
          </cell>
        </row>
        <row r="267">
          <cell r="A267" t="str">
            <v>Øvrig mark</v>
          </cell>
          <cell r="B267" t="str">
            <v>Konventionel</v>
          </cell>
          <cell r="C267" t="str">
            <v>OC6</v>
          </cell>
          <cell r="D267" t="str">
            <v>Areal-øvrige</v>
          </cell>
          <cell r="E267" t="str">
            <v>Hektar</v>
          </cell>
          <cell r="F267" t="str">
            <v>Øvrige</v>
          </cell>
          <cell r="G267" t="str">
            <v>Ton</v>
          </cell>
          <cell r="H267">
            <v>35.755132209823564</v>
          </cell>
          <cell r="I267">
            <v>35.755132209823564</v>
          </cell>
          <cell r="J267">
            <v>35.755132209823564</v>
          </cell>
        </row>
        <row r="268">
          <cell r="A268" t="str">
            <v>Øvrig mark</v>
          </cell>
          <cell r="B268" t="str">
            <v>Konventionel</v>
          </cell>
          <cell r="C268" t="str">
            <v>OC6</v>
          </cell>
          <cell r="D268" t="str">
            <v>Areal-øvrige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-125</v>
          </cell>
          <cell r="I268">
            <v>-125</v>
          </cell>
          <cell r="J268">
            <v>-125</v>
          </cell>
        </row>
        <row r="269">
          <cell r="A269" t="str">
            <v>Øvrig mark</v>
          </cell>
          <cell r="B269" t="str">
            <v>Konventionel</v>
          </cell>
          <cell r="C269" t="str">
            <v>OC6</v>
          </cell>
          <cell r="D269" t="str">
            <v>Areal-øvrige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15.99169436748546</v>
          </cell>
          <cell r="I269">
            <v>15.99169436748546</v>
          </cell>
          <cell r="J269">
            <v>15.99169436748546</v>
          </cell>
        </row>
        <row r="270">
          <cell r="A270" t="str">
            <v>Øvrig mark</v>
          </cell>
          <cell r="B270" t="str">
            <v>Konventionel</v>
          </cell>
          <cell r="C270" t="str">
            <v>OC12</v>
          </cell>
          <cell r="D270" t="str">
            <v>Areal-øvrige</v>
          </cell>
          <cell r="E270" t="str">
            <v>Hektar</v>
          </cell>
          <cell r="F270" t="str">
            <v>Øvrige</v>
          </cell>
          <cell r="G270" t="str">
            <v>Ton</v>
          </cell>
          <cell r="H270">
            <v>41.714320911460824</v>
          </cell>
          <cell r="I270">
            <v>41.714320911460824</v>
          </cell>
          <cell r="J270">
            <v>41.714320911460824</v>
          </cell>
        </row>
        <row r="271">
          <cell r="A271" t="str">
            <v>Øvrig mark</v>
          </cell>
          <cell r="B271" t="str">
            <v>Konventionel</v>
          </cell>
          <cell r="C271" t="str">
            <v>OC12</v>
          </cell>
          <cell r="D271" t="str">
            <v>Areal-øvrige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-107.91666666666667</v>
          </cell>
          <cell r="I271">
            <v>-107.91666666666667</v>
          </cell>
          <cell r="J271">
            <v>-107.91666666666667</v>
          </cell>
        </row>
        <row r="272">
          <cell r="A272" t="str">
            <v>Øvrig mark</v>
          </cell>
          <cell r="B272" t="str">
            <v>Konventionel</v>
          </cell>
          <cell r="C272" t="str">
            <v>OC12</v>
          </cell>
          <cell r="D272" t="str">
            <v>Areal-øvrige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40.951694367485452</v>
          </cell>
          <cell r="I272">
            <v>40.951694367485452</v>
          </cell>
          <cell r="J272">
            <v>40.951694367485452</v>
          </cell>
        </row>
        <row r="273">
          <cell r="A273" t="str">
            <v>Øvrig mark</v>
          </cell>
          <cell r="B273" t="str">
            <v>Økologisk</v>
          </cell>
          <cell r="C273" t="str">
            <v>JB1-10</v>
          </cell>
          <cell r="D273" t="str">
            <v>Areal-øvrige</v>
          </cell>
          <cell r="E273" t="str">
            <v>Hektar</v>
          </cell>
          <cell r="F273" t="str">
            <v>Øvrige</v>
          </cell>
          <cell r="G273" t="str">
            <v>Ton</v>
          </cell>
          <cell r="H273">
            <v>16.983687799666193</v>
          </cell>
          <cell r="I273">
            <v>16.983687799666193</v>
          </cell>
          <cell r="J273">
            <v>16.983687799666193</v>
          </cell>
        </row>
        <row r="274">
          <cell r="A274" t="str">
            <v>Øvrig mark</v>
          </cell>
          <cell r="B274" t="str">
            <v>Økologisk</v>
          </cell>
          <cell r="C274" t="str">
            <v>JB1-10</v>
          </cell>
          <cell r="D274" t="str">
            <v>Areal-øvrige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-80.987499999999997</v>
          </cell>
          <cell r="I274">
            <v>-80.987499999999997</v>
          </cell>
          <cell r="J274">
            <v>-80.987499999999997</v>
          </cell>
        </row>
        <row r="275">
          <cell r="A275" t="str">
            <v>Øvrig mark</v>
          </cell>
          <cell r="B275" t="str">
            <v>Økologisk</v>
          </cell>
          <cell r="C275" t="str">
            <v>JB1-10</v>
          </cell>
          <cell r="D275" t="str">
            <v>Areal-øvrige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2.2736943674854606</v>
          </cell>
          <cell r="I275">
            <v>2.2736943674854606</v>
          </cell>
          <cell r="J275">
            <v>2.2736943674854606</v>
          </cell>
        </row>
        <row r="276">
          <cell r="A276" t="str">
            <v>Øvrig mark</v>
          </cell>
          <cell r="B276" t="str">
            <v>Økologisk</v>
          </cell>
          <cell r="C276" t="str">
            <v>OC6</v>
          </cell>
          <cell r="D276" t="str">
            <v>Areal-øvrige</v>
          </cell>
          <cell r="E276" t="str">
            <v>Hektar</v>
          </cell>
          <cell r="F276" t="str">
            <v>Øvrige</v>
          </cell>
          <cell r="G276" t="str">
            <v>Ton</v>
          </cell>
          <cell r="H276">
            <v>20.380425359599428</v>
          </cell>
          <cell r="I276">
            <v>20.380425359599428</v>
          </cell>
          <cell r="J276">
            <v>20.380425359599428</v>
          </cell>
        </row>
        <row r="277">
          <cell r="A277" t="str">
            <v>Øvrig mark</v>
          </cell>
          <cell r="B277" t="str">
            <v>Økologisk</v>
          </cell>
          <cell r="C277" t="str">
            <v>OC6</v>
          </cell>
          <cell r="D277" t="str">
            <v>Areal-øvrige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-71.25</v>
          </cell>
          <cell r="I277">
            <v>-71.25</v>
          </cell>
          <cell r="J277">
            <v>-71.25</v>
          </cell>
        </row>
        <row r="278">
          <cell r="A278" t="str">
            <v>Øvrig mark</v>
          </cell>
          <cell r="B278" t="str">
            <v>Økologisk</v>
          </cell>
          <cell r="C278" t="str">
            <v>OC6</v>
          </cell>
          <cell r="D278" t="str">
            <v>Areal-øvrige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15.99169436748546</v>
          </cell>
          <cell r="I278">
            <v>15.99169436748546</v>
          </cell>
          <cell r="J278">
            <v>15.99169436748546</v>
          </cell>
        </row>
        <row r="279">
          <cell r="A279" t="str">
            <v>Øvrig mark</v>
          </cell>
          <cell r="B279" t="str">
            <v>Økologisk</v>
          </cell>
          <cell r="C279" t="str">
            <v>OC12</v>
          </cell>
          <cell r="D279" t="str">
            <v>Areal-øvrige</v>
          </cell>
          <cell r="E279" t="str">
            <v>Hektar</v>
          </cell>
          <cell r="F279" t="str">
            <v>Øvrige</v>
          </cell>
          <cell r="G279" t="str">
            <v>Ton</v>
          </cell>
          <cell r="H279">
            <v>23.777162919532667</v>
          </cell>
          <cell r="I279">
            <v>23.777162919532667</v>
          </cell>
          <cell r="J279">
            <v>23.777162919532667</v>
          </cell>
        </row>
        <row r="280">
          <cell r="A280" t="str">
            <v>Øvrig mark</v>
          </cell>
          <cell r="B280" t="str">
            <v>Økologisk</v>
          </cell>
          <cell r="C280" t="str">
            <v>OC12</v>
          </cell>
          <cell r="D280" t="str">
            <v>Areal-øvrige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-61.512499999999996</v>
          </cell>
          <cell r="I280">
            <v>-61.512499999999996</v>
          </cell>
          <cell r="J280">
            <v>-61.512499999999996</v>
          </cell>
        </row>
        <row r="281">
          <cell r="A281" t="str">
            <v>Øvrig mark</v>
          </cell>
          <cell r="B281" t="str">
            <v>Økologisk</v>
          </cell>
          <cell r="C281" t="str">
            <v>OC12</v>
          </cell>
          <cell r="D281" t="str">
            <v>Areal-øvrige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40.951694367485452</v>
          </cell>
          <cell r="I281">
            <v>40.951694367485452</v>
          </cell>
          <cell r="J281">
            <v>40.951694367485452</v>
          </cell>
        </row>
        <row r="282">
          <cell r="A282" t="str">
            <v>Majsmark</v>
          </cell>
          <cell r="B282" t="str">
            <v>Konventionel</v>
          </cell>
          <cell r="C282" t="str">
            <v>JB1-10</v>
          </cell>
          <cell r="D282" t="str">
            <v>Areal-majs</v>
          </cell>
          <cell r="E282" t="str">
            <v>Hektar</v>
          </cell>
          <cell r="F282" t="str">
            <v>Majs</v>
          </cell>
          <cell r="G282" t="str">
            <v>Ton</v>
          </cell>
          <cell r="H282">
            <v>44.510000000000005</v>
          </cell>
          <cell r="I282">
            <v>44.510000000000005</v>
          </cell>
          <cell r="J282">
            <v>44.510000000000005</v>
          </cell>
        </row>
        <row r="283">
          <cell r="A283" t="str">
            <v>Majsmark</v>
          </cell>
          <cell r="B283" t="str">
            <v>Konventionel</v>
          </cell>
          <cell r="C283" t="str">
            <v>JB1-10</v>
          </cell>
          <cell r="D283" t="str">
            <v>Areal-majs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-160</v>
          </cell>
          <cell r="I283">
            <v>-160</v>
          </cell>
          <cell r="J283">
            <v>-160</v>
          </cell>
        </row>
        <row r="284">
          <cell r="A284" t="str">
            <v>Majsmark</v>
          </cell>
          <cell r="B284" t="str">
            <v>Konventionel</v>
          </cell>
          <cell r="C284" t="str">
            <v>JB1-10</v>
          </cell>
          <cell r="D284" t="str">
            <v>Areal-majs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2.2736943674854606</v>
          </cell>
          <cell r="I284">
            <v>2.2736943674854606</v>
          </cell>
          <cell r="J284">
            <v>2.2736943674854606</v>
          </cell>
        </row>
        <row r="285">
          <cell r="A285" t="str">
            <v>Majsmark</v>
          </cell>
          <cell r="B285" t="str">
            <v>Konventionel</v>
          </cell>
          <cell r="C285" t="str">
            <v>OC6</v>
          </cell>
          <cell r="D285" t="str">
            <v>Areal-majs</v>
          </cell>
          <cell r="E285" t="str">
            <v>Hektar</v>
          </cell>
          <cell r="F285" t="str">
            <v>Majs</v>
          </cell>
          <cell r="G285" t="str">
            <v>Ton</v>
          </cell>
          <cell r="H285">
            <v>53.412000000000006</v>
          </cell>
          <cell r="I285">
            <v>53.412000000000006</v>
          </cell>
          <cell r="J285">
            <v>53.412000000000006</v>
          </cell>
        </row>
        <row r="286">
          <cell r="A286" t="str">
            <v>Majsmark</v>
          </cell>
          <cell r="B286" t="str">
            <v>Konventionel</v>
          </cell>
          <cell r="C286" t="str">
            <v>OC6</v>
          </cell>
          <cell r="D286" t="str">
            <v>Areal-majs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-130</v>
          </cell>
          <cell r="I286">
            <v>-130</v>
          </cell>
          <cell r="J286">
            <v>-130</v>
          </cell>
        </row>
        <row r="287">
          <cell r="A287" t="str">
            <v>Majsmark</v>
          </cell>
          <cell r="B287" t="str">
            <v>Konventionel</v>
          </cell>
          <cell r="C287" t="str">
            <v>OC6</v>
          </cell>
          <cell r="D287" t="str">
            <v>Areal-majs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15.99169436748546</v>
          </cell>
          <cell r="I287">
            <v>15.99169436748546</v>
          </cell>
          <cell r="J287">
            <v>15.99169436748546</v>
          </cell>
        </row>
        <row r="288">
          <cell r="A288" t="str">
            <v>Majsmark</v>
          </cell>
          <cell r="B288" t="str">
            <v>Konventionel</v>
          </cell>
          <cell r="C288" t="str">
            <v>OC12</v>
          </cell>
          <cell r="D288" t="str">
            <v>Areal-majs</v>
          </cell>
          <cell r="E288" t="str">
            <v>Hektar</v>
          </cell>
          <cell r="F288" t="str">
            <v>Majs</v>
          </cell>
          <cell r="G288" t="str">
            <v>Ton</v>
          </cell>
          <cell r="H288">
            <v>62.314</v>
          </cell>
          <cell r="I288">
            <v>62.314</v>
          </cell>
          <cell r="J288">
            <v>62.314</v>
          </cell>
        </row>
        <row r="289">
          <cell r="A289" t="str">
            <v>Majsmark</v>
          </cell>
          <cell r="B289" t="str">
            <v>Konventionel</v>
          </cell>
          <cell r="C289" t="str">
            <v>OC12</v>
          </cell>
          <cell r="D289" t="str">
            <v>Areal-majs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-100</v>
          </cell>
          <cell r="I289">
            <v>-100</v>
          </cell>
          <cell r="J289">
            <v>-100</v>
          </cell>
        </row>
        <row r="290">
          <cell r="A290" t="str">
            <v>Majsmark</v>
          </cell>
          <cell r="B290" t="str">
            <v>Konventionel</v>
          </cell>
          <cell r="C290" t="str">
            <v>OC12</v>
          </cell>
          <cell r="D290" t="str">
            <v>Areal-majs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40.951694367485452</v>
          </cell>
          <cell r="I290">
            <v>40.951694367485452</v>
          </cell>
          <cell r="J290">
            <v>40.951694367485452</v>
          </cell>
        </row>
        <row r="291">
          <cell r="A291" t="str">
            <v>Majsmark</v>
          </cell>
          <cell r="B291" t="str">
            <v>Økologisk</v>
          </cell>
          <cell r="C291" t="str">
            <v>JB1-10</v>
          </cell>
          <cell r="D291" t="str">
            <v>Areal-majs</v>
          </cell>
          <cell r="E291" t="str">
            <v>Hektar</v>
          </cell>
          <cell r="F291" t="str">
            <v>Majs</v>
          </cell>
          <cell r="G291" t="str">
            <v>Ton</v>
          </cell>
          <cell r="H291">
            <v>36.943300000000001</v>
          </cell>
          <cell r="I291">
            <v>36.943300000000001</v>
          </cell>
          <cell r="J291">
            <v>36.943300000000001</v>
          </cell>
        </row>
        <row r="292">
          <cell r="A292" t="str">
            <v>Majsmark</v>
          </cell>
          <cell r="B292" t="str">
            <v>Økologisk</v>
          </cell>
          <cell r="C292" t="str">
            <v>JB1-10</v>
          </cell>
          <cell r="D292" t="str">
            <v>Areal-majs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-132.79999999999998</v>
          </cell>
          <cell r="I292">
            <v>-132.79999999999998</v>
          </cell>
          <cell r="J292">
            <v>-132.79999999999998</v>
          </cell>
        </row>
        <row r="293">
          <cell r="A293" t="str">
            <v>Majsmark</v>
          </cell>
          <cell r="B293" t="str">
            <v>Økologisk</v>
          </cell>
          <cell r="C293" t="str">
            <v>JB1-10</v>
          </cell>
          <cell r="D293" t="str">
            <v>Areal-majs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2.2736943674854606</v>
          </cell>
          <cell r="I293">
            <v>2.2736943674854606</v>
          </cell>
          <cell r="J293">
            <v>2.2736943674854606</v>
          </cell>
        </row>
        <row r="294">
          <cell r="A294" t="str">
            <v>Majsmark</v>
          </cell>
          <cell r="B294" t="str">
            <v>Økologisk</v>
          </cell>
          <cell r="C294" t="str">
            <v>OC6</v>
          </cell>
          <cell r="D294" t="str">
            <v>Areal-majs</v>
          </cell>
          <cell r="E294" t="str">
            <v>Hektar</v>
          </cell>
          <cell r="F294" t="str">
            <v>Majs</v>
          </cell>
          <cell r="G294" t="str">
            <v>Ton</v>
          </cell>
          <cell r="H294">
            <v>44.331960000000002</v>
          </cell>
          <cell r="I294">
            <v>44.331960000000002</v>
          </cell>
          <cell r="J294">
            <v>44.331960000000002</v>
          </cell>
        </row>
        <row r="295">
          <cell r="A295" t="str">
            <v>Majsmark</v>
          </cell>
          <cell r="B295" t="str">
            <v>Økologisk</v>
          </cell>
          <cell r="C295" t="str">
            <v>OC6</v>
          </cell>
          <cell r="D295" t="str">
            <v>Areal-majs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-107.89999999999999</v>
          </cell>
          <cell r="I295">
            <v>-107.89999999999999</v>
          </cell>
          <cell r="J295">
            <v>-107.89999999999999</v>
          </cell>
        </row>
        <row r="296">
          <cell r="A296" t="str">
            <v>Majsmark</v>
          </cell>
          <cell r="B296" t="str">
            <v>Økologisk</v>
          </cell>
          <cell r="C296" t="str">
            <v>OC6</v>
          </cell>
          <cell r="D296" t="str">
            <v>Areal-majs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15.99169436748546</v>
          </cell>
          <cell r="I296">
            <v>15.99169436748546</v>
          </cell>
          <cell r="J296">
            <v>15.99169436748546</v>
          </cell>
        </row>
        <row r="297">
          <cell r="A297" t="str">
            <v>Majsmark</v>
          </cell>
          <cell r="B297" t="str">
            <v>Økologisk</v>
          </cell>
          <cell r="C297" t="str">
            <v>OC12</v>
          </cell>
          <cell r="D297" t="str">
            <v>Areal-majs</v>
          </cell>
          <cell r="E297" t="str">
            <v>Hektar</v>
          </cell>
          <cell r="F297" t="str">
            <v>Majs</v>
          </cell>
          <cell r="G297" t="str">
            <v>Ton</v>
          </cell>
          <cell r="H297">
            <v>51.720619999999997</v>
          </cell>
          <cell r="I297">
            <v>51.720619999999997</v>
          </cell>
          <cell r="J297">
            <v>51.720619999999997</v>
          </cell>
        </row>
        <row r="298">
          <cell r="A298" t="str">
            <v>Majsmark</v>
          </cell>
          <cell r="B298" t="str">
            <v>Økologisk</v>
          </cell>
          <cell r="C298" t="str">
            <v>OC12</v>
          </cell>
          <cell r="D298" t="str">
            <v>Areal-majs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-83</v>
          </cell>
          <cell r="I298">
            <v>-83</v>
          </cell>
          <cell r="J298">
            <v>-83</v>
          </cell>
        </row>
        <row r="299">
          <cell r="A299" t="str">
            <v>Majsmark</v>
          </cell>
          <cell r="B299" t="str">
            <v>Økologisk</v>
          </cell>
          <cell r="C299" t="str">
            <v>OC12</v>
          </cell>
          <cell r="D299" t="str">
            <v>Areal-majs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40.951694367485452</v>
          </cell>
          <cell r="I299">
            <v>40.951694367485452</v>
          </cell>
          <cell r="J299">
            <v>40.951694367485452</v>
          </cell>
        </row>
        <row r="300">
          <cell r="A300" t="str">
            <v>Rapsmark</v>
          </cell>
          <cell r="B300" t="str">
            <v>Konventionel</v>
          </cell>
          <cell r="C300" t="str">
            <v>JB1-10</v>
          </cell>
          <cell r="D300" t="str">
            <v>Areal-raps</v>
          </cell>
          <cell r="E300" t="str">
            <v>Hektar</v>
          </cell>
          <cell r="F300" t="str">
            <v>Raps</v>
          </cell>
          <cell r="G300" t="str">
            <v>Ton</v>
          </cell>
          <cell r="H300">
            <v>4.4000000000000004</v>
          </cell>
          <cell r="I300">
            <v>4.4000000000000004</v>
          </cell>
          <cell r="J300">
            <v>4.4000000000000004</v>
          </cell>
        </row>
        <row r="301">
          <cell r="A301" t="str">
            <v>Rapsmark</v>
          </cell>
          <cell r="B301" t="str">
            <v>Konventionel</v>
          </cell>
          <cell r="C301" t="str">
            <v>JB1-10</v>
          </cell>
          <cell r="D301" t="str">
            <v>Areal-raps</v>
          </cell>
          <cell r="E301" t="str">
            <v>Hektar</v>
          </cell>
          <cell r="F301" t="str">
            <v>Halm</v>
          </cell>
          <cell r="G301" t="str">
            <v>Ton</v>
          </cell>
          <cell r="H301">
            <v>3.96</v>
          </cell>
          <cell r="I301">
            <v>3.96</v>
          </cell>
          <cell r="J301">
            <v>3.96</v>
          </cell>
        </row>
        <row r="302">
          <cell r="A302" t="str">
            <v>Rapsmark</v>
          </cell>
          <cell r="B302" t="str">
            <v>Konventionel</v>
          </cell>
          <cell r="C302" t="str">
            <v>JB1-10</v>
          </cell>
          <cell r="D302" t="str">
            <v>Areal-raps</v>
          </cell>
          <cell r="E302" t="str">
            <v>Hektar</v>
          </cell>
          <cell r="F302" t="str">
            <v>Gødning</v>
          </cell>
          <cell r="G302" t="str">
            <v>kg N</v>
          </cell>
          <cell r="H302">
            <v>-175</v>
          </cell>
          <cell r="I302">
            <v>-175</v>
          </cell>
          <cell r="J302">
            <v>-175</v>
          </cell>
        </row>
        <row r="303">
          <cell r="A303" t="str">
            <v>Rapsmark</v>
          </cell>
          <cell r="B303" t="str">
            <v>Konventionel</v>
          </cell>
          <cell r="C303" t="str">
            <v>JB1-10</v>
          </cell>
          <cell r="D303" t="str">
            <v>Areal-raps</v>
          </cell>
          <cell r="E303" t="str">
            <v>Hektar</v>
          </cell>
          <cell r="F303" t="str">
            <v>CO2 - atmosfære</v>
          </cell>
          <cell r="G303" t="str">
            <v>t CO2-ækvivalenter</v>
          </cell>
          <cell r="H303">
            <v>2.2736943674854606</v>
          </cell>
          <cell r="I303">
            <v>2.2736943674854606</v>
          </cell>
          <cell r="J303">
            <v>2.2736943674854606</v>
          </cell>
        </row>
        <row r="304">
          <cell r="A304" t="str">
            <v>Rapsmark</v>
          </cell>
          <cell r="B304" t="str">
            <v>Konventionel</v>
          </cell>
          <cell r="C304" t="str">
            <v>OC6</v>
          </cell>
          <cell r="D304" t="str">
            <v>Areal-raps</v>
          </cell>
          <cell r="E304" t="str">
            <v>Hektar</v>
          </cell>
          <cell r="F304" t="str">
            <v>Raps</v>
          </cell>
          <cell r="G304" t="str">
            <v>Ton</v>
          </cell>
          <cell r="H304">
            <v>5.28</v>
          </cell>
          <cell r="I304">
            <v>5.28</v>
          </cell>
          <cell r="J304">
            <v>5.28</v>
          </cell>
        </row>
        <row r="305">
          <cell r="A305" t="str">
            <v>Rapsmark</v>
          </cell>
          <cell r="B305" t="str">
            <v>Konventionel</v>
          </cell>
          <cell r="C305" t="str">
            <v>OC6</v>
          </cell>
          <cell r="D305" t="str">
            <v>Areal-raps</v>
          </cell>
          <cell r="E305" t="str">
            <v>Hektar</v>
          </cell>
          <cell r="F305" t="str">
            <v>Halm</v>
          </cell>
          <cell r="G305" t="str">
            <v>Ton</v>
          </cell>
          <cell r="H305">
            <v>4.7519999999999998</v>
          </cell>
          <cell r="I305">
            <v>4.7519999999999998</v>
          </cell>
          <cell r="J305">
            <v>4.7519999999999998</v>
          </cell>
        </row>
        <row r="306">
          <cell r="A306" t="str">
            <v>Rapsmark</v>
          </cell>
          <cell r="B306" t="str">
            <v>Konventionel</v>
          </cell>
          <cell r="C306" t="str">
            <v>OC6</v>
          </cell>
          <cell r="D306" t="str">
            <v>Areal-raps</v>
          </cell>
          <cell r="E306" t="str">
            <v>Hektar</v>
          </cell>
          <cell r="F306" t="str">
            <v>Gødning</v>
          </cell>
          <cell r="G306" t="str">
            <v>kg N</v>
          </cell>
          <cell r="H306">
            <v>-145</v>
          </cell>
          <cell r="I306">
            <v>-145</v>
          </cell>
          <cell r="J306">
            <v>-145</v>
          </cell>
        </row>
        <row r="307">
          <cell r="A307" t="str">
            <v>Rapsmark</v>
          </cell>
          <cell r="B307" t="str">
            <v>Konventionel</v>
          </cell>
          <cell r="C307" t="str">
            <v>OC6</v>
          </cell>
          <cell r="D307" t="str">
            <v>Areal-raps</v>
          </cell>
          <cell r="E307" t="str">
            <v>Hektar</v>
          </cell>
          <cell r="F307" t="str">
            <v>CO2 - atmosfære</v>
          </cell>
          <cell r="G307" t="str">
            <v>t CO2-ækvivalenter</v>
          </cell>
          <cell r="H307">
            <v>15.99169436748546</v>
          </cell>
          <cell r="I307">
            <v>15.99169436748546</v>
          </cell>
          <cell r="J307">
            <v>15.99169436748546</v>
          </cell>
        </row>
        <row r="308">
          <cell r="A308" t="str">
            <v>Rapsmark</v>
          </cell>
          <cell r="B308" t="str">
            <v>Konventionel</v>
          </cell>
          <cell r="C308" t="str">
            <v>OC12</v>
          </cell>
          <cell r="D308" t="str">
            <v>Areal-raps</v>
          </cell>
          <cell r="E308" t="str">
            <v>Hektar</v>
          </cell>
          <cell r="F308" t="str">
            <v>Raps</v>
          </cell>
          <cell r="G308" t="str">
            <v>Ton</v>
          </cell>
          <cell r="H308">
            <v>6.16</v>
          </cell>
          <cell r="I308">
            <v>6.16</v>
          </cell>
          <cell r="J308">
            <v>6.16</v>
          </cell>
        </row>
        <row r="309">
          <cell r="A309" t="str">
            <v>Rapsmark</v>
          </cell>
          <cell r="B309" t="str">
            <v>Konventionel</v>
          </cell>
          <cell r="C309" t="str">
            <v>OC12</v>
          </cell>
          <cell r="D309" t="str">
            <v>Areal-raps</v>
          </cell>
          <cell r="E309" t="str">
            <v>Hektar</v>
          </cell>
          <cell r="F309" t="str">
            <v>Halm</v>
          </cell>
          <cell r="G309" t="str">
            <v>Ton</v>
          </cell>
          <cell r="H309">
            <v>5.5439999999999996</v>
          </cell>
          <cell r="I309">
            <v>5.5439999999999996</v>
          </cell>
          <cell r="J309">
            <v>5.5439999999999996</v>
          </cell>
        </row>
        <row r="310">
          <cell r="A310" t="str">
            <v>Rapsmark</v>
          </cell>
          <cell r="B310" t="str">
            <v>Konventionel</v>
          </cell>
          <cell r="C310" t="str">
            <v>OC12</v>
          </cell>
          <cell r="D310" t="str">
            <v>Areal-raps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-115</v>
          </cell>
          <cell r="I310">
            <v>-115</v>
          </cell>
          <cell r="J310">
            <v>-115</v>
          </cell>
        </row>
        <row r="311">
          <cell r="A311" t="str">
            <v>Rapsmark</v>
          </cell>
          <cell r="B311" t="str">
            <v>Konventionel</v>
          </cell>
          <cell r="C311" t="str">
            <v>OC12</v>
          </cell>
          <cell r="D311" t="str">
            <v>Areal-raps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Rapsmark</v>
          </cell>
          <cell r="B312" t="str">
            <v>Økologisk</v>
          </cell>
          <cell r="C312" t="str">
            <v>JB1-10</v>
          </cell>
          <cell r="D312" t="str">
            <v>Areal-raps</v>
          </cell>
          <cell r="E312" t="str">
            <v>Hektar</v>
          </cell>
          <cell r="F312" t="str">
            <v>Raps</v>
          </cell>
          <cell r="G312" t="str">
            <v>Ton</v>
          </cell>
          <cell r="H312">
            <v>2.4200000000000004</v>
          </cell>
          <cell r="I312">
            <v>2.4200000000000004</v>
          </cell>
          <cell r="J312">
            <v>2.4200000000000004</v>
          </cell>
        </row>
        <row r="313">
          <cell r="A313" t="str">
            <v>Rapsmark</v>
          </cell>
          <cell r="B313" t="str">
            <v>Økologisk</v>
          </cell>
          <cell r="C313" t="str">
            <v>JB1-10</v>
          </cell>
          <cell r="D313" t="str">
            <v>Areal-raps</v>
          </cell>
          <cell r="E313" t="str">
            <v>Hektar</v>
          </cell>
          <cell r="F313" t="str">
            <v>Halm</v>
          </cell>
          <cell r="G313" t="str">
            <v>Ton</v>
          </cell>
          <cell r="H313">
            <v>2.1779999999999999</v>
          </cell>
          <cell r="I313">
            <v>2.1779999999999999</v>
          </cell>
          <cell r="J313">
            <v>2.1779999999999999</v>
          </cell>
        </row>
        <row r="314">
          <cell r="A314" t="str">
            <v>Rapsmark</v>
          </cell>
          <cell r="B314" t="str">
            <v>Økologisk</v>
          </cell>
          <cell r="C314" t="str">
            <v>JB1-10</v>
          </cell>
          <cell r="D314" t="str">
            <v>Areal-raps</v>
          </cell>
          <cell r="E314" t="str">
            <v>Hektar</v>
          </cell>
          <cell r="F314" t="str">
            <v>Gødning</v>
          </cell>
          <cell r="G314" t="str">
            <v>kg N</v>
          </cell>
          <cell r="H314">
            <v>-96.250000000000014</v>
          </cell>
          <cell r="I314">
            <v>-96.250000000000014</v>
          </cell>
          <cell r="J314">
            <v>-96.250000000000014</v>
          </cell>
        </row>
        <row r="315">
          <cell r="A315" t="str">
            <v>Rapsmark</v>
          </cell>
          <cell r="B315" t="str">
            <v>Økologisk</v>
          </cell>
          <cell r="C315" t="str">
            <v>JB1-10</v>
          </cell>
          <cell r="D315" t="str">
            <v>Areal-raps</v>
          </cell>
          <cell r="E315" t="str">
            <v>Hektar</v>
          </cell>
          <cell r="F315" t="str">
            <v>CO2 - atmosfære</v>
          </cell>
          <cell r="G315" t="str">
            <v>t CO2-ækvivalenter</v>
          </cell>
          <cell r="H315">
            <v>2.2736943674854606</v>
          </cell>
          <cell r="I315">
            <v>2.2736943674854606</v>
          </cell>
          <cell r="J315">
            <v>2.2736943674854606</v>
          </cell>
        </row>
        <row r="316">
          <cell r="A316" t="str">
            <v>Rapsmark</v>
          </cell>
          <cell r="B316" t="str">
            <v>Økologisk</v>
          </cell>
          <cell r="C316" t="str">
            <v>OC6</v>
          </cell>
          <cell r="D316" t="str">
            <v>Areal-raps</v>
          </cell>
          <cell r="E316" t="str">
            <v>Hektar</v>
          </cell>
          <cell r="F316" t="str">
            <v>Raps</v>
          </cell>
          <cell r="G316" t="str">
            <v>Ton</v>
          </cell>
          <cell r="H316">
            <v>2.9040000000000004</v>
          </cell>
          <cell r="I316">
            <v>2.9040000000000004</v>
          </cell>
          <cell r="J316">
            <v>2.9040000000000004</v>
          </cell>
        </row>
        <row r="317">
          <cell r="A317" t="str">
            <v>Rapsmark</v>
          </cell>
          <cell r="B317" t="str">
            <v>Økologisk</v>
          </cell>
          <cell r="C317" t="str">
            <v>OC6</v>
          </cell>
          <cell r="D317" t="str">
            <v>Areal-raps</v>
          </cell>
          <cell r="E317" t="str">
            <v>Hektar</v>
          </cell>
          <cell r="F317" t="str">
            <v>Halm</v>
          </cell>
          <cell r="G317" t="str">
            <v>Ton</v>
          </cell>
          <cell r="H317">
            <v>2.6135999999999999</v>
          </cell>
          <cell r="I317">
            <v>2.6135999999999999</v>
          </cell>
          <cell r="J317">
            <v>2.6135999999999999</v>
          </cell>
        </row>
        <row r="318">
          <cell r="A318" t="str">
            <v>Rapsmark</v>
          </cell>
          <cell r="B318" t="str">
            <v>Økologisk</v>
          </cell>
          <cell r="C318" t="str">
            <v>OC6</v>
          </cell>
          <cell r="D318" t="str">
            <v>Areal-raps</v>
          </cell>
          <cell r="E318" t="str">
            <v>Hektar</v>
          </cell>
          <cell r="F318" t="str">
            <v>Gødning</v>
          </cell>
          <cell r="G318" t="str">
            <v>kg N</v>
          </cell>
          <cell r="H318">
            <v>-79.75</v>
          </cell>
          <cell r="I318">
            <v>-79.75</v>
          </cell>
          <cell r="J318">
            <v>-79.75</v>
          </cell>
        </row>
        <row r="319">
          <cell r="A319" t="str">
            <v>Rapsmark</v>
          </cell>
          <cell r="B319" t="str">
            <v>Økologisk</v>
          </cell>
          <cell r="C319" t="str">
            <v>OC6</v>
          </cell>
          <cell r="D319" t="str">
            <v>Areal-raps</v>
          </cell>
          <cell r="E319" t="str">
            <v>Hektar</v>
          </cell>
          <cell r="F319" t="str">
            <v>CO2 - atmosfære</v>
          </cell>
          <cell r="G319" t="str">
            <v>t CO2-ækvivalenter</v>
          </cell>
          <cell r="H319">
            <v>15.99169436748546</v>
          </cell>
          <cell r="I319">
            <v>15.99169436748546</v>
          </cell>
          <cell r="J319">
            <v>15.99169436748546</v>
          </cell>
        </row>
        <row r="320">
          <cell r="A320" t="str">
            <v>Rapsmark</v>
          </cell>
          <cell r="B320" t="str">
            <v>Økologisk</v>
          </cell>
          <cell r="C320" t="str">
            <v>OC12</v>
          </cell>
          <cell r="D320" t="str">
            <v>Areal-raps</v>
          </cell>
          <cell r="E320" t="str">
            <v>Hektar</v>
          </cell>
          <cell r="F320" t="str">
            <v>Raps</v>
          </cell>
          <cell r="G320" t="str">
            <v>Ton</v>
          </cell>
          <cell r="H320">
            <v>3.3880000000000003</v>
          </cell>
          <cell r="I320">
            <v>3.3880000000000003</v>
          </cell>
          <cell r="J320">
            <v>3.3880000000000003</v>
          </cell>
        </row>
        <row r="321">
          <cell r="A321" t="str">
            <v>Rapsmark</v>
          </cell>
          <cell r="B321" t="str">
            <v>Økologisk</v>
          </cell>
          <cell r="C321" t="str">
            <v>OC12</v>
          </cell>
          <cell r="D321" t="str">
            <v>Areal-raps</v>
          </cell>
          <cell r="E321" t="str">
            <v>Hektar</v>
          </cell>
          <cell r="F321" t="str">
            <v>Halm</v>
          </cell>
          <cell r="G321" t="str">
            <v>Ton</v>
          </cell>
          <cell r="H321">
            <v>3.0491999999999999</v>
          </cell>
          <cell r="I321">
            <v>3.0491999999999999</v>
          </cell>
          <cell r="J321">
            <v>3.0491999999999999</v>
          </cell>
        </row>
        <row r="322">
          <cell r="A322" t="str">
            <v>Rapsmark</v>
          </cell>
          <cell r="B322" t="str">
            <v>Økologisk</v>
          </cell>
          <cell r="C322" t="str">
            <v>OC12</v>
          </cell>
          <cell r="D322" t="str">
            <v>Areal-raps</v>
          </cell>
          <cell r="E322" t="str">
            <v>Hektar</v>
          </cell>
          <cell r="F322" t="str">
            <v>Gødning</v>
          </cell>
          <cell r="G322" t="str">
            <v>kg N</v>
          </cell>
          <cell r="H322">
            <v>-63.250000000000007</v>
          </cell>
          <cell r="I322">
            <v>-63.250000000000007</v>
          </cell>
          <cell r="J322">
            <v>-63.250000000000007</v>
          </cell>
        </row>
        <row r="323">
          <cell r="A323" t="str">
            <v>Rapsmark</v>
          </cell>
          <cell r="B323" t="str">
            <v>Økologisk</v>
          </cell>
          <cell r="C323" t="str">
            <v>OC12</v>
          </cell>
          <cell r="D323" t="str">
            <v>Areal-raps</v>
          </cell>
          <cell r="E323" t="str">
            <v>Hektar</v>
          </cell>
          <cell r="F323" t="str">
            <v>CO2 - atmosfære</v>
          </cell>
          <cell r="G323" t="str">
            <v>t CO2-ækvivalenter</v>
          </cell>
          <cell r="H323">
            <v>40.951694367485452</v>
          </cell>
          <cell r="I323">
            <v>40.951694367485452</v>
          </cell>
          <cell r="J323">
            <v>40.951694367485452</v>
          </cell>
        </row>
        <row r="324">
          <cell r="A324" t="str">
            <v>Frøgræsmark</v>
          </cell>
          <cell r="B324" t="str">
            <v>Konventionel</v>
          </cell>
          <cell r="C324" t="str">
            <v>JB1-10</v>
          </cell>
          <cell r="D324" t="str">
            <v>Areal-frøgræs</v>
          </cell>
          <cell r="E324" t="str">
            <v>Hektar</v>
          </cell>
          <cell r="F324" t="str">
            <v>Frø</v>
          </cell>
          <cell r="G324" t="str">
            <v>Ton</v>
          </cell>
          <cell r="H324">
            <v>14.288860759493669</v>
          </cell>
          <cell r="I324">
            <v>14.288860759493669</v>
          </cell>
          <cell r="J324">
            <v>14.288860759493669</v>
          </cell>
        </row>
        <row r="325">
          <cell r="A325" t="str">
            <v>Frøgræsmark</v>
          </cell>
          <cell r="B325" t="str">
            <v>Konventionel</v>
          </cell>
          <cell r="C325" t="str">
            <v>JB1-10</v>
          </cell>
          <cell r="D325" t="str">
            <v>Areal-frøgræs</v>
          </cell>
          <cell r="E325" t="str">
            <v>Hektar</v>
          </cell>
          <cell r="F325" t="str">
            <v>Halm</v>
          </cell>
          <cell r="G325" t="str">
            <v>Ton</v>
          </cell>
          <cell r="H325">
            <v>4</v>
          </cell>
          <cell r="I325">
            <v>4</v>
          </cell>
          <cell r="J325">
            <v>4</v>
          </cell>
        </row>
        <row r="326">
          <cell r="A326" t="str">
            <v>Frøgræsmark</v>
          </cell>
          <cell r="B326" t="str">
            <v>Konventionel</v>
          </cell>
          <cell r="C326" t="str">
            <v>JB1-10</v>
          </cell>
          <cell r="D326" t="str">
            <v>Areal-frøgræs</v>
          </cell>
          <cell r="E326" t="str">
            <v>Hektar</v>
          </cell>
          <cell r="F326" t="str">
            <v>Gødning</v>
          </cell>
          <cell r="G326" t="str">
            <v>kg N</v>
          </cell>
          <cell r="H326">
            <v>-150</v>
          </cell>
          <cell r="I326">
            <v>-150</v>
          </cell>
          <cell r="J326">
            <v>-150</v>
          </cell>
        </row>
        <row r="327">
          <cell r="A327" t="str">
            <v>Frøgræsmark</v>
          </cell>
          <cell r="B327" t="str">
            <v>Konventionel</v>
          </cell>
          <cell r="C327" t="str">
            <v>JB1-10</v>
          </cell>
          <cell r="D327" t="str">
            <v>Areal-frøgræs</v>
          </cell>
          <cell r="E327" t="str">
            <v>Hektar</v>
          </cell>
          <cell r="F327" t="str">
            <v>CO2 - atmosfære</v>
          </cell>
          <cell r="G327" t="str">
            <v>t CO2-ækvivalenter</v>
          </cell>
          <cell r="H327">
            <v>2.2736943674854606</v>
          </cell>
          <cell r="I327">
            <v>2.2736943674854606</v>
          </cell>
          <cell r="J327">
            <v>2.2736943674854606</v>
          </cell>
        </row>
        <row r="328">
          <cell r="A328" t="str">
            <v>Frøgræsmark</v>
          </cell>
          <cell r="B328" t="str">
            <v>Konventionel</v>
          </cell>
          <cell r="C328" t="str">
            <v>OC6</v>
          </cell>
          <cell r="D328" t="str">
            <v>Areal-frøgræs</v>
          </cell>
          <cell r="E328" t="str">
            <v>Hektar</v>
          </cell>
          <cell r="F328" t="str">
            <v>Frø</v>
          </cell>
          <cell r="G328" t="str">
            <v>Ton</v>
          </cell>
          <cell r="H328">
            <v>17.146632911392402</v>
          </cell>
          <cell r="I328">
            <v>17.146632911392402</v>
          </cell>
          <cell r="J328">
            <v>17.146632911392402</v>
          </cell>
        </row>
        <row r="329">
          <cell r="A329" t="str">
            <v>Frøgræsmark</v>
          </cell>
          <cell r="B329" t="str">
            <v>Konventionel</v>
          </cell>
          <cell r="C329" t="str">
            <v>OC6</v>
          </cell>
          <cell r="D329" t="str">
            <v>Areal-frøgræs</v>
          </cell>
          <cell r="E329" t="str">
            <v>Hektar</v>
          </cell>
          <cell r="F329" t="str">
            <v>Halm</v>
          </cell>
          <cell r="G329" t="str">
            <v>Ton</v>
          </cell>
          <cell r="H329">
            <v>4.8</v>
          </cell>
          <cell r="I329">
            <v>4.8</v>
          </cell>
          <cell r="J329">
            <v>4.8</v>
          </cell>
        </row>
        <row r="330">
          <cell r="A330" t="str">
            <v>Frøgræsmark</v>
          </cell>
          <cell r="B330" t="str">
            <v>Konventionel</v>
          </cell>
          <cell r="C330" t="str">
            <v>OC6</v>
          </cell>
          <cell r="D330" t="str">
            <v>Areal-frøgræs</v>
          </cell>
          <cell r="E330" t="str">
            <v>Hektar</v>
          </cell>
          <cell r="F330" t="str">
            <v>Gødning</v>
          </cell>
          <cell r="G330" t="str">
            <v>kg N</v>
          </cell>
          <cell r="H330">
            <v>-135</v>
          </cell>
          <cell r="I330">
            <v>-135</v>
          </cell>
          <cell r="J330">
            <v>-135</v>
          </cell>
        </row>
        <row r="331">
          <cell r="A331" t="str">
            <v>Frøgræsmark</v>
          </cell>
          <cell r="B331" t="str">
            <v>Konventionel</v>
          </cell>
          <cell r="C331" t="str">
            <v>OC6</v>
          </cell>
          <cell r="D331" t="str">
            <v>Areal-frøgræs</v>
          </cell>
          <cell r="E331" t="str">
            <v>Hektar</v>
          </cell>
          <cell r="F331" t="str">
            <v>CO2 - atmosfære</v>
          </cell>
          <cell r="G331" t="str">
            <v>t CO2-ækvivalenter</v>
          </cell>
          <cell r="H331">
            <v>15.99169436748546</v>
          </cell>
          <cell r="I331">
            <v>15.99169436748546</v>
          </cell>
          <cell r="J331">
            <v>15.99169436748546</v>
          </cell>
        </row>
        <row r="332">
          <cell r="A332" t="str">
            <v>Frøgræsmark</v>
          </cell>
          <cell r="B332" t="str">
            <v>Konventionel</v>
          </cell>
          <cell r="C332" t="str">
            <v>OC12</v>
          </cell>
          <cell r="D332" t="str">
            <v>Areal-frøgræs</v>
          </cell>
          <cell r="E332" t="str">
            <v>Hektar</v>
          </cell>
          <cell r="F332" t="str">
            <v>Frø</v>
          </cell>
          <cell r="G332" t="str">
            <v>Ton</v>
          </cell>
          <cell r="H332">
            <v>20.004405063291134</v>
          </cell>
          <cell r="I332">
            <v>20.004405063291134</v>
          </cell>
          <cell r="J332">
            <v>20.004405063291134</v>
          </cell>
        </row>
        <row r="333">
          <cell r="A333" t="str">
            <v>Frøgræsmark</v>
          </cell>
          <cell r="B333" t="str">
            <v>Konventionel</v>
          </cell>
          <cell r="C333" t="str">
            <v>OC12</v>
          </cell>
          <cell r="D333" t="str">
            <v>Areal-frøgræs</v>
          </cell>
          <cell r="E333" t="str">
            <v>Hektar</v>
          </cell>
          <cell r="F333" t="str">
            <v>Halm</v>
          </cell>
          <cell r="G333" t="str">
            <v>Ton</v>
          </cell>
          <cell r="H333">
            <v>5.6</v>
          </cell>
          <cell r="I333">
            <v>5.6</v>
          </cell>
          <cell r="J333">
            <v>5.6</v>
          </cell>
        </row>
        <row r="334">
          <cell r="A334" t="str">
            <v>Frøgræsmark</v>
          </cell>
          <cell r="B334" t="str">
            <v>Konventionel</v>
          </cell>
          <cell r="C334" t="str">
            <v>OC12</v>
          </cell>
          <cell r="D334" t="str">
            <v>Areal-frøgræs</v>
          </cell>
          <cell r="E334" t="str">
            <v>Hektar</v>
          </cell>
          <cell r="F334" t="str">
            <v>Gødning</v>
          </cell>
          <cell r="G334" t="str">
            <v>kg N</v>
          </cell>
          <cell r="H334">
            <v>-120</v>
          </cell>
          <cell r="I334">
            <v>-120</v>
          </cell>
          <cell r="J334">
            <v>-120</v>
          </cell>
        </row>
        <row r="335">
          <cell r="A335" t="str">
            <v>Frøgræsmark</v>
          </cell>
          <cell r="B335" t="str">
            <v>Konventionel</v>
          </cell>
          <cell r="C335" t="str">
            <v>OC12</v>
          </cell>
          <cell r="D335" t="str">
            <v>Areal-frøgræs</v>
          </cell>
          <cell r="E335" t="str">
            <v>Hektar</v>
          </cell>
          <cell r="F335" t="str">
            <v>CO2 - atmosfære</v>
          </cell>
          <cell r="G335" t="str">
            <v>t CO2-ækvivalenter</v>
          </cell>
          <cell r="H335">
            <v>40.951694367485452</v>
          </cell>
          <cell r="I335">
            <v>40.951694367485452</v>
          </cell>
          <cell r="J335">
            <v>40.951694367485452</v>
          </cell>
        </row>
        <row r="336">
          <cell r="A336" t="str">
            <v>Frøgræsmark</v>
          </cell>
          <cell r="B336" t="str">
            <v>Økologisk</v>
          </cell>
          <cell r="C336" t="str">
            <v>JB1-10</v>
          </cell>
          <cell r="D336" t="str">
            <v>Areal-frøgræs</v>
          </cell>
          <cell r="E336" t="str">
            <v>Hektar</v>
          </cell>
          <cell r="F336" t="str">
            <v>Frø</v>
          </cell>
          <cell r="G336" t="str">
            <v>Ton</v>
          </cell>
          <cell r="H336">
            <v>8.1446506329113912</v>
          </cell>
          <cell r="I336">
            <v>8.1446506329113912</v>
          </cell>
          <cell r="J336">
            <v>8.1446506329113912</v>
          </cell>
        </row>
        <row r="337">
          <cell r="A337" t="str">
            <v>Frøgræsmark</v>
          </cell>
          <cell r="B337" t="str">
            <v>Økologisk</v>
          </cell>
          <cell r="C337" t="str">
            <v>JB1-10</v>
          </cell>
          <cell r="D337" t="str">
            <v>Areal-frøgræs</v>
          </cell>
          <cell r="E337" t="str">
            <v>Hektar</v>
          </cell>
          <cell r="F337" t="str">
            <v>Halm</v>
          </cell>
          <cell r="G337" t="str">
            <v>Ton</v>
          </cell>
          <cell r="H337">
            <v>2.2799999999999998</v>
          </cell>
          <cell r="I337">
            <v>2.2799999999999998</v>
          </cell>
          <cell r="J337">
            <v>2.2799999999999998</v>
          </cell>
        </row>
        <row r="338">
          <cell r="A338" t="str">
            <v>Frøgræsmark</v>
          </cell>
          <cell r="B338" t="str">
            <v>Økologisk</v>
          </cell>
          <cell r="C338" t="str">
            <v>JB1-10</v>
          </cell>
          <cell r="D338" t="str">
            <v>Areal-frøgræs</v>
          </cell>
          <cell r="E338" t="str">
            <v>Hektar</v>
          </cell>
          <cell r="F338" t="str">
            <v>Gødning</v>
          </cell>
          <cell r="G338" t="str">
            <v>kg N</v>
          </cell>
          <cell r="H338">
            <v>-85.499999999999986</v>
          </cell>
          <cell r="I338">
            <v>-85.499999999999986</v>
          </cell>
          <cell r="J338">
            <v>-85.499999999999986</v>
          </cell>
        </row>
        <row r="339">
          <cell r="A339" t="str">
            <v>Frøgræsmark</v>
          </cell>
          <cell r="B339" t="str">
            <v>Økologisk</v>
          </cell>
          <cell r="C339" t="str">
            <v>JB1-10</v>
          </cell>
          <cell r="D339" t="str">
            <v>Areal-frøgræs</v>
          </cell>
          <cell r="E339" t="str">
            <v>Hektar</v>
          </cell>
          <cell r="F339" t="str">
            <v>CO2 - atmosfære</v>
          </cell>
          <cell r="G339" t="str">
            <v>t CO2-ækvivalenter</v>
          </cell>
          <cell r="H339">
            <v>2.2736943674854606</v>
          </cell>
          <cell r="I339">
            <v>2.2736943674854606</v>
          </cell>
          <cell r="J339">
            <v>2.2736943674854606</v>
          </cell>
        </row>
        <row r="340">
          <cell r="A340" t="str">
            <v>Frøgræsmark</v>
          </cell>
          <cell r="B340" t="str">
            <v>Økologisk</v>
          </cell>
          <cell r="C340" t="str">
            <v>OC6</v>
          </cell>
          <cell r="D340" t="str">
            <v>Areal-frøgræs</v>
          </cell>
          <cell r="E340" t="str">
            <v>Hektar</v>
          </cell>
          <cell r="F340" t="str">
            <v>Frø</v>
          </cell>
          <cell r="G340" t="str">
            <v>Ton</v>
          </cell>
          <cell r="H340">
            <v>9.7735807594936688</v>
          </cell>
          <cell r="I340">
            <v>9.7735807594936688</v>
          </cell>
          <cell r="J340">
            <v>9.7735807594936688</v>
          </cell>
        </row>
        <row r="341">
          <cell r="A341" t="str">
            <v>Frøgræsmark</v>
          </cell>
          <cell r="B341" t="str">
            <v>Økologisk</v>
          </cell>
          <cell r="C341" t="str">
            <v>OC6</v>
          </cell>
          <cell r="D341" t="str">
            <v>Areal-frøgræs</v>
          </cell>
          <cell r="E341" t="str">
            <v>Hektar</v>
          </cell>
          <cell r="F341" t="str">
            <v>Halm</v>
          </cell>
          <cell r="G341" t="str">
            <v>Ton</v>
          </cell>
          <cell r="H341">
            <v>2.7359999999999998</v>
          </cell>
          <cell r="I341">
            <v>2.7359999999999998</v>
          </cell>
          <cell r="J341">
            <v>2.7359999999999998</v>
          </cell>
        </row>
        <row r="342">
          <cell r="A342" t="str">
            <v>Frøgræsmark</v>
          </cell>
          <cell r="B342" t="str">
            <v>Økologisk</v>
          </cell>
          <cell r="C342" t="str">
            <v>OC6</v>
          </cell>
          <cell r="D342" t="str">
            <v>Areal-frøgræs</v>
          </cell>
          <cell r="E342" t="str">
            <v>Hektar</v>
          </cell>
          <cell r="F342" t="str">
            <v>Gødning</v>
          </cell>
          <cell r="G342" t="str">
            <v>kg N</v>
          </cell>
          <cell r="H342">
            <v>-76.949999999999989</v>
          </cell>
          <cell r="I342">
            <v>-76.949999999999989</v>
          </cell>
          <cell r="J342">
            <v>-76.949999999999989</v>
          </cell>
        </row>
        <row r="343">
          <cell r="A343" t="str">
            <v>Frøgræsmark</v>
          </cell>
          <cell r="B343" t="str">
            <v>Økologisk</v>
          </cell>
          <cell r="C343" t="str">
            <v>OC6</v>
          </cell>
          <cell r="D343" t="str">
            <v>Areal-frøgræs</v>
          </cell>
          <cell r="E343" t="str">
            <v>Hektar</v>
          </cell>
          <cell r="F343" t="str">
            <v>CO2 - atmosfære</v>
          </cell>
          <cell r="G343" t="str">
            <v>t CO2-ækvivalenter</v>
          </cell>
          <cell r="H343">
            <v>15.99169436748546</v>
          </cell>
          <cell r="I343">
            <v>15.99169436748546</v>
          </cell>
          <cell r="J343">
            <v>15.99169436748546</v>
          </cell>
        </row>
        <row r="344">
          <cell r="A344" t="str">
            <v>Frøgræsmark</v>
          </cell>
          <cell r="B344" t="str">
            <v>Økologisk</v>
          </cell>
          <cell r="C344" t="str">
            <v>OC12</v>
          </cell>
          <cell r="D344" t="str">
            <v>Areal-frøgræs</v>
          </cell>
          <cell r="E344" t="str">
            <v>Hektar</v>
          </cell>
          <cell r="F344" t="str">
            <v>Frø</v>
          </cell>
          <cell r="G344" t="str">
            <v>Ton</v>
          </cell>
          <cell r="H344">
            <v>11.402510886075946</v>
          </cell>
          <cell r="I344">
            <v>11.402510886075946</v>
          </cell>
          <cell r="J344">
            <v>11.402510886075946</v>
          </cell>
        </row>
        <row r="345">
          <cell r="A345" t="str">
            <v>Frøgræsmark</v>
          </cell>
          <cell r="B345" t="str">
            <v>Økologisk</v>
          </cell>
          <cell r="C345" t="str">
            <v>OC12</v>
          </cell>
          <cell r="D345" t="str">
            <v>Areal-frøgræs</v>
          </cell>
          <cell r="E345" t="str">
            <v>Hektar</v>
          </cell>
          <cell r="F345" t="str">
            <v>Halm</v>
          </cell>
          <cell r="G345" t="str">
            <v>Ton</v>
          </cell>
          <cell r="H345">
            <v>3.1919999999999997</v>
          </cell>
          <cell r="I345">
            <v>3.1919999999999997</v>
          </cell>
          <cell r="J345">
            <v>3.1919999999999997</v>
          </cell>
        </row>
        <row r="346">
          <cell r="A346" t="str">
            <v>Frøgræsmark</v>
          </cell>
          <cell r="B346" t="str">
            <v>Økologisk</v>
          </cell>
          <cell r="C346" t="str">
            <v>OC12</v>
          </cell>
          <cell r="D346" t="str">
            <v>Areal-frøgræs</v>
          </cell>
          <cell r="E346" t="str">
            <v>Hektar</v>
          </cell>
          <cell r="F346" t="str">
            <v>Gødning</v>
          </cell>
          <cell r="G346" t="str">
            <v>kg N</v>
          </cell>
          <cell r="H346">
            <v>-68.399999999999991</v>
          </cell>
          <cell r="I346">
            <v>-68.399999999999991</v>
          </cell>
          <cell r="J346">
            <v>-68.399999999999991</v>
          </cell>
        </row>
        <row r="347">
          <cell r="A347" t="str">
            <v>Frøgræsmark</v>
          </cell>
          <cell r="B347" t="str">
            <v>Økologisk</v>
          </cell>
          <cell r="C347" t="str">
            <v>OC12</v>
          </cell>
          <cell r="D347" t="str">
            <v>Areal-frøgræs</v>
          </cell>
          <cell r="E347" t="str">
            <v>Hektar</v>
          </cell>
          <cell r="F347" t="str">
            <v>CO2 - atmosfære</v>
          </cell>
          <cell r="G347" t="str">
            <v>t CO2-ækvivalenter</v>
          </cell>
          <cell r="H347">
            <v>40.951694367485452</v>
          </cell>
          <cell r="I347">
            <v>40.951694367485452</v>
          </cell>
          <cell r="J347">
            <v>40.951694367485452</v>
          </cell>
        </row>
        <row r="348">
          <cell r="A348" t="str">
            <v>Juletræsmark</v>
          </cell>
          <cell r="B348" t="str">
            <v>Konventionel</v>
          </cell>
          <cell r="C348" t="str">
            <v>JB1-10</v>
          </cell>
          <cell r="D348" t="str">
            <v>Areal-juletræer</v>
          </cell>
          <cell r="E348" t="str">
            <v>Hektar</v>
          </cell>
          <cell r="F348" t="str">
            <v>Juletræer</v>
          </cell>
          <cell r="G348" t="str">
            <v>Ton</v>
          </cell>
          <cell r="H348">
            <v>50</v>
          </cell>
          <cell r="I348">
            <v>50</v>
          </cell>
          <cell r="J348">
            <v>50</v>
          </cell>
        </row>
        <row r="349">
          <cell r="A349" t="str">
            <v>Juletræsmark</v>
          </cell>
          <cell r="B349" t="str">
            <v>Konventionel</v>
          </cell>
          <cell r="C349" t="str">
            <v>JB1-10</v>
          </cell>
          <cell r="D349" t="str">
            <v>Areal-juletræer</v>
          </cell>
          <cell r="E349" t="str">
            <v>Hektar</v>
          </cell>
          <cell r="F349" t="str">
            <v>Gødning</v>
          </cell>
          <cell r="G349" t="str">
            <v>kg N</v>
          </cell>
          <cell r="H349">
            <v>-110</v>
          </cell>
          <cell r="I349">
            <v>-110</v>
          </cell>
          <cell r="J349">
            <v>-110</v>
          </cell>
        </row>
        <row r="350">
          <cell r="A350" t="str">
            <v>Juletræsmark</v>
          </cell>
          <cell r="B350" t="str">
            <v>Konventionel</v>
          </cell>
          <cell r="C350" t="str">
            <v>JB1-10</v>
          </cell>
          <cell r="D350" t="str">
            <v>Areal-juletræer</v>
          </cell>
          <cell r="E350" t="str">
            <v>Hektar</v>
          </cell>
          <cell r="F350" t="str">
            <v>CO2 - atmosfære</v>
          </cell>
          <cell r="G350" t="str">
            <v>t CO2-ækvivalenter</v>
          </cell>
          <cell r="H350">
            <v>1.9656943674854606</v>
          </cell>
          <cell r="I350">
            <v>1.9656943674854606</v>
          </cell>
          <cell r="J350">
            <v>1.9656943674854606</v>
          </cell>
        </row>
        <row r="351">
          <cell r="A351" t="str">
            <v>Juletræsmark</v>
          </cell>
          <cell r="B351" t="str">
            <v>Konventionel</v>
          </cell>
          <cell r="C351" t="str">
            <v>OC6</v>
          </cell>
          <cell r="D351" t="str">
            <v>Areal-juletræer</v>
          </cell>
          <cell r="E351" t="str">
            <v>Hektar</v>
          </cell>
          <cell r="F351" t="str">
            <v>Juletræer</v>
          </cell>
          <cell r="G351" t="str">
            <v>Ton</v>
          </cell>
          <cell r="H351">
            <v>60</v>
          </cell>
          <cell r="I351">
            <v>60</v>
          </cell>
          <cell r="J351">
            <v>60</v>
          </cell>
        </row>
        <row r="352">
          <cell r="A352" t="str">
            <v>Juletræsmark</v>
          </cell>
          <cell r="B352" t="str">
            <v>Konventionel</v>
          </cell>
          <cell r="C352" t="str">
            <v>OC6</v>
          </cell>
          <cell r="D352" t="str">
            <v>Areal-juletræer</v>
          </cell>
          <cell r="E352" t="str">
            <v>Hektar</v>
          </cell>
          <cell r="F352" t="str">
            <v>Gødning</v>
          </cell>
          <cell r="G352" t="str">
            <v>kg N</v>
          </cell>
          <cell r="H352">
            <v>-100</v>
          </cell>
          <cell r="I352">
            <v>-100</v>
          </cell>
          <cell r="J352">
            <v>-100</v>
          </cell>
        </row>
        <row r="353">
          <cell r="A353" t="str">
            <v>Juletræsmark</v>
          </cell>
          <cell r="B353" t="str">
            <v>Konventionel</v>
          </cell>
          <cell r="C353" t="str">
            <v>OC6</v>
          </cell>
          <cell r="D353" t="str">
            <v>Areal-juletræer</v>
          </cell>
          <cell r="E353" t="str">
            <v>Hektar</v>
          </cell>
          <cell r="F353" t="str">
            <v>CO2 - atmosfære</v>
          </cell>
          <cell r="G353" t="str">
            <v>t CO2-ækvivalenter</v>
          </cell>
          <cell r="H353">
            <v>10.661694367485461</v>
          </cell>
          <cell r="I353">
            <v>10.661694367485461</v>
          </cell>
          <cell r="J353">
            <v>10.661694367485461</v>
          </cell>
        </row>
        <row r="354">
          <cell r="A354" t="str">
            <v>Juletræsmark</v>
          </cell>
          <cell r="B354" t="str">
            <v>Konventionel</v>
          </cell>
          <cell r="C354" t="str">
            <v>OC12</v>
          </cell>
          <cell r="D354" t="str">
            <v>Areal-juletræer</v>
          </cell>
          <cell r="E354" t="str">
            <v>Hektar</v>
          </cell>
          <cell r="F354" t="str">
            <v>Juletræer</v>
          </cell>
          <cell r="G354" t="str">
            <v>Ton</v>
          </cell>
          <cell r="H354">
            <v>70</v>
          </cell>
          <cell r="I354">
            <v>70</v>
          </cell>
          <cell r="J354">
            <v>70</v>
          </cell>
        </row>
        <row r="355">
          <cell r="A355" t="str">
            <v>Juletræsmark</v>
          </cell>
          <cell r="B355" t="str">
            <v>Konventionel</v>
          </cell>
          <cell r="C355" t="str">
            <v>OC12</v>
          </cell>
          <cell r="D355" t="str">
            <v>Areal-juletræer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-90</v>
          </cell>
          <cell r="I355">
            <v>-90</v>
          </cell>
          <cell r="J355">
            <v>-90</v>
          </cell>
        </row>
        <row r="356">
          <cell r="A356" t="str">
            <v>Juletræsmark</v>
          </cell>
          <cell r="B356" t="str">
            <v>Konventionel</v>
          </cell>
          <cell r="C356" t="str">
            <v>OC12</v>
          </cell>
          <cell r="D356" t="str">
            <v>Areal-juletræer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28.501694367485467</v>
          </cell>
          <cell r="I356">
            <v>28.501694367485467</v>
          </cell>
          <cell r="J356">
            <v>28.501694367485467</v>
          </cell>
        </row>
        <row r="357">
          <cell r="A357" t="str">
            <v>Juletræsmark</v>
          </cell>
          <cell r="B357" t="str">
            <v>Økologisk</v>
          </cell>
          <cell r="C357" t="str">
            <v>JB1-10</v>
          </cell>
          <cell r="D357" t="str">
            <v>Areal-juletræer</v>
          </cell>
          <cell r="E357" t="str">
            <v>Hektar</v>
          </cell>
          <cell r="F357" t="str">
            <v>Juletræer</v>
          </cell>
          <cell r="G357" t="str">
            <v>Ton</v>
          </cell>
          <cell r="H357">
            <v>28.499999999999996</v>
          </cell>
          <cell r="I357">
            <v>28.499999999999996</v>
          </cell>
          <cell r="J357">
            <v>28.499999999999996</v>
          </cell>
        </row>
        <row r="358">
          <cell r="A358" t="str">
            <v>Juletræsmark</v>
          </cell>
          <cell r="B358" t="str">
            <v>Økologisk</v>
          </cell>
          <cell r="C358" t="str">
            <v>JB1-10</v>
          </cell>
          <cell r="D358" t="str">
            <v>Areal-juletræer</v>
          </cell>
          <cell r="E358" t="str">
            <v>Hektar</v>
          </cell>
          <cell r="F358" t="str">
            <v>Gødning</v>
          </cell>
          <cell r="G358" t="str">
            <v>kg N</v>
          </cell>
          <cell r="H358">
            <v>-62.699999999999996</v>
          </cell>
          <cell r="I358">
            <v>-62.699999999999996</v>
          </cell>
          <cell r="J358">
            <v>-62.699999999999996</v>
          </cell>
        </row>
        <row r="359">
          <cell r="A359" t="str">
            <v>Juletræsmark</v>
          </cell>
          <cell r="B359" t="str">
            <v>Økologisk</v>
          </cell>
          <cell r="C359" t="str">
            <v>JB1-10</v>
          </cell>
          <cell r="D359" t="str">
            <v>Areal-juletræer</v>
          </cell>
          <cell r="E359" t="str">
            <v>Hektar</v>
          </cell>
          <cell r="F359" t="str">
            <v>CO2 - atmosfære</v>
          </cell>
          <cell r="G359" t="str">
            <v>t CO2-ækvivalenter</v>
          </cell>
          <cell r="H359">
            <v>1.9656943674854606</v>
          </cell>
          <cell r="I359">
            <v>1.9656943674854606</v>
          </cell>
          <cell r="J359">
            <v>1.9656943674854606</v>
          </cell>
        </row>
        <row r="360">
          <cell r="A360" t="str">
            <v>Juletræsmark</v>
          </cell>
          <cell r="B360" t="str">
            <v>Økologisk</v>
          </cell>
          <cell r="C360" t="str">
            <v>OC6</v>
          </cell>
          <cell r="D360" t="str">
            <v>Areal-juletræer</v>
          </cell>
          <cell r="E360" t="str">
            <v>Hektar</v>
          </cell>
          <cell r="F360" t="str">
            <v>Juletræer</v>
          </cell>
          <cell r="G360" t="str">
            <v>Ton</v>
          </cell>
          <cell r="H360">
            <v>34.199999999999996</v>
          </cell>
          <cell r="I360">
            <v>34.199999999999996</v>
          </cell>
          <cell r="J360">
            <v>34.199999999999996</v>
          </cell>
        </row>
        <row r="361">
          <cell r="A361" t="str">
            <v>Juletræsmark</v>
          </cell>
          <cell r="B361" t="str">
            <v>Økologisk</v>
          </cell>
          <cell r="C361" t="str">
            <v>OC6</v>
          </cell>
          <cell r="D361" t="str">
            <v>Areal-juletræer</v>
          </cell>
          <cell r="E361" t="str">
            <v>Hektar</v>
          </cell>
          <cell r="F361" t="str">
            <v>Gødning</v>
          </cell>
          <cell r="G361" t="str">
            <v>kg N</v>
          </cell>
          <cell r="H361">
            <v>-56.999999999999993</v>
          </cell>
          <cell r="I361">
            <v>-56.999999999999993</v>
          </cell>
          <cell r="J361">
            <v>-56.999999999999993</v>
          </cell>
        </row>
        <row r="362">
          <cell r="A362" t="str">
            <v>Juletræsmark</v>
          </cell>
          <cell r="B362" t="str">
            <v>Økologisk</v>
          </cell>
          <cell r="C362" t="str">
            <v>OC6</v>
          </cell>
          <cell r="D362" t="str">
            <v>Areal-juletræer</v>
          </cell>
          <cell r="E362" t="str">
            <v>Hektar</v>
          </cell>
          <cell r="F362" t="str">
            <v>CO2 - atmosfære</v>
          </cell>
          <cell r="G362" t="str">
            <v>t CO2-ækvivalenter</v>
          </cell>
          <cell r="H362">
            <v>10.661694367485461</v>
          </cell>
          <cell r="I362">
            <v>10.661694367485461</v>
          </cell>
          <cell r="J362">
            <v>10.661694367485461</v>
          </cell>
        </row>
        <row r="363">
          <cell r="A363" t="str">
            <v>Juletræsmark</v>
          </cell>
          <cell r="B363" t="str">
            <v>Økologisk</v>
          </cell>
          <cell r="C363" t="str">
            <v>OC12</v>
          </cell>
          <cell r="D363" t="str">
            <v>Areal-juletræer</v>
          </cell>
          <cell r="E363" t="str">
            <v>Hektar</v>
          </cell>
          <cell r="F363" t="str">
            <v>Juletræer</v>
          </cell>
          <cell r="G363" t="str">
            <v>Ton</v>
          </cell>
          <cell r="H363">
            <v>39.9</v>
          </cell>
          <cell r="I363">
            <v>39.9</v>
          </cell>
          <cell r="J363">
            <v>39.9</v>
          </cell>
        </row>
        <row r="364">
          <cell r="A364" t="str">
            <v>Juletræsmark</v>
          </cell>
          <cell r="B364" t="str">
            <v>Økologisk</v>
          </cell>
          <cell r="C364" t="str">
            <v>OC12</v>
          </cell>
          <cell r="D364" t="str">
            <v>Areal-juletræer</v>
          </cell>
          <cell r="E364" t="str">
            <v>Hektar</v>
          </cell>
          <cell r="F364" t="str">
            <v>Gødning</v>
          </cell>
          <cell r="G364" t="str">
            <v>kg N</v>
          </cell>
          <cell r="H364">
            <v>-51.3</v>
          </cell>
          <cell r="I364">
            <v>-51.3</v>
          </cell>
          <cell r="J364">
            <v>-51.3</v>
          </cell>
        </row>
        <row r="365">
          <cell r="A365" t="str">
            <v>Juletræsmark</v>
          </cell>
          <cell r="B365" t="str">
            <v>Økologisk</v>
          </cell>
          <cell r="C365" t="str">
            <v>OC12</v>
          </cell>
          <cell r="D365" t="str">
            <v>Areal-juletræer</v>
          </cell>
          <cell r="E365" t="str">
            <v>Hektar</v>
          </cell>
          <cell r="F365" t="str">
            <v>CO2 - atmosfære</v>
          </cell>
          <cell r="G365" t="str">
            <v>t CO2-ækvivalenter</v>
          </cell>
          <cell r="H365">
            <v>28.501694367485467</v>
          </cell>
          <cell r="I365">
            <v>28.501694367485467</v>
          </cell>
          <cell r="J365">
            <v>28.501694367485467</v>
          </cell>
        </row>
        <row r="366">
          <cell r="A366" t="str">
            <v>Pil- og poppeldyrkning</v>
          </cell>
          <cell r="B366" t="str">
            <v>Konventionel</v>
          </cell>
          <cell r="C366" t="str">
            <v>JB1-10</v>
          </cell>
          <cell r="D366" t="str">
            <v>Areal-pil-poppel</v>
          </cell>
          <cell r="E366" t="str">
            <v>Hektar</v>
          </cell>
          <cell r="F366" t="str">
            <v>Pil &amp; poppel</v>
          </cell>
          <cell r="G366" t="str">
            <v>Ton</v>
          </cell>
          <cell r="H366">
            <v>24.390243902439025</v>
          </cell>
          <cell r="I366">
            <v>24.390243902439025</v>
          </cell>
          <cell r="J366">
            <v>24.390243902439025</v>
          </cell>
        </row>
        <row r="367">
          <cell r="A367" t="str">
            <v>Pil- og poppeldyrkning</v>
          </cell>
          <cell r="B367" t="str">
            <v>Konventionel</v>
          </cell>
          <cell r="C367" t="str">
            <v>JB1-10</v>
          </cell>
          <cell r="D367" t="str">
            <v>Areal-pil-poppel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-120</v>
          </cell>
          <cell r="I367">
            <v>-120</v>
          </cell>
          <cell r="J367">
            <v>-120</v>
          </cell>
        </row>
        <row r="368">
          <cell r="A368" t="str">
            <v>Pil- og poppeldyrkning</v>
          </cell>
          <cell r="B368" t="str">
            <v>Konventionel</v>
          </cell>
          <cell r="C368" t="str">
            <v>JB1-10</v>
          </cell>
          <cell r="D368" t="str">
            <v>Areal-pil-poppel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1.9656943674854606</v>
          </cell>
          <cell r="I368">
            <v>1.9656943674854606</v>
          </cell>
          <cell r="J368">
            <v>1.9656943674854606</v>
          </cell>
        </row>
        <row r="369">
          <cell r="A369" t="str">
            <v>Pil- og poppeldyrkning</v>
          </cell>
          <cell r="B369" t="str">
            <v>Konventionel</v>
          </cell>
          <cell r="C369" t="str">
            <v>OC6</v>
          </cell>
          <cell r="D369" t="str">
            <v>Areal-pil-poppel</v>
          </cell>
          <cell r="E369" t="str">
            <v>Hektar</v>
          </cell>
          <cell r="F369" t="str">
            <v>Pil &amp; poppel</v>
          </cell>
          <cell r="G369" t="str">
            <v>Ton</v>
          </cell>
          <cell r="H369">
            <v>29.268292682926827</v>
          </cell>
          <cell r="I369">
            <v>29.268292682926827</v>
          </cell>
          <cell r="J369">
            <v>29.268292682926827</v>
          </cell>
        </row>
        <row r="370">
          <cell r="A370" t="str">
            <v>Pil- og poppeldyrkning</v>
          </cell>
          <cell r="B370" t="str">
            <v>Konventionel</v>
          </cell>
          <cell r="C370" t="str">
            <v>OC6</v>
          </cell>
          <cell r="D370" t="str">
            <v>Areal-pil-poppel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-120</v>
          </cell>
          <cell r="I370">
            <v>-120</v>
          </cell>
          <cell r="J370">
            <v>-120</v>
          </cell>
        </row>
        <row r="371">
          <cell r="A371" t="str">
            <v>Pil- og poppeldyrkning</v>
          </cell>
          <cell r="B371" t="str">
            <v>Konventionel</v>
          </cell>
          <cell r="C371" t="str">
            <v>OC6</v>
          </cell>
          <cell r="D371" t="str">
            <v>Areal-pil-poppel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10.661694367485461</v>
          </cell>
          <cell r="I371">
            <v>10.661694367485461</v>
          </cell>
          <cell r="J371">
            <v>10.661694367485461</v>
          </cell>
        </row>
        <row r="372">
          <cell r="A372" t="str">
            <v>Pil- og poppeldyrkning</v>
          </cell>
          <cell r="B372" t="str">
            <v>Konventionel</v>
          </cell>
          <cell r="C372" t="str">
            <v>OC12</v>
          </cell>
          <cell r="D372" t="str">
            <v>Areal-pil-poppel</v>
          </cell>
          <cell r="E372" t="str">
            <v>Hektar</v>
          </cell>
          <cell r="F372" t="str">
            <v>Pil &amp; poppel</v>
          </cell>
          <cell r="G372" t="str">
            <v>Ton</v>
          </cell>
          <cell r="H372">
            <v>34.146341463414629</v>
          </cell>
          <cell r="I372">
            <v>34.146341463414629</v>
          </cell>
          <cell r="J372">
            <v>34.146341463414629</v>
          </cell>
        </row>
        <row r="373">
          <cell r="A373" t="str">
            <v>Pil- og poppeldyrkning</v>
          </cell>
          <cell r="B373" t="str">
            <v>Konventionel</v>
          </cell>
          <cell r="C373" t="str">
            <v>OC12</v>
          </cell>
          <cell r="D373" t="str">
            <v>Areal-pil-poppel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-120</v>
          </cell>
          <cell r="I373">
            <v>-120</v>
          </cell>
          <cell r="J373">
            <v>-120</v>
          </cell>
        </row>
        <row r="374">
          <cell r="A374" t="str">
            <v>Pil- og poppeldyrkning</v>
          </cell>
          <cell r="B374" t="str">
            <v>Konventionel</v>
          </cell>
          <cell r="C374" t="str">
            <v>OC12</v>
          </cell>
          <cell r="D374" t="str">
            <v>Areal-pil-poppel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28.501694367485467</v>
          </cell>
          <cell r="I374">
            <v>28.501694367485467</v>
          </cell>
          <cell r="J374">
            <v>28.501694367485467</v>
          </cell>
        </row>
        <row r="375">
          <cell r="A375" t="str">
            <v>Pil- og poppeldyrkning</v>
          </cell>
          <cell r="B375" t="str">
            <v>Økologisk</v>
          </cell>
          <cell r="C375" t="str">
            <v>JB1-10</v>
          </cell>
          <cell r="D375" t="str">
            <v>Areal-pil-poppel</v>
          </cell>
          <cell r="E375" t="str">
            <v>Hektar</v>
          </cell>
          <cell r="F375" t="str">
            <v>Pil &amp; poppel</v>
          </cell>
          <cell r="G375" t="str">
            <v>Ton</v>
          </cell>
          <cell r="H375">
            <v>13.902439024390242</v>
          </cell>
          <cell r="I375">
            <v>13.902439024390242</v>
          </cell>
          <cell r="J375">
            <v>13.902439024390242</v>
          </cell>
        </row>
        <row r="376">
          <cell r="A376" t="str">
            <v>Pil- og poppeldyrkning</v>
          </cell>
          <cell r="B376" t="str">
            <v>Økologisk</v>
          </cell>
          <cell r="C376" t="str">
            <v>JB1-10</v>
          </cell>
          <cell r="D376" t="str">
            <v>Areal-pil-poppel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-68.399999999999991</v>
          </cell>
          <cell r="I376">
            <v>-68.399999999999991</v>
          </cell>
          <cell r="J376">
            <v>-68.399999999999991</v>
          </cell>
        </row>
        <row r="377">
          <cell r="A377" t="str">
            <v>Pil- og poppeldyrkning</v>
          </cell>
          <cell r="B377" t="str">
            <v>Økologisk</v>
          </cell>
          <cell r="C377" t="str">
            <v>JB1-10</v>
          </cell>
          <cell r="D377" t="str">
            <v>Areal-pil-poppel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1.9656943674854606</v>
          </cell>
          <cell r="I377">
            <v>1.9656943674854606</v>
          </cell>
          <cell r="J377">
            <v>1.9656943674854606</v>
          </cell>
        </row>
        <row r="378">
          <cell r="A378" t="str">
            <v>Pil- og poppeldyrkning</v>
          </cell>
          <cell r="B378" t="str">
            <v>Økologisk</v>
          </cell>
          <cell r="C378" t="str">
            <v>OC6</v>
          </cell>
          <cell r="D378" t="str">
            <v>Areal-pil-poppel</v>
          </cell>
          <cell r="E378" t="str">
            <v>Hektar</v>
          </cell>
          <cell r="F378" t="str">
            <v>Pil &amp; poppel</v>
          </cell>
          <cell r="G378" t="str">
            <v>Ton</v>
          </cell>
          <cell r="H378">
            <v>16.68292682926829</v>
          </cell>
          <cell r="I378">
            <v>16.68292682926829</v>
          </cell>
          <cell r="J378">
            <v>16.68292682926829</v>
          </cell>
        </row>
        <row r="379">
          <cell r="A379" t="str">
            <v>Pil- og poppeldyrkning</v>
          </cell>
          <cell r="B379" t="str">
            <v>Økologisk</v>
          </cell>
          <cell r="C379" t="str">
            <v>OC6</v>
          </cell>
          <cell r="D379" t="str">
            <v>Areal-pil-poppel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-68.399999999999991</v>
          </cell>
          <cell r="I379">
            <v>-68.399999999999991</v>
          </cell>
          <cell r="J379">
            <v>-68.399999999999991</v>
          </cell>
        </row>
        <row r="380">
          <cell r="A380" t="str">
            <v>Pil- og poppeldyrkning</v>
          </cell>
          <cell r="B380" t="str">
            <v>Økologisk</v>
          </cell>
          <cell r="C380" t="str">
            <v>OC6</v>
          </cell>
          <cell r="D380" t="str">
            <v>Areal-pil-poppel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10.661694367485461</v>
          </cell>
          <cell r="I380">
            <v>10.661694367485461</v>
          </cell>
          <cell r="J380">
            <v>10.661694367485461</v>
          </cell>
        </row>
        <row r="381">
          <cell r="A381" t="str">
            <v>Pil- og poppeldyrkning</v>
          </cell>
          <cell r="B381" t="str">
            <v>Økologisk</v>
          </cell>
          <cell r="C381" t="str">
            <v>OC12</v>
          </cell>
          <cell r="D381" t="str">
            <v>Areal-pil-poppel</v>
          </cell>
          <cell r="E381" t="str">
            <v>Hektar</v>
          </cell>
          <cell r="F381" t="str">
            <v>Pil &amp; poppel</v>
          </cell>
          <cell r="G381" t="str">
            <v>Ton</v>
          </cell>
          <cell r="H381">
            <v>19.463414634146336</v>
          </cell>
          <cell r="I381">
            <v>19.463414634146336</v>
          </cell>
          <cell r="J381">
            <v>19.463414634146336</v>
          </cell>
        </row>
        <row r="382">
          <cell r="A382" t="str">
            <v>Pil- og poppeldyrkning</v>
          </cell>
          <cell r="B382" t="str">
            <v>Økologisk</v>
          </cell>
          <cell r="C382" t="str">
            <v>OC12</v>
          </cell>
          <cell r="D382" t="str">
            <v>Areal-pil-poppel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-68.399999999999991</v>
          </cell>
          <cell r="I382">
            <v>-68.399999999999991</v>
          </cell>
          <cell r="J382">
            <v>-68.399999999999991</v>
          </cell>
        </row>
        <row r="383">
          <cell r="A383" t="str">
            <v>Pil- og poppeldyrkning</v>
          </cell>
          <cell r="B383" t="str">
            <v>Økologisk</v>
          </cell>
          <cell r="C383" t="str">
            <v>OC12</v>
          </cell>
          <cell r="D383" t="str">
            <v>Areal-pil-poppel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28.501694367485467</v>
          </cell>
          <cell r="I383">
            <v>28.501694367485467</v>
          </cell>
          <cell r="J383">
            <v>28.501694367485467</v>
          </cell>
        </row>
        <row r="384">
          <cell r="A384" t="str">
            <v>Permanent græs</v>
          </cell>
          <cell r="B384" t="str">
            <v>Konventionel</v>
          </cell>
          <cell r="C384" t="str">
            <v>JB1-10</v>
          </cell>
          <cell r="D384" t="str">
            <v>Areal-permanent græs</v>
          </cell>
          <cell r="E384" t="str">
            <v>Hektar</v>
          </cell>
          <cell r="F384" t="str">
            <v>Græs</v>
          </cell>
          <cell r="G384" t="str">
            <v>Ton</v>
          </cell>
          <cell r="H384">
            <v>13.790000000000001</v>
          </cell>
          <cell r="I384">
            <v>13.790000000000001</v>
          </cell>
          <cell r="J384">
            <v>13.790000000000001</v>
          </cell>
        </row>
        <row r="385">
          <cell r="A385" t="str">
            <v>Permanent græs</v>
          </cell>
          <cell r="B385" t="str">
            <v>Konventionel</v>
          </cell>
          <cell r="C385" t="str">
            <v>JB1-10</v>
          </cell>
          <cell r="D385" t="str">
            <v>Areal-permanent græs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-50</v>
          </cell>
          <cell r="I385">
            <v>-50</v>
          </cell>
          <cell r="J385">
            <v>-50</v>
          </cell>
        </row>
        <row r="386">
          <cell r="A386" t="str">
            <v>Permanent græs</v>
          </cell>
          <cell r="B386" t="str">
            <v>Konventionel</v>
          </cell>
          <cell r="C386" t="str">
            <v>JB1-10</v>
          </cell>
          <cell r="D386" t="str">
            <v>Areal-permanent græs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1.9656943674854606</v>
          </cell>
          <cell r="I386">
            <v>1.9656943674854606</v>
          </cell>
          <cell r="J386">
            <v>1.9656943674854606</v>
          </cell>
        </row>
        <row r="387">
          <cell r="A387" t="str">
            <v>Permanent græs</v>
          </cell>
          <cell r="B387" t="str">
            <v>Konventionel</v>
          </cell>
          <cell r="C387" t="str">
            <v>OC6</v>
          </cell>
          <cell r="D387" t="str">
            <v>Areal-permanent græs</v>
          </cell>
          <cell r="E387" t="str">
            <v>Hektar</v>
          </cell>
          <cell r="F387" t="str">
            <v>Græs</v>
          </cell>
          <cell r="G387" t="str">
            <v>Ton</v>
          </cell>
          <cell r="H387">
            <v>16.548000000000002</v>
          </cell>
          <cell r="I387">
            <v>16.548000000000002</v>
          </cell>
          <cell r="J387">
            <v>16.548000000000002</v>
          </cell>
        </row>
        <row r="388">
          <cell r="A388" t="str">
            <v>Permanent græs</v>
          </cell>
          <cell r="B388" t="str">
            <v>Konventionel</v>
          </cell>
          <cell r="C388" t="str">
            <v>OC6</v>
          </cell>
          <cell r="D388" t="str">
            <v>Areal-permanent græs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-50</v>
          </cell>
          <cell r="I388">
            <v>-50</v>
          </cell>
          <cell r="J388">
            <v>-50</v>
          </cell>
        </row>
        <row r="389">
          <cell r="A389" t="str">
            <v>Permanent græs</v>
          </cell>
          <cell r="B389" t="str">
            <v>Konventionel</v>
          </cell>
          <cell r="C389" t="str">
            <v>OC6</v>
          </cell>
          <cell r="D389" t="str">
            <v>Areal-permanent græs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10.661694367485461</v>
          </cell>
          <cell r="I389">
            <v>10.661694367485461</v>
          </cell>
          <cell r="J389">
            <v>10.661694367485461</v>
          </cell>
        </row>
        <row r="390">
          <cell r="A390" t="str">
            <v>Permanent græs</v>
          </cell>
          <cell r="B390" t="str">
            <v>Konventionel</v>
          </cell>
          <cell r="C390" t="str">
            <v>OC12</v>
          </cell>
          <cell r="D390" t="str">
            <v>Areal-permanent græs</v>
          </cell>
          <cell r="E390" t="str">
            <v>Hektar</v>
          </cell>
          <cell r="F390" t="str">
            <v>Græs</v>
          </cell>
          <cell r="G390" t="str">
            <v>Ton</v>
          </cell>
          <cell r="H390">
            <v>19.306000000000001</v>
          </cell>
          <cell r="I390">
            <v>19.306000000000001</v>
          </cell>
          <cell r="J390">
            <v>19.306000000000001</v>
          </cell>
        </row>
        <row r="391">
          <cell r="A391" t="str">
            <v>Permanent græs</v>
          </cell>
          <cell r="B391" t="str">
            <v>Konventionel</v>
          </cell>
          <cell r="C391" t="str">
            <v>OC12</v>
          </cell>
          <cell r="D391" t="str">
            <v>Areal-permanent græs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-50</v>
          </cell>
          <cell r="I391">
            <v>-50</v>
          </cell>
          <cell r="J391">
            <v>-50</v>
          </cell>
        </row>
        <row r="392">
          <cell r="A392" t="str">
            <v>Permanent græs</v>
          </cell>
          <cell r="B392" t="str">
            <v>Konventionel</v>
          </cell>
          <cell r="C392" t="str">
            <v>OC12</v>
          </cell>
          <cell r="D392" t="str">
            <v>Areal-permanent græs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28.501694367485467</v>
          </cell>
          <cell r="I392">
            <v>28.501694367485467</v>
          </cell>
          <cell r="J392">
            <v>28.501694367485467</v>
          </cell>
        </row>
        <row r="393">
          <cell r="A393" t="str">
            <v>Permanent græs</v>
          </cell>
          <cell r="B393" t="str">
            <v>Økologisk</v>
          </cell>
          <cell r="C393" t="str">
            <v>JB1-10</v>
          </cell>
          <cell r="D393" t="str">
            <v>Areal-permanent græs</v>
          </cell>
          <cell r="E393" t="str">
            <v>Hektar</v>
          </cell>
          <cell r="F393" t="str">
            <v>Græs</v>
          </cell>
          <cell r="G393" t="str">
            <v>Ton</v>
          </cell>
          <cell r="H393">
            <v>13.790000000000001</v>
          </cell>
          <cell r="I393">
            <v>13.790000000000001</v>
          </cell>
          <cell r="J393">
            <v>13.790000000000001</v>
          </cell>
        </row>
        <row r="394">
          <cell r="A394" t="str">
            <v>Permanent græs</v>
          </cell>
          <cell r="B394" t="str">
            <v>Økologisk</v>
          </cell>
          <cell r="C394" t="str">
            <v>JB1-10</v>
          </cell>
          <cell r="D394" t="str">
            <v>Areal-permanent græs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-50</v>
          </cell>
          <cell r="I394">
            <v>-50</v>
          </cell>
          <cell r="J394">
            <v>-50</v>
          </cell>
        </row>
        <row r="395">
          <cell r="A395" t="str">
            <v>Permanent græs</v>
          </cell>
          <cell r="B395" t="str">
            <v>Økologisk</v>
          </cell>
          <cell r="C395" t="str">
            <v>JB1-10</v>
          </cell>
          <cell r="D395" t="str">
            <v>Areal-permanent græs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1.9656943674854606</v>
          </cell>
          <cell r="I395">
            <v>1.9656943674854606</v>
          </cell>
          <cell r="J395">
            <v>1.9656943674854606</v>
          </cell>
        </row>
        <row r="396">
          <cell r="A396" t="str">
            <v>Permanent græs</v>
          </cell>
          <cell r="B396" t="str">
            <v>Økologisk</v>
          </cell>
          <cell r="C396" t="str">
            <v>OC6</v>
          </cell>
          <cell r="D396" t="str">
            <v>Areal-permanent græs</v>
          </cell>
          <cell r="E396" t="str">
            <v>Hektar</v>
          </cell>
          <cell r="F396" t="str">
            <v>Græs</v>
          </cell>
          <cell r="G396" t="str">
            <v>Ton</v>
          </cell>
          <cell r="H396">
            <v>16.548000000000002</v>
          </cell>
          <cell r="I396">
            <v>16.548000000000002</v>
          </cell>
          <cell r="J396">
            <v>16.548000000000002</v>
          </cell>
        </row>
        <row r="397">
          <cell r="A397" t="str">
            <v>Permanent græs</v>
          </cell>
          <cell r="B397" t="str">
            <v>Økologisk</v>
          </cell>
          <cell r="C397" t="str">
            <v>OC6</v>
          </cell>
          <cell r="D397" t="str">
            <v>Areal-permanent græs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-50</v>
          </cell>
          <cell r="I397">
            <v>-50</v>
          </cell>
          <cell r="J397">
            <v>-50</v>
          </cell>
        </row>
        <row r="398">
          <cell r="A398" t="str">
            <v>Permanent græs</v>
          </cell>
          <cell r="B398" t="str">
            <v>Økologisk</v>
          </cell>
          <cell r="C398" t="str">
            <v>OC6</v>
          </cell>
          <cell r="D398" t="str">
            <v>Areal-permanent græs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10.661694367485461</v>
          </cell>
          <cell r="I398">
            <v>10.661694367485461</v>
          </cell>
          <cell r="J398">
            <v>10.661694367485461</v>
          </cell>
        </row>
        <row r="399">
          <cell r="A399" t="str">
            <v>Permanent græs</v>
          </cell>
          <cell r="B399" t="str">
            <v>Økologisk</v>
          </cell>
          <cell r="C399" t="str">
            <v>OC12</v>
          </cell>
          <cell r="D399" t="str">
            <v>Areal-permanent græs</v>
          </cell>
          <cell r="E399" t="str">
            <v>Hektar</v>
          </cell>
          <cell r="F399" t="str">
            <v>Græs</v>
          </cell>
          <cell r="G399" t="str">
            <v>Ton</v>
          </cell>
          <cell r="H399">
            <v>19.306000000000001</v>
          </cell>
          <cell r="I399">
            <v>19.306000000000001</v>
          </cell>
          <cell r="J399">
            <v>19.306000000000001</v>
          </cell>
        </row>
        <row r="400">
          <cell r="A400" t="str">
            <v>Permanent græs</v>
          </cell>
          <cell r="B400" t="str">
            <v>Økologisk</v>
          </cell>
          <cell r="C400" t="str">
            <v>OC12</v>
          </cell>
          <cell r="D400" t="str">
            <v>Areal-permanent græs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-50</v>
          </cell>
          <cell r="I400">
            <v>-50</v>
          </cell>
          <cell r="J400">
            <v>-50</v>
          </cell>
        </row>
        <row r="401">
          <cell r="A401" t="str">
            <v>Permanent græs</v>
          </cell>
          <cell r="B401" t="str">
            <v>Økologisk</v>
          </cell>
          <cell r="C401" t="str">
            <v>OC12</v>
          </cell>
          <cell r="D401" t="str">
            <v>Areal-permanent græs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28.501694367485467</v>
          </cell>
          <cell r="I401">
            <v>28.501694367485467</v>
          </cell>
          <cell r="J401">
            <v>28.501694367485467</v>
          </cell>
        </row>
        <row r="402">
          <cell r="A402" t="str">
            <v>Tømmerproduktion</v>
          </cell>
          <cell r="D402" t="str">
            <v>Træer</v>
          </cell>
          <cell r="E402" t="str">
            <v>m3</v>
          </cell>
          <cell r="F402" t="str">
            <v>Træmaterialer</v>
          </cell>
          <cell r="G402" t="str">
            <v>m3</v>
          </cell>
          <cell r="H402">
            <v>0.48</v>
          </cell>
          <cell r="I402">
            <v>0.48</v>
          </cell>
          <cell r="J402">
            <v>0.48</v>
          </cell>
        </row>
        <row r="403">
          <cell r="A403" t="str">
            <v>Tømmerproduktion</v>
          </cell>
          <cell r="D403" t="str">
            <v>Træer</v>
          </cell>
          <cell r="E403" t="str">
            <v>m3</v>
          </cell>
          <cell r="F403" t="str">
            <v>Træ til energi</v>
          </cell>
          <cell r="G403" t="str">
            <v>m3</v>
          </cell>
          <cell r="H403">
            <v>0.52</v>
          </cell>
          <cell r="I403">
            <v>0.52</v>
          </cell>
          <cell r="J403">
            <v>0.52</v>
          </cell>
        </row>
        <row r="404">
          <cell r="A404" t="str">
            <v>Mejeri</v>
          </cell>
          <cell r="D404" t="str">
            <v>Råmælk</v>
          </cell>
          <cell r="E404" t="str">
            <v>Ton</v>
          </cell>
          <cell r="F404" t="str">
            <v>Mejeriprodukter</v>
          </cell>
          <cell r="G404" t="str">
            <v>Ton</v>
          </cell>
          <cell r="H404">
            <v>0.64217654203833741</v>
          </cell>
          <cell r="I404">
            <v>0.64217654203833741</v>
          </cell>
          <cell r="J404">
            <v>0.64217654203833741</v>
          </cell>
        </row>
        <row r="405">
          <cell r="A405" t="str">
            <v>Mejeri</v>
          </cell>
          <cell r="D405" t="str">
            <v>Råmælk</v>
          </cell>
          <cell r="E405" t="str">
            <v>Ton</v>
          </cell>
          <cell r="F405" t="str">
            <v>Spildevandsslam</v>
          </cell>
          <cell r="G405" t="str">
            <v>Ton</v>
          </cell>
          <cell r="H405">
            <v>2.5000000000000001E-2</v>
          </cell>
          <cell r="I405">
            <v>2.5000000000000001E-2</v>
          </cell>
          <cell r="J405">
            <v>2.5000000000000001E-2</v>
          </cell>
        </row>
        <row r="406">
          <cell r="A406" t="str">
            <v>Mejeri</v>
          </cell>
          <cell r="D406" t="str">
            <v>Råmælk</v>
          </cell>
          <cell r="E406" t="str">
            <v>Ton</v>
          </cell>
          <cell r="F406" t="str">
            <v>Industriaffald</v>
          </cell>
          <cell r="G406" t="str">
            <v>Ton</v>
          </cell>
          <cell r="H406">
            <v>3.2850000000000002E-3</v>
          </cell>
          <cell r="I406">
            <v>3.2850000000000002E-3</v>
          </cell>
          <cell r="J406">
            <v>3.2850000000000002E-3</v>
          </cell>
        </row>
        <row r="407">
          <cell r="A407" t="str">
            <v>Mejeri</v>
          </cell>
          <cell r="D407" t="str">
            <v>Råmælk</v>
          </cell>
          <cell r="E407" t="str">
            <v>Ton</v>
          </cell>
          <cell r="F407" t="str">
            <v>Mælk til foder</v>
          </cell>
          <cell r="G407" t="str">
            <v>Ton</v>
          </cell>
          <cell r="H407">
            <v>0.33282345796166263</v>
          </cell>
          <cell r="I407">
            <v>0.33282345796166263</v>
          </cell>
          <cell r="J407">
            <v>0.33282345796166263</v>
          </cell>
        </row>
        <row r="408">
          <cell r="A408" t="str">
            <v>Slagteri</v>
          </cell>
          <cell r="D408" t="str">
            <v>Slagtesvin</v>
          </cell>
          <cell r="E408" t="str">
            <v>Antal</v>
          </cell>
          <cell r="F408" t="str">
            <v>Svinekød</v>
          </cell>
          <cell r="G408" t="str">
            <v>Ton</v>
          </cell>
          <cell r="H408">
            <v>9.6453475702767494E-2</v>
          </cell>
          <cell r="I408">
            <v>9.6453475702767494E-2</v>
          </cell>
          <cell r="J408">
            <v>9.6453475702767494E-2</v>
          </cell>
        </row>
        <row r="409">
          <cell r="A409" t="str">
            <v>Slagteri</v>
          </cell>
          <cell r="D409" t="str">
            <v>Slagtesvin</v>
          </cell>
          <cell r="E409" t="str">
            <v>Antal</v>
          </cell>
          <cell r="F409" t="str">
            <v>Industriaffald</v>
          </cell>
          <cell r="G409" t="str">
            <v>Ton</v>
          </cell>
          <cell r="H409">
            <v>1.3691762911309652E-3</v>
          </cell>
          <cell r="I409">
            <v>1.8478971453475702E-3</v>
          </cell>
          <cell r="J409">
            <v>1.8478971453475702E-3</v>
          </cell>
        </row>
        <row r="410">
          <cell r="A410" t="str">
            <v>Slagteri</v>
          </cell>
          <cell r="D410" t="str">
            <v>Slagtesvin</v>
          </cell>
          <cell r="E410" t="str">
            <v>Antal</v>
          </cell>
          <cell r="F410" t="str">
            <v>Slagteriaffald til foder</v>
          </cell>
          <cell r="G410" t="str">
            <v>Ton</v>
          </cell>
          <cell r="H410">
            <v>8.602091959032469E-3</v>
          </cell>
          <cell r="I410">
            <v>8.602091959032469E-3</v>
          </cell>
          <cell r="J410">
            <v>8.602091959032469E-3</v>
          </cell>
        </row>
        <row r="411">
          <cell r="A411" t="str">
            <v>Slagteri</v>
          </cell>
          <cell r="D411" t="str">
            <v>Slagtesvin</v>
          </cell>
          <cell r="E411" t="str">
            <v>Antal</v>
          </cell>
          <cell r="F411" t="str">
            <v>Slagteriaffald til andet</v>
          </cell>
          <cell r="G411" t="str">
            <v>Ton</v>
          </cell>
          <cell r="H411">
            <v>8.4876879494443225E-3</v>
          </cell>
          <cell r="I411">
            <v>8.4876879494443225E-3</v>
          </cell>
          <cell r="J411">
            <v>8.4876879494443225E-3</v>
          </cell>
        </row>
        <row r="412">
          <cell r="A412" t="str">
            <v>Slagteri</v>
          </cell>
          <cell r="D412" t="str">
            <v>Slagtekøer</v>
          </cell>
          <cell r="E412" t="str">
            <v>Antal</v>
          </cell>
          <cell r="F412" t="str">
            <v>Oksekød</v>
          </cell>
          <cell r="G412" t="str">
            <v>Ton</v>
          </cell>
          <cell r="H412">
            <v>0.24929292929292929</v>
          </cell>
          <cell r="I412">
            <v>0.24929292929292929</v>
          </cell>
          <cell r="J412">
            <v>0.24929292929292929</v>
          </cell>
        </row>
        <row r="413">
          <cell r="A413" t="str">
            <v>Slagteri</v>
          </cell>
          <cell r="D413" t="str">
            <v>Slagtekøer</v>
          </cell>
          <cell r="E413" t="str">
            <v>Antal</v>
          </cell>
          <cell r="F413" t="str">
            <v>Industriaffald</v>
          </cell>
          <cell r="G413" t="str">
            <v>Ton</v>
          </cell>
          <cell r="H413">
            <v>0.10777272727272727</v>
          </cell>
          <cell r="I413">
            <v>0.12090909090909092</v>
          </cell>
          <cell r="J413">
            <v>0.12090909090909092</v>
          </cell>
        </row>
        <row r="414">
          <cell r="A414" t="str">
            <v>Slagteri</v>
          </cell>
          <cell r="D414" t="str">
            <v>Slagtekøer</v>
          </cell>
          <cell r="E414" t="str">
            <v>Antal</v>
          </cell>
          <cell r="F414" t="str">
            <v>Slagteriaffald til foder</v>
          </cell>
          <cell r="G414" t="str">
            <v>Ton</v>
          </cell>
          <cell r="H414">
            <v>1.5959595959595962E-2</v>
          </cell>
          <cell r="I414">
            <v>1.5959595959595962E-2</v>
          </cell>
          <cell r="J414">
            <v>1.5959595959595962E-2</v>
          </cell>
        </row>
        <row r="415">
          <cell r="A415" t="str">
            <v>Slagteri</v>
          </cell>
          <cell r="D415" t="str">
            <v>Slagtekøer</v>
          </cell>
          <cell r="E415" t="str">
            <v>Antal</v>
          </cell>
          <cell r="F415" t="str">
            <v>Slagteriaffald til andet</v>
          </cell>
          <cell r="G415" t="str">
            <v>Ton</v>
          </cell>
          <cell r="H415">
            <v>0.16404040404040401</v>
          </cell>
          <cell r="I415">
            <v>0.16404040404040401</v>
          </cell>
          <cell r="J415">
            <v>0.16404040404040401</v>
          </cell>
        </row>
        <row r="416">
          <cell r="A416" t="str">
            <v>Slagteri</v>
          </cell>
          <cell r="D416" t="str">
            <v>Slagtefjerkræ</v>
          </cell>
          <cell r="E416" t="str">
            <v>Antal</v>
          </cell>
          <cell r="F416" t="str">
            <v>Fjerkrækød</v>
          </cell>
          <cell r="G416" t="str">
            <v>Ton</v>
          </cell>
          <cell r="H416">
            <v>1.8872748768472907E-3</v>
          </cell>
          <cell r="I416">
            <v>1.8872748768472907E-3</v>
          </cell>
          <cell r="J416">
            <v>1.8872748768472907E-3</v>
          </cell>
        </row>
        <row r="417">
          <cell r="A417" t="str">
            <v>Slagteri</v>
          </cell>
          <cell r="D417" t="str">
            <v>Slagtefjerkræ</v>
          </cell>
          <cell r="E417" t="str">
            <v>Antal</v>
          </cell>
          <cell r="F417" t="str">
            <v>Industriaffald</v>
          </cell>
          <cell r="G417" t="str">
            <v>Ton</v>
          </cell>
          <cell r="H417">
            <v>5.1578009852216749E-6</v>
          </cell>
          <cell r="I417">
            <v>6.9611822660098529E-6</v>
          </cell>
          <cell r="J417">
            <v>6.9611822660098529E-6</v>
          </cell>
        </row>
        <row r="418">
          <cell r="A418" t="str">
            <v>Foderproduktion</v>
          </cell>
          <cell r="D418" t="str">
            <v>Korn</v>
          </cell>
          <cell r="E418" t="str">
            <v>Ton</v>
          </cell>
          <cell r="F418" t="str">
            <v>Foder</v>
          </cell>
          <cell r="G418" t="str">
            <v>FE</v>
          </cell>
          <cell r="H418">
            <v>899.89334145969838</v>
          </cell>
          <cell r="I418">
            <v>899.89334145969838</v>
          </cell>
          <cell r="J418">
            <v>899.89334145969838</v>
          </cell>
        </row>
        <row r="419">
          <cell r="A419" t="str">
            <v>Foderproduktion</v>
          </cell>
          <cell r="D419" t="str">
            <v>Halm</v>
          </cell>
          <cell r="E419" t="str">
            <v>Ton</v>
          </cell>
          <cell r="F419" t="str">
            <v>Foder</v>
          </cell>
          <cell r="G419" t="str">
            <v>FE</v>
          </cell>
          <cell r="H419">
            <v>190.03476245654693</v>
          </cell>
          <cell r="I419">
            <v>190.03476245654693</v>
          </cell>
          <cell r="J419">
            <v>190.03476245654693</v>
          </cell>
        </row>
        <row r="420">
          <cell r="A420" t="str">
            <v>Foderproduktion</v>
          </cell>
          <cell r="D420" t="str">
            <v>Kartofler</v>
          </cell>
          <cell r="E420" t="str">
            <v>Ton</v>
          </cell>
          <cell r="F420" t="str">
            <v>Foder</v>
          </cell>
          <cell r="G420" t="str">
            <v>FE</v>
          </cell>
          <cell r="H420">
            <v>250</v>
          </cell>
          <cell r="I420">
            <v>250</v>
          </cell>
          <cell r="J420">
            <v>250</v>
          </cell>
        </row>
        <row r="421">
          <cell r="A421" t="str">
            <v>Foderproduktion</v>
          </cell>
          <cell r="D421" t="str">
            <v>Bælgsæd</v>
          </cell>
          <cell r="E421" t="str">
            <v>Ton</v>
          </cell>
          <cell r="F421" t="str">
            <v>Foder</v>
          </cell>
          <cell r="G421" t="str">
            <v>FE</v>
          </cell>
          <cell r="H421">
            <v>1083.3333333333333</v>
          </cell>
          <cell r="I421">
            <v>1083.3333333333333</v>
          </cell>
          <cell r="J421">
            <v>1083.3333333333333</v>
          </cell>
        </row>
        <row r="422">
          <cell r="A422" t="str">
            <v>Foderproduktion</v>
          </cell>
          <cell r="D422" t="str">
            <v>Roer</v>
          </cell>
          <cell r="E422" t="str">
            <v>Ton</v>
          </cell>
          <cell r="F422" t="str">
            <v>Foder</v>
          </cell>
          <cell r="G422" t="str">
            <v>FE</v>
          </cell>
          <cell r="H422">
            <v>152.28966986155484</v>
          </cell>
          <cell r="I422">
            <v>152.28966986155484</v>
          </cell>
          <cell r="J422">
            <v>152.28966986155484</v>
          </cell>
        </row>
        <row r="423">
          <cell r="A423" t="str">
            <v>Foderproduktion</v>
          </cell>
          <cell r="D423" t="str">
            <v>Majs</v>
          </cell>
          <cell r="E423" t="str">
            <v>Ton</v>
          </cell>
          <cell r="F423" t="str">
            <v>Foder</v>
          </cell>
          <cell r="G423" t="str">
            <v>FE</v>
          </cell>
          <cell r="H423">
            <v>264.92478226444973</v>
          </cell>
          <cell r="I423">
            <v>264.92478226444973</v>
          </cell>
          <cell r="J423">
            <v>264.92478226444973</v>
          </cell>
        </row>
        <row r="424">
          <cell r="A424" t="str">
            <v>Foderproduktion</v>
          </cell>
          <cell r="D424" t="str">
            <v>Rapskage</v>
          </cell>
          <cell r="E424" t="str">
            <v>Ton</v>
          </cell>
          <cell r="F424" t="str">
            <v>Foder</v>
          </cell>
          <cell r="G424" t="str">
            <v>FE</v>
          </cell>
          <cell r="H424">
            <v>1008.3682008368201</v>
          </cell>
          <cell r="I424">
            <v>1008.3682008368201</v>
          </cell>
          <cell r="J424">
            <v>1008.3682008368201</v>
          </cell>
        </row>
        <row r="425">
          <cell r="A425" t="str">
            <v>Foderproduktion</v>
          </cell>
          <cell r="D425" t="str">
            <v>Tang</v>
          </cell>
          <cell r="E425" t="str">
            <v>Ton</v>
          </cell>
          <cell r="F425" t="str">
            <v>Foder</v>
          </cell>
          <cell r="G425" t="str">
            <v>FE</v>
          </cell>
          <cell r="H425">
            <v>1360</v>
          </cell>
          <cell r="I425">
            <v>1360</v>
          </cell>
          <cell r="J425">
            <v>1360</v>
          </cell>
        </row>
        <row r="426">
          <cell r="A426" t="str">
            <v>Foderproduktion</v>
          </cell>
          <cell r="D426" t="str">
            <v>Muslinger</v>
          </cell>
          <cell r="E426" t="str">
            <v>Ton</v>
          </cell>
          <cell r="F426" t="str">
            <v>Foder</v>
          </cell>
          <cell r="G426" t="str">
            <v>FE</v>
          </cell>
          <cell r="H426">
            <v>1410</v>
          </cell>
          <cell r="I426">
            <v>1410</v>
          </cell>
          <cell r="J426">
            <v>1410</v>
          </cell>
        </row>
        <row r="427">
          <cell r="A427" t="str">
            <v>Foderproduktion</v>
          </cell>
          <cell r="D427" t="str">
            <v>Græs</v>
          </cell>
          <cell r="E427" t="str">
            <v>Ton</v>
          </cell>
          <cell r="F427" t="str">
            <v>Foder</v>
          </cell>
          <cell r="G427" t="str">
            <v>FE</v>
          </cell>
          <cell r="H427">
            <v>166.31286143034919</v>
          </cell>
          <cell r="I427">
            <v>166.31286143034919</v>
          </cell>
          <cell r="J427">
            <v>166.31286143034919</v>
          </cell>
        </row>
        <row r="428">
          <cell r="A428" t="str">
            <v>Foderproduktion</v>
          </cell>
          <cell r="D428" t="str">
            <v>Mælk til foder</v>
          </cell>
          <cell r="E428" t="str">
            <v>Ton</v>
          </cell>
          <cell r="F428" t="str">
            <v>Foder</v>
          </cell>
          <cell r="G428" t="str">
            <v>FE</v>
          </cell>
          <cell r="H428">
            <v>96.335697399527191</v>
          </cell>
          <cell r="I428">
            <v>96.335697399527191</v>
          </cell>
          <cell r="J428">
            <v>96.335697399527191</v>
          </cell>
        </row>
        <row r="429">
          <cell r="A429" t="str">
            <v>Foderproduktion</v>
          </cell>
          <cell r="D429" t="str">
            <v>Fiberfraktion</v>
          </cell>
          <cell r="E429" t="str">
            <v>Ton</v>
          </cell>
          <cell r="F429" t="str">
            <v>Foder</v>
          </cell>
          <cell r="G429" t="str">
            <v>FE</v>
          </cell>
          <cell r="H429">
            <v>309.40000000000003</v>
          </cell>
          <cell r="I429">
            <v>309.40000000000003</v>
          </cell>
          <cell r="J429">
            <v>309.40000000000003</v>
          </cell>
        </row>
        <row r="430">
          <cell r="A430" t="str">
            <v>Foderproduktion</v>
          </cell>
          <cell r="D430" t="str">
            <v>Græsprotein</v>
          </cell>
          <cell r="E430" t="str">
            <v>Ton</v>
          </cell>
          <cell r="F430" t="str">
            <v>Foder</v>
          </cell>
          <cell r="G430" t="str">
            <v>FE</v>
          </cell>
          <cell r="H430">
            <v>2750</v>
          </cell>
          <cell r="I430">
            <v>2750</v>
          </cell>
          <cell r="J430">
            <v>2750</v>
          </cell>
        </row>
        <row r="431">
          <cell r="A431" t="str">
            <v>Foderproduktion</v>
          </cell>
          <cell r="D431" t="str">
            <v>Slagteriaffald til foder</v>
          </cell>
          <cell r="E431" t="str">
            <v>Ton</v>
          </cell>
          <cell r="F431" t="str">
            <v>Foder</v>
          </cell>
          <cell r="G431" t="str">
            <v>FE</v>
          </cell>
          <cell r="H431">
            <v>2750</v>
          </cell>
          <cell r="I431">
            <v>2750</v>
          </cell>
          <cell r="J431">
            <v>2750</v>
          </cell>
        </row>
        <row r="432">
          <cell r="A432" t="str">
            <v>Foderproduktion</v>
          </cell>
          <cell r="D432" t="str">
            <v>Import af foder</v>
          </cell>
          <cell r="E432" t="str">
            <v>Ton</v>
          </cell>
          <cell r="F432" t="str">
            <v>Foder</v>
          </cell>
          <cell r="G432" t="str">
            <v>FE</v>
          </cell>
          <cell r="H432">
            <v>743.22820037105748</v>
          </cell>
          <cell r="I432">
            <v>743.22820037105748</v>
          </cell>
          <cell r="J432">
            <v>743.22820037105748</v>
          </cell>
        </row>
        <row r="433">
          <cell r="A433" t="str">
            <v>Biogasanlæg</v>
          </cell>
          <cell r="D433" t="str">
            <v>Halm</v>
          </cell>
          <cell r="E433" t="str">
            <v>Ton</v>
          </cell>
          <cell r="F433" t="str">
            <v>Biogas</v>
          </cell>
          <cell r="G433" t="str">
            <v>Nm3 CH4</v>
          </cell>
          <cell r="H433">
            <v>160.6</v>
          </cell>
          <cell r="I433">
            <v>160.6</v>
          </cell>
          <cell r="J433">
            <v>160.6</v>
          </cell>
        </row>
        <row r="434">
          <cell r="A434" t="str">
            <v>Biogasanlæg</v>
          </cell>
          <cell r="D434" t="str">
            <v>Korn</v>
          </cell>
          <cell r="E434" t="str">
            <v>Ton</v>
          </cell>
          <cell r="F434" t="str">
            <v>Biogas</v>
          </cell>
          <cell r="G434" t="str">
            <v>Nm3 CH4</v>
          </cell>
          <cell r="H434">
            <v>95.4</v>
          </cell>
          <cell r="I434">
            <v>95.4</v>
          </cell>
          <cell r="J434">
            <v>95.4</v>
          </cell>
        </row>
        <row r="435">
          <cell r="A435" t="str">
            <v>Biogasanlæg</v>
          </cell>
          <cell r="D435" t="str">
            <v>Græs</v>
          </cell>
          <cell r="E435" t="str">
            <v>Ton</v>
          </cell>
          <cell r="F435" t="str">
            <v>Biogas</v>
          </cell>
          <cell r="G435" t="str">
            <v>Nm3 CH4</v>
          </cell>
          <cell r="H435">
            <v>51.25</v>
          </cell>
          <cell r="I435">
            <v>51.25</v>
          </cell>
          <cell r="J435">
            <v>51.25</v>
          </cell>
        </row>
        <row r="436">
          <cell r="A436" t="str">
            <v>Biogasanlæg</v>
          </cell>
          <cell r="D436" t="str">
            <v>Svinegylle</v>
          </cell>
          <cell r="E436" t="str">
            <v>Ton</v>
          </cell>
          <cell r="F436" t="str">
            <v>Biogas</v>
          </cell>
          <cell r="G436" t="str">
            <v>Nm3 CH4</v>
          </cell>
          <cell r="H436">
            <v>12</v>
          </cell>
          <cell r="I436">
            <v>12</v>
          </cell>
          <cell r="J436">
            <v>12</v>
          </cell>
        </row>
        <row r="437">
          <cell r="A437" t="str">
            <v>Biogasanlæg</v>
          </cell>
          <cell r="D437" t="str">
            <v>Svinegylle</v>
          </cell>
          <cell r="E437" t="str">
            <v>Ton</v>
          </cell>
          <cell r="F437" t="str">
            <v>CO2 - atmosfære</v>
          </cell>
          <cell r="G437" t="str">
            <v>t CO2-ækvivalenter</v>
          </cell>
          <cell r="H437">
            <v>-1.2727600045138086E-2</v>
          </cell>
          <cell r="I437">
            <v>-1.2727600045138086E-2</v>
          </cell>
          <cell r="J437">
            <v>-1.2727600045138086E-2</v>
          </cell>
        </row>
        <row r="438">
          <cell r="A438" t="str">
            <v>Biogasanlæg</v>
          </cell>
          <cell r="D438" t="str">
            <v>Kvæggylle</v>
          </cell>
          <cell r="E438" t="str">
            <v>Ton</v>
          </cell>
          <cell r="F438" t="str">
            <v>Biogas</v>
          </cell>
          <cell r="G438" t="str">
            <v>Nm3 CH4</v>
          </cell>
          <cell r="H438">
            <v>14.1</v>
          </cell>
          <cell r="I438">
            <v>14.1</v>
          </cell>
          <cell r="J438">
            <v>14.1</v>
          </cell>
        </row>
        <row r="439">
          <cell r="A439" t="str">
            <v>Biogasanlæg</v>
          </cell>
          <cell r="D439" t="str">
            <v>Kvæggylle</v>
          </cell>
          <cell r="E439" t="str">
            <v>Ton</v>
          </cell>
          <cell r="F439" t="str">
            <v>CO2 - atmosfære</v>
          </cell>
          <cell r="G439" t="str">
            <v>t CO2-ækvivalenter</v>
          </cell>
          <cell r="H439">
            <v>-2.942635474487016E-2</v>
          </cell>
          <cell r="I439">
            <v>-2.942635474487016E-2</v>
          </cell>
          <cell r="J439">
            <v>-2.942635474487016E-2</v>
          </cell>
        </row>
        <row r="440">
          <cell r="A440" t="str">
            <v>Biogasanlæg</v>
          </cell>
          <cell r="D440" t="str">
            <v>Fjerkrægylle</v>
          </cell>
          <cell r="E440" t="str">
            <v>Ton</v>
          </cell>
          <cell r="F440" t="str">
            <v>Biogas</v>
          </cell>
          <cell r="G440" t="str">
            <v>Nm3 CH4</v>
          </cell>
          <cell r="H440">
            <v>13.1</v>
          </cell>
          <cell r="I440">
            <v>13.1</v>
          </cell>
          <cell r="J440">
            <v>13.1</v>
          </cell>
        </row>
        <row r="441">
          <cell r="A441" t="str">
            <v>Biogasanlæg</v>
          </cell>
          <cell r="D441" t="str">
            <v>Dybstrøelse</v>
          </cell>
          <cell r="E441" t="str">
            <v>Ton</v>
          </cell>
          <cell r="F441" t="str">
            <v>Biogas</v>
          </cell>
          <cell r="G441" t="str">
            <v>Nm3 CH4</v>
          </cell>
          <cell r="H441">
            <v>60</v>
          </cell>
          <cell r="I441">
            <v>60</v>
          </cell>
          <cell r="J441">
            <v>60</v>
          </cell>
        </row>
        <row r="442">
          <cell r="A442" t="str">
            <v>Biogasanlæg</v>
          </cell>
          <cell r="D442" t="str">
            <v>Majs</v>
          </cell>
          <cell r="E442" t="str">
            <v>Ton</v>
          </cell>
          <cell r="F442" t="str">
            <v>Biogas</v>
          </cell>
          <cell r="G442" t="str">
            <v>Nm3 CH4</v>
          </cell>
          <cell r="H442">
            <v>100</v>
          </cell>
          <cell r="I442">
            <v>100</v>
          </cell>
          <cell r="J442">
            <v>100</v>
          </cell>
        </row>
        <row r="443">
          <cell r="A443" t="str">
            <v>Biogasanlæg</v>
          </cell>
          <cell r="D443" t="str">
            <v>Roer</v>
          </cell>
          <cell r="E443" t="str">
            <v>Ton</v>
          </cell>
          <cell r="F443" t="str">
            <v>Biogas</v>
          </cell>
          <cell r="G443" t="str">
            <v>Nm3 CH4</v>
          </cell>
          <cell r="H443">
            <v>75.599999999999994</v>
          </cell>
          <cell r="I443">
            <v>75.599999999999994</v>
          </cell>
          <cell r="J443">
            <v>75.599999999999994</v>
          </cell>
        </row>
        <row r="444">
          <cell r="A444" t="str">
            <v>Biogasanlæg</v>
          </cell>
          <cell r="D444" t="str">
            <v>Bioaffald</v>
          </cell>
          <cell r="E444" t="str">
            <v>Ton</v>
          </cell>
          <cell r="F444" t="str">
            <v>Biogas</v>
          </cell>
          <cell r="G444" t="str">
            <v>Nm3 CH4</v>
          </cell>
          <cell r="H444">
            <v>94.9</v>
          </cell>
          <cell r="I444">
            <v>94.9</v>
          </cell>
          <cell r="J444">
            <v>94.9</v>
          </cell>
        </row>
        <row r="445">
          <cell r="A445" t="str">
            <v>Biogasanlæg</v>
          </cell>
          <cell r="D445" t="str">
            <v>Industriaffald</v>
          </cell>
          <cell r="E445" t="str">
            <v>Ton</v>
          </cell>
          <cell r="F445" t="str">
            <v>Biogas</v>
          </cell>
          <cell r="G445" t="str">
            <v>Nm3 CH4</v>
          </cell>
          <cell r="H445">
            <v>120.7</v>
          </cell>
          <cell r="I445">
            <v>120.7</v>
          </cell>
          <cell r="J445">
            <v>120.7</v>
          </cell>
        </row>
        <row r="446">
          <cell r="A446" t="str">
            <v>Biogasanlæg</v>
          </cell>
          <cell r="D446" t="str">
            <v>Muslinger</v>
          </cell>
          <cell r="E446" t="str">
            <v>Ton</v>
          </cell>
          <cell r="F446" t="str">
            <v>Biogas</v>
          </cell>
          <cell r="G446" t="str">
            <v>Nm3 CH4</v>
          </cell>
          <cell r="H446">
            <v>25</v>
          </cell>
          <cell r="I446">
            <v>25</v>
          </cell>
          <cell r="J446">
            <v>25</v>
          </cell>
        </row>
        <row r="447">
          <cell r="A447" t="str">
            <v>Biogasanlæg</v>
          </cell>
          <cell r="D447" t="str">
            <v>Tang</v>
          </cell>
          <cell r="E447" t="str">
            <v>Ton</v>
          </cell>
          <cell r="F447" t="str">
            <v>Biogas</v>
          </cell>
          <cell r="G447" t="str">
            <v>Nm3 CH4</v>
          </cell>
          <cell r="H447">
            <v>25</v>
          </cell>
          <cell r="I447">
            <v>25</v>
          </cell>
          <cell r="J447">
            <v>25</v>
          </cell>
        </row>
        <row r="448">
          <cell r="A448" t="str">
            <v>Biogasanlæg</v>
          </cell>
          <cell r="D448" t="str">
            <v>Have/parkaffald</v>
          </cell>
          <cell r="E448" t="str">
            <v>Ton</v>
          </cell>
          <cell r="F448" t="str">
            <v>Biogas</v>
          </cell>
          <cell r="G448" t="str">
            <v>Nm3 CH4</v>
          </cell>
          <cell r="H448">
            <v>47.3</v>
          </cell>
          <cell r="I448">
            <v>47.3</v>
          </cell>
          <cell r="J448">
            <v>47.3</v>
          </cell>
        </row>
        <row r="449">
          <cell r="A449" t="str">
            <v>Biogasanlæg</v>
          </cell>
          <cell r="D449" t="str">
            <v>Brun saft</v>
          </cell>
          <cell r="E449" t="str">
            <v>PJ</v>
          </cell>
          <cell r="F449" t="str">
            <v>Biogas</v>
          </cell>
          <cell r="G449" t="str">
            <v>Nm3 CH4</v>
          </cell>
          <cell r="H449">
            <v>15.822453396634783</v>
          </cell>
          <cell r="I449">
            <v>15.822453396634783</v>
          </cell>
          <cell r="J449">
            <v>15.822453396634783</v>
          </cell>
        </row>
        <row r="450">
          <cell r="A450" t="str">
            <v>Biogasanlæg</v>
          </cell>
          <cell r="D450" t="str">
            <v>Glycerin</v>
          </cell>
          <cell r="E450" t="str">
            <v>Ton</v>
          </cell>
          <cell r="F450" t="str">
            <v>Biogas</v>
          </cell>
          <cell r="G450" t="str">
            <v>Nm3 CH4</v>
          </cell>
          <cell r="H450">
            <v>423.36</v>
          </cell>
          <cell r="I450">
            <v>423.36</v>
          </cell>
          <cell r="J450">
            <v>423.36</v>
          </cell>
        </row>
        <row r="451">
          <cell r="A451" t="str">
            <v>Biogasanlæg</v>
          </cell>
          <cell r="D451" t="str">
            <v>Spildevandsslam</v>
          </cell>
          <cell r="E451" t="str">
            <v>Ton</v>
          </cell>
          <cell r="F451" t="str">
            <v>Biogas</v>
          </cell>
          <cell r="G451" t="str">
            <v>Nm3 CH4</v>
          </cell>
          <cell r="H451">
            <v>13.9</v>
          </cell>
          <cell r="I451">
            <v>13.9</v>
          </cell>
          <cell r="J451">
            <v>13.9</v>
          </cell>
        </row>
        <row r="452">
          <cell r="A452" t="str">
            <v>Biogasanlæg</v>
          </cell>
          <cell r="D452" t="str">
            <v>Total til biogas</v>
          </cell>
          <cell r="E452" t="str">
            <v>Ton</v>
          </cell>
          <cell r="F452" t="str">
            <v>Biogasgylle</v>
          </cell>
          <cell r="G452" t="str">
            <v>Ton</v>
          </cell>
          <cell r="H452">
            <v>0.91930000000000001</v>
          </cell>
          <cell r="I452">
            <v>0.91930000000000001</v>
          </cell>
          <cell r="J452">
            <v>0.91930000000000001</v>
          </cell>
        </row>
        <row r="453">
          <cell r="A453" t="str">
            <v>Gødning</v>
          </cell>
          <cell r="D453" t="str">
            <v>Svinegylle</v>
          </cell>
          <cell r="E453" t="str">
            <v>Ton</v>
          </cell>
          <cell r="F453" t="str">
            <v>Gødning</v>
          </cell>
          <cell r="G453" t="str">
            <v>kg N</v>
          </cell>
          <cell r="H453">
            <v>5.3</v>
          </cell>
          <cell r="I453">
            <v>5.3</v>
          </cell>
          <cell r="J453">
            <v>5.3</v>
          </cell>
        </row>
        <row r="454">
          <cell r="A454" t="str">
            <v>Gødning</v>
          </cell>
          <cell r="D454" t="str">
            <v>Kvæggylle</v>
          </cell>
          <cell r="E454" t="str">
            <v>Ton</v>
          </cell>
          <cell r="F454" t="str">
            <v>Gødning</v>
          </cell>
          <cell r="G454" t="str">
            <v>kg N</v>
          </cell>
          <cell r="H454">
            <v>8</v>
          </cell>
          <cell r="I454">
            <v>8</v>
          </cell>
          <cell r="J454">
            <v>8</v>
          </cell>
        </row>
        <row r="455">
          <cell r="A455" t="str">
            <v>Gødning</v>
          </cell>
          <cell r="D455" t="str">
            <v>Fjerkrægylle</v>
          </cell>
          <cell r="E455" t="str">
            <v>Ton</v>
          </cell>
          <cell r="F455" t="str">
            <v>Gødning</v>
          </cell>
          <cell r="G455" t="str">
            <v>kg N</v>
          </cell>
          <cell r="H455">
            <v>7</v>
          </cell>
          <cell r="I455">
            <v>7</v>
          </cell>
          <cell r="J455">
            <v>7</v>
          </cell>
        </row>
        <row r="456">
          <cell r="A456" t="str">
            <v>Gødning</v>
          </cell>
          <cell r="D456" t="str">
            <v>Dybstrøelse</v>
          </cell>
          <cell r="E456" t="str">
            <v>Ton</v>
          </cell>
          <cell r="F456" t="str">
            <v>Gødning</v>
          </cell>
          <cell r="G456" t="str">
            <v>kg N</v>
          </cell>
          <cell r="H456">
            <v>14</v>
          </cell>
          <cell r="I456">
            <v>14</v>
          </cell>
          <cell r="J456">
            <v>14</v>
          </cell>
        </row>
        <row r="457">
          <cell r="A457" t="str">
            <v>Gødning</v>
          </cell>
          <cell r="D457" t="str">
            <v>Biogasgylle</v>
          </cell>
          <cell r="E457" t="str">
            <v>Ton</v>
          </cell>
          <cell r="F457" t="str">
            <v>Gødning</v>
          </cell>
          <cell r="G457" t="str">
            <v>kg N</v>
          </cell>
          <cell r="H457">
            <v>7</v>
          </cell>
          <cell r="I457">
            <v>7</v>
          </cell>
          <cell r="J457">
            <v>7</v>
          </cell>
        </row>
        <row r="458">
          <cell r="A458" t="str">
            <v>Gødning</v>
          </cell>
          <cell r="D458" t="str">
            <v>Kunstgødning</v>
          </cell>
          <cell r="E458" t="str">
            <v>Ton</v>
          </cell>
          <cell r="F458" t="str">
            <v>Gødning</v>
          </cell>
          <cell r="G458" t="str">
            <v>kg N</v>
          </cell>
          <cell r="H458">
            <v>160</v>
          </cell>
          <cell r="I458">
            <v>160</v>
          </cell>
          <cell r="J458">
            <v>160</v>
          </cell>
        </row>
        <row r="459">
          <cell r="A459" t="str">
            <v>Til energi</v>
          </cell>
          <cell r="D459" t="str">
            <v>Halm</v>
          </cell>
          <cell r="E459" t="str">
            <v>Ton</v>
          </cell>
          <cell r="F459" t="str">
            <v>Energi</v>
          </cell>
          <cell r="G459" t="str">
            <v>PJ</v>
          </cell>
          <cell r="H459">
            <v>1.0335806339134365E-5</v>
          </cell>
          <cell r="I459">
            <v>1.0335806339134365E-5</v>
          </cell>
          <cell r="J459">
            <v>1.0335806339134365E-5</v>
          </cell>
        </row>
        <row r="460">
          <cell r="A460" t="str">
            <v>Til energi</v>
          </cell>
          <cell r="D460" t="str">
            <v>Rapsolie</v>
          </cell>
          <cell r="E460" t="str">
            <v>Ton</v>
          </cell>
          <cell r="F460" t="str">
            <v>Energi</v>
          </cell>
          <cell r="G460" t="str">
            <v>PJ</v>
          </cell>
          <cell r="H460">
            <v>3.4999999999999997E-5</v>
          </cell>
          <cell r="I460">
            <v>3.4999999999999997E-5</v>
          </cell>
          <cell r="J460">
            <v>3.4999999999999997E-5</v>
          </cell>
        </row>
        <row r="461">
          <cell r="A461" t="str">
            <v>Til energi</v>
          </cell>
          <cell r="D461" t="str">
            <v>Pil &amp; poppel</v>
          </cell>
          <cell r="E461" t="str">
            <v>Ton</v>
          </cell>
          <cell r="F461" t="str">
            <v>Energi</v>
          </cell>
          <cell r="G461" t="str">
            <v>PJ</v>
          </cell>
          <cell r="H461">
            <v>1.8399999999999997E-5</v>
          </cell>
          <cell r="I461">
            <v>1.8399999999999997E-5</v>
          </cell>
          <cell r="J461">
            <v>1.8399999999999997E-5</v>
          </cell>
        </row>
        <row r="462">
          <cell r="A462" t="str">
            <v>Til energi</v>
          </cell>
          <cell r="D462" t="str">
            <v>Træ til energi</v>
          </cell>
          <cell r="E462" t="str">
            <v>m3</v>
          </cell>
          <cell r="F462" t="str">
            <v>Energi</v>
          </cell>
          <cell r="G462" t="str">
            <v>PJ</v>
          </cell>
          <cell r="H462">
            <v>1.449356890077532E-5</v>
          </cell>
          <cell r="I462">
            <v>1.449356890077532E-5</v>
          </cell>
          <cell r="J462">
            <v>1.449356890077532E-5</v>
          </cell>
        </row>
        <row r="463">
          <cell r="A463" t="str">
            <v>Til energi</v>
          </cell>
          <cell r="D463" t="str">
            <v>Have/parkaffald</v>
          </cell>
          <cell r="E463" t="str">
            <v>Ton</v>
          </cell>
          <cell r="F463" t="str">
            <v>Energi</v>
          </cell>
          <cell r="G463" t="str">
            <v>PJ</v>
          </cell>
          <cell r="H463">
            <v>1.7852220520673815E-5</v>
          </cell>
          <cell r="I463">
            <v>1.7852220520673815E-5</v>
          </cell>
          <cell r="J463">
            <v>1.7852220520673815E-5</v>
          </cell>
        </row>
        <row r="464">
          <cell r="A464" t="str">
            <v>Til energi</v>
          </cell>
          <cell r="D464" t="str">
            <v>Bioaffald</v>
          </cell>
          <cell r="E464" t="str">
            <v>Ton</v>
          </cell>
          <cell r="F464" t="str">
            <v>Energi</v>
          </cell>
          <cell r="G464" t="str">
            <v>PJ</v>
          </cell>
          <cell r="H464">
            <v>1.7852220520673815E-5</v>
          </cell>
          <cell r="I464">
            <v>1.7852220520673815E-5</v>
          </cell>
          <cell r="J464">
            <v>1.7852220520673815E-5</v>
          </cell>
        </row>
        <row r="465">
          <cell r="A465" t="str">
            <v>Til energi</v>
          </cell>
          <cell r="D465" t="str">
            <v>Pyrolyseolie</v>
          </cell>
          <cell r="E465" t="str">
            <v>Ton</v>
          </cell>
          <cell r="F465" t="str">
            <v>Energi</v>
          </cell>
          <cell r="G465" t="str">
            <v>PJ</v>
          </cell>
          <cell r="H465">
            <v>3.326857142857142E-5</v>
          </cell>
          <cell r="I465">
            <v>3.326857142857142E-5</v>
          </cell>
          <cell r="J465">
            <v>3.326857142857142E-5</v>
          </cell>
        </row>
        <row r="466">
          <cell r="A466" t="str">
            <v>Til energi</v>
          </cell>
          <cell r="D466" t="str">
            <v>Pyrolysegas</v>
          </cell>
          <cell r="E466" t="str">
            <v>Ton</v>
          </cell>
          <cell r="F466" t="str">
            <v>Energi</v>
          </cell>
          <cell r="G466" t="str">
            <v>PJ</v>
          </cell>
          <cell r="H466">
            <v>8.9614285714285689E-6</v>
          </cell>
          <cell r="I466">
            <v>8.9614285714285689E-6</v>
          </cell>
          <cell r="J466">
            <v>8.9614285714285689E-6</v>
          </cell>
        </row>
        <row r="467">
          <cell r="A467" t="str">
            <v>Til energi</v>
          </cell>
          <cell r="D467" t="str">
            <v>Biogas</v>
          </cell>
          <cell r="E467" t="str">
            <v>Nm3 CH4</v>
          </cell>
          <cell r="F467" t="str">
            <v>Energi</v>
          </cell>
          <cell r="G467" t="str">
            <v>PJ</v>
          </cell>
          <cell r="H467">
            <v>3.5900000000000004E-8</v>
          </cell>
          <cell r="I467">
            <v>3.5900000000000004E-8</v>
          </cell>
          <cell r="J467">
            <v>3.5900000000000004E-8</v>
          </cell>
        </row>
        <row r="468">
          <cell r="A468" t="str">
            <v>Proteinproces</v>
          </cell>
          <cell r="D468" t="str">
            <v>Græs</v>
          </cell>
          <cell r="E468" t="str">
            <v>Ton</v>
          </cell>
          <cell r="F468" t="str">
            <v>Græsprotein</v>
          </cell>
          <cell r="G468" t="str">
            <v>Ton</v>
          </cell>
          <cell r="H468">
            <v>0.16717139181723129</v>
          </cell>
          <cell r="I468">
            <v>0.16717139181723129</v>
          </cell>
          <cell r="J468">
            <v>0.16717139181723129</v>
          </cell>
        </row>
        <row r="469">
          <cell r="A469" t="str">
            <v>Proteinproces</v>
          </cell>
          <cell r="D469" t="str">
            <v>Græs</v>
          </cell>
          <cell r="E469" t="str">
            <v>Ton</v>
          </cell>
          <cell r="F469" t="str">
            <v>Fiberfraktion</v>
          </cell>
          <cell r="G469" t="str">
            <v>Ton</v>
          </cell>
          <cell r="H469">
            <v>0.34417639491782914</v>
          </cell>
          <cell r="I469">
            <v>0.34417639491782914</v>
          </cell>
          <cell r="J469">
            <v>0.34417639491782914</v>
          </cell>
        </row>
        <row r="470">
          <cell r="A470" t="str">
            <v>Proteinproces</v>
          </cell>
          <cell r="D470" t="str">
            <v>Græs</v>
          </cell>
          <cell r="E470" t="str">
            <v>Ton</v>
          </cell>
          <cell r="F470" t="str">
            <v>Brun saft</v>
          </cell>
          <cell r="G470" t="str">
            <v>PJ</v>
          </cell>
          <cell r="H470">
            <v>0.48865221326493952</v>
          </cell>
          <cell r="I470">
            <v>0.48865221326493952</v>
          </cell>
          <cell r="J470">
            <v>0.48865221326493952</v>
          </cell>
        </row>
        <row r="471">
          <cell r="A471" t="str">
            <v>Rapskageproduktion</v>
          </cell>
          <cell r="D471" t="str">
            <v>Raps</v>
          </cell>
          <cell r="E471" t="str">
            <v>Ton</v>
          </cell>
          <cell r="F471" t="str">
            <v>Rapskage</v>
          </cell>
          <cell r="G471" t="str">
            <v>Ton</v>
          </cell>
          <cell r="H471">
            <v>0.5</v>
          </cell>
          <cell r="I471">
            <v>0.5</v>
          </cell>
          <cell r="J471">
            <v>0.5</v>
          </cell>
        </row>
        <row r="472">
          <cell r="A472" t="str">
            <v>Rapskageproduktion</v>
          </cell>
          <cell r="D472" t="str">
            <v>Raps</v>
          </cell>
          <cell r="E472" t="str">
            <v>Ton</v>
          </cell>
          <cell r="F472" t="str">
            <v>Rapsolie</v>
          </cell>
          <cell r="G472" t="str">
            <v>Ton</v>
          </cell>
          <cell r="H472">
            <v>0.32</v>
          </cell>
          <cell r="I472">
            <v>0.32</v>
          </cell>
          <cell r="J472">
            <v>0.32</v>
          </cell>
        </row>
        <row r="473">
          <cell r="A473" t="str">
            <v>Pyrolyseproces</v>
          </cell>
          <cell r="D473" t="str">
            <v>Halm</v>
          </cell>
          <cell r="E473" t="str">
            <v>Ton</v>
          </cell>
          <cell r="F473" t="str">
            <v>CO2 - atmosfære</v>
          </cell>
          <cell r="G473" t="str">
            <v>t CO2-ækvivalenter</v>
          </cell>
          <cell r="H473">
            <v>-0.65266666666666662</v>
          </cell>
          <cell r="I473">
            <v>-0.65266666666666662</v>
          </cell>
          <cell r="J473">
            <v>-0.65266666666666662</v>
          </cell>
        </row>
        <row r="474">
          <cell r="A474" t="str">
            <v>Pyrolyseproces</v>
          </cell>
          <cell r="D474" t="str">
            <v>Halm</v>
          </cell>
          <cell r="E474" t="str">
            <v>Ton</v>
          </cell>
          <cell r="F474" t="str">
            <v>Pyrolyseolie</v>
          </cell>
          <cell r="G474" t="str">
            <v>Ton</v>
          </cell>
          <cell r="H474">
            <v>0.14000000000000001</v>
          </cell>
          <cell r="I474">
            <v>0.14000000000000001</v>
          </cell>
          <cell r="J474">
            <v>0.14000000000000001</v>
          </cell>
        </row>
        <row r="475">
          <cell r="A475" t="str">
            <v>Pyrolyseproces</v>
          </cell>
          <cell r="D475" t="str">
            <v>Halm</v>
          </cell>
          <cell r="E475" t="str">
            <v>Ton</v>
          </cell>
          <cell r="F475" t="str">
            <v>Pyrolysegas</v>
          </cell>
          <cell r="G475" t="str">
            <v>Ton</v>
          </cell>
          <cell r="H475">
            <v>0.56000000000000005</v>
          </cell>
          <cell r="I475">
            <v>0.56000000000000005</v>
          </cell>
          <cell r="J475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  <sheetData sheetId="19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60221365741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88648048.8630029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3567349.858292963"/>
    </cacheField>
    <cacheField name="Gødning" numFmtId="3">
      <sharedItems containsSemiMixedTypes="0" containsString="0" containsNumber="1" minValue="0" maxValue="24535385.043044623"/>
    </cacheField>
    <cacheField name="Energi" numFmtId="3">
      <sharedItems containsSemiMixedTypes="0" containsString="0" containsNumber="1" minValue="0" maxValue="588648048.8630029"/>
    </cacheField>
    <cacheField name="Materialer og processer" numFmtId="3">
      <sharedItems containsSemiMixedTypes="0" containsString="0" containsNumber="1" minValue="0" maxValue="484833.6848947219"/>
    </cacheField>
    <cacheField name="Produktion minus forbrug [ton]" numFmtId="3">
      <sharedItems containsSemiMixedTypes="0" containsString="0" containsNumber="1" minValue="-4828427.5390456235" maxValue="17099815.405951377"/>
    </cacheField>
    <cacheField name="Potentiale til energi [ton]" numFmtId="3">
      <sharedItems containsSemiMixedTypes="0" containsString="0" containsNumber="1" minValue="0" maxValue="17099815.405951377"/>
    </cacheField>
    <cacheField name="Forbrug energi [ton/m3]" numFmtId="3">
      <sharedItems containsSemiMixedTypes="0" containsString="0" containsNumber="1" minValue="0" maxValue="588648048.8630029"/>
    </cacheField>
    <cacheField name="Potentiale til energi [PJ]" numFmtId="0">
      <sharedItems containsSemiMixedTypes="0" containsString="0" containsNumber="1" minValue="0" maxValue="31.4615228700247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9149045802799547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4787948.3136663856"/>
    </cacheField>
    <cacheField name="Forbrug/potentiale [Ton TS]" numFmtId="0">
      <sharedItems containsSemiMixedTypes="0" containsString="0" containsNumber="1" minValue="0" maxValue="4806640.7409119802"/>
    </cacheField>
    <cacheField name="Biogasproduktion [Ton TS]" numFmtId="0">
      <sharedItems containsSemiMixedTypes="0" containsString="0" containsNumber="1" minValue="0" maxValue="888071.17505536752"/>
    </cacheField>
    <cacheField name="Biomasser til energi eksl. biogas [Ton TS]" numFmtId="0">
      <sharedItems containsSemiMixedTypes="0" containsString="0" containsNumber="1" minValue="0" maxValue="4787948.313666386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602214467595" createdVersion="7" refreshedVersion="7" minRefreshableVersion="3" recordCount="54" xr:uid="{AF2992CF-3A57-490B-B2C1-71BF0E3C8484}">
  <cacheSource type="worksheet">
    <worksheetSource ref="A1:E55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849222.4776918571" maxValue="12546079.333675962"/>
    </cacheField>
    <cacheField name="Sted" numFmtId="0">
      <sharedItems/>
    </cacheField>
    <cacheField name="Sted2" numFmtId="0">
      <sharedItems count="7">
        <s v="CO2 - atmosfære"/>
        <s v="Husdyr"/>
        <s v="Marker"/>
        <s v="Hav"/>
        <s v="Skov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602214467595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88648048.8630029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3567349.858292963"/>
    </cacheField>
    <cacheField name="Gødning" numFmtId="3">
      <sharedItems containsSemiMixedTypes="0" containsString="0" containsNumber="1" minValue="0" maxValue="24535385.043044623"/>
    </cacheField>
    <cacheField name="Energi" numFmtId="3">
      <sharedItems containsSemiMixedTypes="0" containsString="0" containsNumber="1" minValue="0" maxValue="588648048.8630029"/>
    </cacheField>
    <cacheField name="Materialer og processer" numFmtId="3">
      <sharedItems containsSemiMixedTypes="0" containsString="0" containsNumber="1" minValue="0" maxValue="484833.6848947219"/>
    </cacheField>
    <cacheField name="Produktion minus forbrug [ton]" numFmtId="3">
      <sharedItems containsSemiMixedTypes="0" containsString="0" containsNumber="1" minValue="-4828427.5390456235" maxValue="17099815.405951377"/>
    </cacheField>
    <cacheField name="Potentiale til energi [ton]" numFmtId="3">
      <sharedItems containsSemiMixedTypes="0" containsString="0" containsNumber="1" minValue="0" maxValue="17099815.405951377"/>
    </cacheField>
    <cacheField name="Forbrug energi [ton/m3]" numFmtId="3">
      <sharedItems containsSemiMixedTypes="0" containsString="0" containsNumber="1" minValue="0" maxValue="588648048.8630029"/>
    </cacheField>
    <cacheField name="Potentiale til energi [PJ]" numFmtId="0">
      <sharedItems containsSemiMixedTypes="0" containsString="0" containsNumber="1" minValue="0" maxValue="31.4615228700247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9149045802799547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4787948.3136663856"/>
    </cacheField>
    <cacheField name="Forbrug/potentiale [Ton TS]" numFmtId="0">
      <sharedItems containsSemiMixedTypes="0" containsString="0" containsNumber="1" minValue="0" maxValue="4806640.7409119802"/>
    </cacheField>
    <cacheField name="Biogasproduktion [Ton TS]" numFmtId="0">
      <sharedItems containsSemiMixedTypes="0" containsString="0" containsNumber="1" minValue="0" maxValue="888071.17505536752"/>
    </cacheField>
    <cacheField name="Biomasser til energi eksl. biogas [Ton TS]" numFmtId="0">
      <sharedItems containsSemiMixedTypes="0" containsString="0" containsNumber="1" minValue="0" maxValue="4787948.3136663865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602214814811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88648048.8630029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3567349.858292963"/>
    </cacheField>
    <cacheField name="Gødning" numFmtId="3">
      <sharedItems containsSemiMixedTypes="0" containsString="0" containsNumber="1" minValue="0" maxValue="24535385.043044623"/>
    </cacheField>
    <cacheField name="Energi" numFmtId="3">
      <sharedItems containsSemiMixedTypes="0" containsString="0" containsNumber="1" minValue="0" maxValue="588648048.8630029"/>
    </cacheField>
    <cacheField name="Materialer og processer" numFmtId="3">
      <sharedItems containsSemiMixedTypes="0" containsString="0" containsNumber="1" minValue="0" maxValue="484833.6848947219"/>
    </cacheField>
    <cacheField name="Produktion minus forbrug [ton]" numFmtId="3">
      <sharedItems containsSemiMixedTypes="0" containsString="0" containsNumber="1" minValue="-4828427.5390456235" maxValue="17099815.405951377"/>
    </cacheField>
    <cacheField name="Potentiale til energi [ton]" numFmtId="3">
      <sharedItems containsSemiMixedTypes="0" containsString="0" containsNumber="1" minValue="0" maxValue="17099815.405951377"/>
    </cacheField>
    <cacheField name="Forbrug energi [ton/m3]" numFmtId="3">
      <sharedItems containsSemiMixedTypes="0" containsString="0" containsNumber="1" minValue="0" maxValue="588648048.8630029"/>
    </cacheField>
    <cacheField name="Potentiale til energi [PJ]" numFmtId="0">
      <sharedItems containsSemiMixedTypes="0" containsString="0" containsNumber="1" minValue="0" maxValue="31.4615228700247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9149045802799547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4787948.3136663856"/>
    </cacheField>
    <cacheField name="Forbrug/potentiale [Ton TS]" numFmtId="0">
      <sharedItems containsSemiMixedTypes="0" containsString="0" containsNumber="1" minValue="0" maxValue="4806640.7409119802"/>
    </cacheField>
    <cacheField name="Biogasproduktion [Ton TS]" numFmtId="0">
      <sharedItems containsSemiMixedTypes="0" containsString="0" containsNumber="1" minValue="0" maxValue="888071.17505536752"/>
    </cacheField>
    <cacheField name="Biomasser til energi eksl. biogas [Ton TS]" numFmtId="0">
      <sharedItems containsSemiMixedTypes="0" containsString="0" containsNumber="1" minValue="0" maxValue="4787948.3136663865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602215046296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50433498519592468" maxValue="853064.00210361299"/>
    </cacheField>
    <cacheField name="Udbytte, hovedafgrøde" numFmtId="0">
      <sharedItems containsSemiMixedTypes="0" containsString="0" containsNumber="1" minValue="8.3510308523667174" maxValue="19304136.803821374"/>
    </cacheField>
    <cacheField name="Halmudbytte" numFmtId="0">
      <sharedItems containsSemiMixedTypes="0" containsString="0" containsNumber="1" minValue="0" maxValue="2056610.6420093102"/>
    </cacheField>
    <cacheField name="Potentielt til bioenergi" numFmtId="1">
      <sharedItems containsSemiMixedTypes="0" containsString="0" containsNumber="1" minValue="3.7694768510062779" maxValue="19304136.80382137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602215162035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9754.2866982633659" maxValue="29404263.98394393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602215393519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602215740742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3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24535385.04304462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3107.1675348074377"/>
    <n v="0"/>
    <n v="0"/>
    <n v="996.63864324012138"/>
    <n v="996.63864324012138"/>
    <n v="4103.8061780475591"/>
    <n v="4.6870918752939668E-4"/>
    <n v="1.9299790074739866E-3"/>
    <n v="1.9299790074739866E-3"/>
    <n v="0"/>
    <n v="62.788234524127645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720643.40546424"/>
    <n v="0"/>
    <n v="0"/>
    <n v="-720643.40546424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6000958.9027446285"/>
    <n v="0"/>
    <n v="0"/>
    <n v="3057092.2712095287"/>
    <n v="3057092.2712095287"/>
    <n v="4066864.6068164087"/>
    <n v="1.5474695367635516"/>
    <n v="2.0586061953243981"/>
    <n v="2.0586061953243981"/>
    <n v="0"/>
    <n v="232339.01261192418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0"/>
    <n v="640280.13059892249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224570.40950584275"/>
    <n v="64498.475475191975"/>
    <n v="0"/>
    <n v="0"/>
    <n v="0"/>
    <n v="0"/>
    <n v="0"/>
    <n v="0"/>
    <n v="160071.93403065077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588648048.8630029"/>
    <n v="0"/>
    <n v="0"/>
    <n v="0"/>
    <n v="0"/>
    <n v="0"/>
    <n v="588648048.8630029"/>
    <n v="0"/>
    <n v="0"/>
    <n v="0"/>
    <n v="588648048.8630029"/>
    <n v="0"/>
    <n v="0"/>
    <n v="0"/>
    <n v="0"/>
    <n v="0"/>
    <n v="0"/>
    <n v="0"/>
    <n v="0"/>
  </r>
  <r>
    <x v="4"/>
    <x v="10"/>
    <n v="0"/>
    <x v="1"/>
    <s v="Vestdanmark"/>
    <n v="26962363.95458553"/>
    <n v="0"/>
    <n v="0"/>
    <n v="0"/>
    <n v="0"/>
    <n v="24535385.043044623"/>
    <n v="0"/>
    <n v="0"/>
    <n v="2426978.9115409069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7508.4535219909349"/>
    <n v="631.66355026272936"/>
    <n v="0"/>
    <n v="0"/>
    <n v="202.60906329181853"/>
    <n v="202.60906329181853"/>
    <n v="7508.4535219909349"/>
    <n v="9.528501637550934E-5"/>
    <n v="3.6264356232326264E-3"/>
    <n v="3.5311506068571169E-3"/>
    <n v="9.528501637550953E-5"/>
    <n v="12.764370987384567"/>
    <n v="485.79694287281347"/>
    <n v="473.03257188542892"/>
    <n v="12.764370987384552"/>
  </r>
  <r>
    <x v="9"/>
    <x v="10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</r>
  <r>
    <x v="10"/>
    <x v="10"/>
    <n v="0"/>
    <x v="1"/>
    <s v="Vestdanmark"/>
    <n v="1120053.9852881476"/>
    <n v="0"/>
    <n v="0"/>
    <n v="0"/>
    <n v="0"/>
    <n v="0"/>
    <n v="0"/>
    <n v="0"/>
    <n v="1120053.9852881476"/>
    <n v="0"/>
    <n v="0"/>
    <n v="0"/>
    <n v="0"/>
    <n v="0"/>
    <n v="0"/>
    <n v="0"/>
    <n v="0"/>
    <n v="0"/>
    <n v="0"/>
  </r>
  <r>
    <x v="11"/>
    <x v="10"/>
    <n v="0"/>
    <x v="1"/>
    <s v="Vestdanmark"/>
    <n v="32105.259581147304"/>
    <n v="0"/>
    <n v="0"/>
    <n v="257923.29437791562"/>
    <n v="0"/>
    <n v="0"/>
    <n v="0"/>
    <n v="0"/>
    <n v="-225818.034796768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28408153.283469509"/>
    <n v="12237689.909258299"/>
    <n v="0"/>
    <n v="0"/>
    <n v="67006.096493213583"/>
    <n v="0"/>
    <n v="0"/>
    <n v="0"/>
    <n v="16103457.277717996"/>
    <n v="16103457.277717996"/>
    <n v="67006.096493213583"/>
    <n v="29.628348458841401"/>
    <n v="29.751631300626851"/>
    <n v="0.12328284178545135"/>
    <n v="29.628348458841401"/>
    <n v="4508968.0377610391"/>
    <n v="4527729.7447791398"/>
    <n v="18761.707018099805"/>
    <n v="4508968.03776104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217805.88377635827"/>
    <n v="0"/>
    <n v="0"/>
    <n v="270140.71358529059"/>
    <n v="0"/>
    <n v="0"/>
    <n v="0"/>
    <n v="0"/>
    <n v="-52334.829808932322"/>
    <n v="0"/>
    <n v="0"/>
    <n v="0"/>
    <n v="0"/>
    <n v="0"/>
    <n v="0"/>
    <n v="0"/>
    <n v="0"/>
    <n v="0"/>
    <n v="0"/>
  </r>
  <r>
    <x v="16"/>
    <x v="5"/>
    <n v="1"/>
    <x v="1"/>
    <s v="Vestdanmark"/>
    <n v="2966243.8763621217"/>
    <n v="773085.89354292606"/>
    <n v="726974.95402379602"/>
    <n v="0"/>
    <n v="56224.531227026811"/>
    <n v="0"/>
    <n v="1409958.4975683726"/>
    <n v="0"/>
    <n v="0"/>
    <n v="0"/>
    <n v="1466183.0287953995"/>
    <n v="0"/>
    <n v="14.897222760854225"/>
    <n v="0.3241647837706722"/>
    <n v="14.573057977083552"/>
    <n v="0"/>
    <n v="1246255.5744760896"/>
    <n v="47790.851542972785"/>
    <n v="1198464.7229331168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</r>
  <r>
    <x v="20"/>
    <x v="10"/>
    <n v="0"/>
    <x v="1"/>
    <s v="Vestdanmark"/>
    <n v="713505.92728443746"/>
    <n v="0"/>
    <n v="0"/>
    <n v="0"/>
    <n v="0"/>
    <n v="0"/>
    <n v="0"/>
    <n v="0"/>
    <n v="713505.92728443746"/>
    <n v="0"/>
    <n v="0"/>
    <n v="0"/>
    <n v="0"/>
    <n v="0"/>
    <n v="0"/>
    <n v="0"/>
    <n v="0"/>
    <n v="0"/>
    <n v="0"/>
  </r>
  <r>
    <x v="21"/>
    <x v="10"/>
    <n v="0"/>
    <x v="1"/>
    <s v="Vestdanmark"/>
    <n v="1778992.2257450195"/>
    <n v="0"/>
    <n v="0"/>
    <n v="123531.68309679118"/>
    <n v="0"/>
    <n v="0"/>
    <n v="0"/>
    <n v="0"/>
    <n v="1655460.5426482284"/>
    <n v="0"/>
    <n v="0"/>
    <n v="0"/>
    <n v="0"/>
    <n v="0"/>
    <n v="0"/>
    <n v="0"/>
    <n v="0"/>
    <n v="0"/>
    <n v="0"/>
  </r>
  <r>
    <x v="22"/>
    <x v="5"/>
    <n v="1"/>
    <x v="1"/>
    <s v="Vestdanmark"/>
    <n v="5381619.5037339376"/>
    <n v="5879215.2019956233"/>
    <n v="0"/>
    <n v="295933.04302308214"/>
    <n v="2914.9101192356643"/>
    <n v="0"/>
    <n v="0"/>
    <n v="0"/>
    <n v="-796443.65140400361"/>
    <n v="0"/>
    <n v="2914.9101192356643"/>
    <n v="0"/>
    <n v="9.9831590709654593E-3"/>
    <n v="9.9831590709654593E-3"/>
    <n v="0"/>
    <n v="0"/>
    <n v="903.62213696305594"/>
    <n v="903.62213696305594"/>
    <n v="0"/>
  </r>
  <r>
    <x v="23"/>
    <x v="10"/>
    <n v="0"/>
    <x v="1"/>
    <s v="Vestdanmark"/>
    <n v="0"/>
    <n v="0"/>
    <n v="0"/>
    <n v="0"/>
    <n v="0"/>
    <n v="530047.10760776233"/>
    <n v="0"/>
    <n v="0"/>
    <n v="-530047.10760776233"/>
    <n v="0"/>
    <n v="0"/>
    <n v="0"/>
    <n v="0"/>
    <n v="0"/>
    <n v="0"/>
    <n v="0"/>
    <n v="0"/>
    <n v="0"/>
    <n v="0"/>
  </r>
  <r>
    <x v="24"/>
    <x v="2"/>
    <n v="1"/>
    <x v="1"/>
    <s v="Vestdanmark"/>
    <n v="12983496.711335782"/>
    <n v="0"/>
    <n v="0"/>
    <n v="0"/>
    <n v="11685147.040202204"/>
    <n v="860156.65712599526"/>
    <n v="0"/>
    <n v="0"/>
    <n v="438193.01400758326"/>
    <n v="438193.01400758326"/>
    <n v="11685147.040202204"/>
    <n v="0.2218089217604986"/>
    <n v="6.1367135020404531"/>
    <n v="5.9149045802799547"/>
    <n v="0.22180892176049838"/>
    <n v="33302.66906457633"/>
    <n v="921373.84411994379"/>
    <n v="888071.17505536752"/>
    <n v="33302.669064576272"/>
  </r>
  <r>
    <x v="25"/>
    <x v="10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</r>
  <r>
    <x v="26"/>
    <x v="4"/>
    <n v="1"/>
    <x v="1"/>
    <s v="Vestdanmark"/>
    <n v="5903489.3992296383"/>
    <n v="5657053.7864699624"/>
    <n v="0"/>
    <n v="0"/>
    <n v="255215.75389295255"/>
    <n v="0"/>
    <n v="0"/>
    <n v="0"/>
    <n v="-8780.1411332767457"/>
    <n v="0"/>
    <n v="255215.75389295255"/>
    <n v="0"/>
    <n v="0.91622455647569978"/>
    <n v="0.91622455647569978"/>
    <n v="0"/>
    <n v="0"/>
    <n v="76564.726167885761"/>
    <n v="76564.726167885761"/>
    <n v="0"/>
  </r>
  <r>
    <x v="27"/>
    <x v="10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</r>
  <r>
    <x v="28"/>
    <x v="6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</r>
  <r>
    <x v="29"/>
    <x v="10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</r>
  <r>
    <x v="30"/>
    <x v="10"/>
    <n v="0"/>
    <x v="1"/>
    <s v="Vestdanmark"/>
    <n v="1025729.6203575714"/>
    <n v="0"/>
    <n v="0"/>
    <n v="0"/>
    <n v="0"/>
    <n v="0"/>
    <n v="0"/>
    <n v="0"/>
    <n v="1025729.6203575714"/>
    <n v="0"/>
    <n v="0"/>
    <n v="0"/>
    <n v="0"/>
    <n v="0"/>
    <n v="0"/>
    <n v="0"/>
    <n v="0"/>
    <n v="0"/>
    <n v="0"/>
  </r>
  <r>
    <x v="31"/>
    <x v="7"/>
    <n v="1"/>
    <x v="1"/>
    <s v="Vestdanmark"/>
    <n v="154484.73733408173"/>
    <n v="0"/>
    <n v="0"/>
    <n v="0"/>
    <n v="0"/>
    <n v="0"/>
    <n v="154484.73733408173"/>
    <n v="0"/>
    <n v="0"/>
    <n v="0"/>
    <n v="154484.73733408173"/>
    <n v="0"/>
    <n v="2.8425191669471035"/>
    <n v="0"/>
    <n v="2.8425191669471035"/>
    <n v="0"/>
    <n v="64111.165993643925"/>
    <n v="0"/>
    <n v="64111.165993643925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</r>
  <r>
    <x v="35"/>
    <x v="10"/>
    <n v="0"/>
    <x v="1"/>
    <s v="Vestdanmark"/>
    <n v="370490.27594297461"/>
    <n v="0"/>
    <n v="0"/>
    <n v="0"/>
    <n v="0"/>
    <n v="0"/>
    <n v="0"/>
    <n v="370490.27594297461"/>
    <n v="0"/>
    <n v="0"/>
    <n v="0"/>
    <n v="0"/>
    <n v="0"/>
    <n v="0"/>
    <n v="0"/>
    <n v="0"/>
    <n v="0"/>
    <n v="0"/>
    <n v="0"/>
  </r>
  <r>
    <x v="36"/>
    <x v="10"/>
    <n v="0"/>
    <x v="1"/>
    <s v="Vestdanmark"/>
    <n v="185245.1379714873"/>
    <n v="214099.10609126225"/>
    <n v="0"/>
    <n v="0"/>
    <n v="0"/>
    <n v="0"/>
    <n v="0"/>
    <n v="0"/>
    <n v="-28853.968119774945"/>
    <n v="0"/>
    <n v="0"/>
    <n v="0"/>
    <n v="0"/>
    <n v="0"/>
    <n v="0"/>
    <n v="0"/>
    <n v="0"/>
    <n v="0"/>
    <n v="0"/>
  </r>
  <r>
    <x v="37"/>
    <x v="9"/>
    <n v="1"/>
    <x v="1"/>
    <s v="Vestdanmark"/>
    <n v="118556.88830175188"/>
    <n v="0"/>
    <n v="0"/>
    <n v="0"/>
    <n v="0"/>
    <n v="0"/>
    <n v="118556.88830175188"/>
    <n v="0"/>
    <n v="0"/>
    <n v="0"/>
    <n v="118556.88830175188"/>
    <n v="0"/>
    <n v="4.1494910905613152"/>
    <n v="0"/>
    <n v="4.1494910905613152"/>
    <n v="0"/>
    <n v="0"/>
    <n v="0"/>
    <n v="0"/>
  </r>
  <r>
    <x v="38"/>
    <x v="4"/>
    <n v="1"/>
    <x v="1"/>
    <s v="Vestdanmark"/>
    <n v="4923583.0761439931"/>
    <n v="841167.61765562883"/>
    <n v="0"/>
    <n v="0"/>
    <n v="21927.581361856195"/>
    <n v="0"/>
    <n v="0"/>
    <n v="0"/>
    <n v="4060487.8771265079"/>
    <n v="4060487.8771265079"/>
    <n v="21927.581361856195"/>
    <n v="11.020326518036427"/>
    <n v="11.07983885095576"/>
    <n v="5.9512332919332188E-2"/>
    <n v="11.020326518036427"/>
    <n v="812097.57542530168"/>
    <n v="816483.09169767285"/>
    <n v="4385.5162723712392"/>
    <n v="812097.57542530156"/>
  </r>
  <r>
    <x v="39"/>
    <x v="10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</r>
  <r>
    <x v="40"/>
    <x v="10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</r>
  <r>
    <x v="41"/>
    <x v="1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</r>
  <r>
    <x v="42"/>
    <x v="2"/>
    <n v="1"/>
    <x v="1"/>
    <s v="Vestdanmark"/>
    <n v="15074833.175881069"/>
    <n v="0"/>
    <n v="0"/>
    <n v="0"/>
    <n v="13567349.858292963"/>
    <n v="1507483.3175881065"/>
    <n v="0"/>
    <n v="0"/>
    <n v="0"/>
    <n v="0"/>
    <n v="13567349.858292963"/>
    <n v="0"/>
    <n v="5.8448143189526096"/>
    <n v="5.8448143189526096"/>
    <n v="0"/>
    <n v="0"/>
    <n v="678367.49291464826"/>
    <n v="678367.49291464826"/>
    <n v="0"/>
  </r>
  <r>
    <x v="43"/>
    <x v="10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</r>
  <r>
    <x v="44"/>
    <x v="6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16341.6308326661"/>
    <n v="0"/>
    <n v="0"/>
    <n v="0"/>
    <n v="0"/>
    <n v="0"/>
    <n v="2216341.6308326661"/>
    <n v="0"/>
    <n v="0"/>
    <n v="0"/>
    <n v="2216341.6308326661"/>
    <n v="0"/>
    <n v="32.122700134129985"/>
    <n v="0"/>
    <n v="32.122700134129985"/>
    <n v="0"/>
    <n v="1096165.6315826562"/>
    <n v="0"/>
    <n v="1096165.6315826562"/>
  </r>
  <r>
    <x v="47"/>
    <x v="10"/>
    <n v="0"/>
    <x v="1"/>
    <s v="Vestdanmark"/>
    <n v="613803.17949896643"/>
    <n v="0"/>
    <n v="0"/>
    <n v="0"/>
    <n v="0"/>
    <n v="0"/>
    <n v="0"/>
    <n v="0"/>
    <n v="613803.17949896643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229440.63810667559"/>
    <n v="64498.475475191975"/>
    <n v="0"/>
    <n v="0"/>
    <n v="0"/>
    <n v="0"/>
    <n v="0"/>
    <n v="0"/>
    <n v="164942.1626314836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582772822.43758857"/>
    <n v="0"/>
    <n v="0"/>
    <n v="0"/>
    <n v="0"/>
    <n v="0"/>
    <n v="582772822.43758857"/>
    <n v="0"/>
    <n v="0"/>
    <n v="0"/>
    <n v="582772822.43758857"/>
    <n v="0"/>
    <n v="0"/>
    <n v="0"/>
    <n v="0"/>
    <n v="0"/>
    <n v="0"/>
    <n v="0"/>
    <n v="0"/>
  </r>
  <r>
    <x v="4"/>
    <x v="10"/>
    <n v="0"/>
    <x v="2"/>
    <s v="Vestdanmark"/>
    <n v="26332104.996966466"/>
    <n v="0"/>
    <n v="0"/>
    <n v="0"/>
    <n v="0"/>
    <n v="23798796.499221969"/>
    <n v="0"/>
    <n v="0"/>
    <n v="2533308.4977444969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7753.9785502341792"/>
    <n v="652.318830416526"/>
    <n v="0"/>
    <n v="0"/>
    <n v="209.23434183171594"/>
    <n v="209.23434183171594"/>
    <n v="7753.9785502341792"/>
    <n v="9.840081862003769E-5"/>
    <n v="3.74501939100967E-3"/>
    <n v="3.6466185723896321E-3"/>
    <n v="9.8400818620037866E-5"/>
    <n v="13.181763535398105"/>
    <n v="501.68241220015142"/>
    <n v="488.50064866475327"/>
    <n v="13.181763535398147"/>
  </r>
  <r>
    <x v="9"/>
    <x v="10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</r>
  <r>
    <x v="10"/>
    <x v="10"/>
    <n v="0"/>
    <x v="2"/>
    <s v="Vestdanmark"/>
    <n v="1145476.8591293055"/>
    <n v="0"/>
    <n v="0"/>
    <n v="0"/>
    <n v="0"/>
    <n v="0"/>
    <n v="0"/>
    <n v="0"/>
    <n v="1145476.8591293055"/>
    <n v="0"/>
    <n v="0"/>
    <n v="0"/>
    <n v="0"/>
    <n v="0"/>
    <n v="0"/>
    <n v="0"/>
    <n v="0"/>
    <n v="0"/>
    <n v="0"/>
  </r>
  <r>
    <x v="11"/>
    <x v="10"/>
    <n v="0"/>
    <x v="2"/>
    <s v="Vestdanmark"/>
    <n v="32793.097303413146"/>
    <n v="0"/>
    <n v="0"/>
    <n v="267978.92035102146"/>
    <n v="0"/>
    <n v="0"/>
    <n v="0"/>
    <n v="0"/>
    <n v="-235185.82304760831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29404263.983943939"/>
    <n v="12237689.909258299"/>
    <n v="0"/>
    <n v="0"/>
    <n v="66758.668734263701"/>
    <n v="0"/>
    <n v="0"/>
    <n v="0"/>
    <n v="17099815.405951377"/>
    <n v="17099815.405951377"/>
    <n v="66758.668734263701"/>
    <n v="31.46152287002479"/>
    <n v="31.584350475662244"/>
    <n v="0.12282760563745343"/>
    <n v="31.46152287002479"/>
    <n v="4787948.3136663856"/>
    <n v="4806640.7409119802"/>
    <n v="18692.427245593837"/>
    <n v="4787948.3136663865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220830.77573350482"/>
    <n v="0"/>
    <n v="0"/>
    <n v="280672.65868343826"/>
    <n v="0"/>
    <n v="0"/>
    <n v="0"/>
    <n v="0"/>
    <n v="-59841.882949933439"/>
    <n v="0"/>
    <n v="0"/>
    <n v="0"/>
    <n v="0"/>
    <n v="0"/>
    <n v="0"/>
    <n v="0"/>
    <n v="0"/>
    <n v="0"/>
    <n v="0"/>
  </r>
  <r>
    <x v="16"/>
    <x v="5"/>
    <n v="1"/>
    <x v="2"/>
    <s v="Vestdanmark"/>
    <n v="2835213.6153094829"/>
    <n v="773085.89354292606"/>
    <n v="724013.50560011622"/>
    <n v="0"/>
    <n v="55778.456419553964"/>
    <n v="0"/>
    <n v="1282335.7597468863"/>
    <n v="0"/>
    <n v="0"/>
    <n v="0"/>
    <n v="1338114.2161664404"/>
    <n v="0"/>
    <n v="13.575566996115745"/>
    <n v="0.3215929216251952"/>
    <n v="13.25397407449055"/>
    <n v="0"/>
    <n v="1137397.0837414742"/>
    <n v="47411.687956620866"/>
    <n v="1089985.3957848533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</r>
  <r>
    <x v="20"/>
    <x v="10"/>
    <n v="0"/>
    <x v="2"/>
    <s v="Vestdanmark"/>
    <n v="729011.95091777691"/>
    <n v="0"/>
    <n v="0"/>
    <n v="0"/>
    <n v="0"/>
    <n v="0"/>
    <n v="0"/>
    <n v="0"/>
    <n v="729011.95091777691"/>
    <n v="0"/>
    <n v="0"/>
    <n v="0"/>
    <n v="0"/>
    <n v="0"/>
    <n v="0"/>
    <n v="0"/>
    <n v="0"/>
    <n v="0"/>
    <n v="0"/>
  </r>
  <r>
    <x v="21"/>
    <x v="10"/>
    <n v="0"/>
    <x v="2"/>
    <s v="Vestdanmark"/>
    <n v="1818589.8087592444"/>
    <n v="0"/>
    <n v="0"/>
    <n v="128347.79869443661"/>
    <n v="0"/>
    <n v="0"/>
    <n v="0"/>
    <n v="0"/>
    <n v="1690242.0100648077"/>
    <n v="0"/>
    <n v="0"/>
    <n v="0"/>
    <n v="0"/>
    <n v="0"/>
    <n v="0"/>
    <n v="0"/>
    <n v="0"/>
    <n v="0"/>
    <n v="0"/>
  </r>
  <r>
    <x v="22"/>
    <x v="5"/>
    <n v="1"/>
    <x v="2"/>
    <s v="Vestdanmark"/>
    <n v="5523408.7197105791"/>
    <n v="5879215.2019956233"/>
    <n v="0"/>
    <n v="307470.55071854044"/>
    <n v="2901.770538547059"/>
    <n v="0"/>
    <n v="0"/>
    <n v="0"/>
    <n v="-666178.80354213156"/>
    <n v="0"/>
    <n v="2901.770538547059"/>
    <n v="0"/>
    <n v="9.9381578466482823E-3"/>
    <n v="9.9381578466482823E-3"/>
    <n v="0"/>
    <n v="0"/>
    <n v="899.54886694958827"/>
    <n v="899.54886694958827"/>
    <n v="0"/>
  </r>
  <r>
    <x v="23"/>
    <x v="10"/>
    <n v="0"/>
    <x v="2"/>
    <s v="Vestdanmark"/>
    <n v="0"/>
    <n v="0"/>
    <n v="0"/>
    <n v="0"/>
    <n v="0"/>
    <n v="489943.23944018129"/>
    <n v="0"/>
    <n v="0"/>
    <n v="-489943.23944018129"/>
    <n v="0"/>
    <n v="0"/>
    <n v="0"/>
    <n v="0"/>
    <n v="0"/>
    <n v="0"/>
    <n v="0"/>
    <n v="0"/>
    <n v="0"/>
    <n v="0"/>
  </r>
  <r>
    <x v="24"/>
    <x v="2"/>
    <n v="1"/>
    <x v="2"/>
    <s v="Vestdanmark"/>
    <n v="12735406.502549823"/>
    <n v="0"/>
    <n v="0"/>
    <n v="0"/>
    <n v="11461865.852294842"/>
    <n v="843720.68079392554"/>
    <n v="0"/>
    <n v="0"/>
    <n v="429819.96946105547"/>
    <n v="429819.96946105547"/>
    <n v="11461865.852294842"/>
    <n v="0.21757057034149169"/>
    <n v="6.0194524461146184"/>
    <n v="5.8018818757731268"/>
    <n v="0.21757057034149163"/>
    <n v="32666.317679040214"/>
    <n v="903768.12245344813"/>
    <n v="871101.804774408"/>
    <n v="32666.317679040134"/>
  </r>
  <r>
    <x v="25"/>
    <x v="10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</r>
  <r>
    <x v="26"/>
    <x v="4"/>
    <n v="1"/>
    <x v="2"/>
    <s v="Vestdanmark"/>
    <n v="6101831.6290168501"/>
    <n v="5657053.7864699624"/>
    <n v="0"/>
    <n v="0"/>
    <n v="254098.83749353027"/>
    <n v="0"/>
    <n v="0"/>
    <n v="0"/>
    <n v="190679.00505335722"/>
    <n v="190679.00505335722"/>
    <n v="254098.83749353027"/>
    <n v="0.6845376281415525"/>
    <n v="1.5967524547433263"/>
    <n v="0.91221482660177378"/>
    <n v="0.6845376281415525"/>
    <n v="57203.701516007168"/>
    <n v="133433.35276406622"/>
    <n v="76229.651248059075"/>
    <n v="57203.701516007146"/>
  </r>
  <r>
    <x v="27"/>
    <x v="10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</r>
  <r>
    <x v="28"/>
    <x v="6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</r>
  <r>
    <x v="29"/>
    <x v="10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</r>
  <r>
    <x v="30"/>
    <x v="10"/>
    <n v="0"/>
    <x v="2"/>
    <s v="Vestdanmark"/>
    <n v="1048609.453845398"/>
    <n v="0"/>
    <n v="0"/>
    <n v="0"/>
    <n v="0"/>
    <n v="0"/>
    <n v="0"/>
    <n v="0"/>
    <n v="1048609.453845398"/>
    <n v="0"/>
    <n v="0"/>
    <n v="0"/>
    <n v="0"/>
    <n v="0"/>
    <n v="0"/>
    <n v="0"/>
    <n v="0"/>
    <n v="0"/>
    <n v="0"/>
  </r>
  <r>
    <x v="31"/>
    <x v="7"/>
    <n v="1"/>
    <x v="2"/>
    <s v="Vestdanmark"/>
    <n v="158491.06742829576"/>
    <n v="0"/>
    <n v="0"/>
    <n v="0"/>
    <n v="0"/>
    <n v="0"/>
    <n v="158491.06742829576"/>
    <n v="0"/>
    <n v="0"/>
    <n v="0"/>
    <n v="158491.06742829576"/>
    <n v="0"/>
    <n v="2.9162356406806413"/>
    <n v="0"/>
    <n v="2.9162356406806413"/>
    <n v="0"/>
    <n v="65773.792982742743"/>
    <n v="0"/>
    <n v="65773.792982742743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</r>
  <r>
    <x v="35"/>
    <x v="10"/>
    <n v="0"/>
    <x v="2"/>
    <s v="Vestdanmark"/>
    <n v="378080.80621229054"/>
    <n v="0"/>
    <n v="0"/>
    <n v="0"/>
    <n v="0"/>
    <n v="0"/>
    <n v="0"/>
    <n v="378080.80621229054"/>
    <n v="0"/>
    <n v="0"/>
    <n v="0"/>
    <n v="0"/>
    <n v="0"/>
    <n v="0"/>
    <n v="0"/>
    <n v="0"/>
    <n v="0"/>
    <n v="0"/>
    <n v="0"/>
  </r>
  <r>
    <x v="36"/>
    <x v="10"/>
    <n v="0"/>
    <x v="2"/>
    <s v="Vestdanmark"/>
    <n v="189040.40310614527"/>
    <n v="214099.10609126225"/>
    <n v="0"/>
    <n v="0"/>
    <n v="0"/>
    <n v="0"/>
    <n v="0"/>
    <n v="0"/>
    <n v="-25058.702985116979"/>
    <n v="0"/>
    <n v="0"/>
    <n v="0"/>
    <n v="0"/>
    <n v="0"/>
    <n v="0"/>
    <n v="0"/>
    <n v="0"/>
    <n v="0"/>
    <n v="0"/>
  </r>
  <r>
    <x v="37"/>
    <x v="9"/>
    <n v="1"/>
    <x v="2"/>
    <s v="Vestdanmark"/>
    <n v="120985.85798793298"/>
    <n v="0"/>
    <n v="0"/>
    <n v="0"/>
    <n v="0"/>
    <n v="0"/>
    <n v="120985.85798793298"/>
    <n v="0"/>
    <n v="0"/>
    <n v="0"/>
    <n v="120985.85798793298"/>
    <n v="0"/>
    <n v="4.2345050295776536"/>
    <n v="0"/>
    <n v="4.2345050295776536"/>
    <n v="0"/>
    <n v="0"/>
    <n v="0"/>
    <n v="0"/>
  </r>
  <r>
    <x v="38"/>
    <x v="4"/>
    <n v="1"/>
    <x v="2"/>
    <s v="Vestdanmark"/>
    <n v="5024574.3595380196"/>
    <n v="841167.61765562883"/>
    <n v="0"/>
    <n v="0"/>
    <n v="21821.426523041016"/>
    <n v="0"/>
    <n v="0"/>
    <n v="0"/>
    <n v="4161585.3153593498"/>
    <n v="4161585.3153593498"/>
    <n v="21821.426523041016"/>
    <n v="11.29470900929789"/>
    <n v="11.353933233738484"/>
    <n v="5.9224224440594241E-2"/>
    <n v="11.29470900929789"/>
    <n v="832317.06307187001"/>
    <n v="836681.34837647818"/>
    <n v="4364.2853046082037"/>
    <n v="832317.06307187001"/>
  </r>
  <r>
    <x v="39"/>
    <x v="10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</r>
  <r>
    <x v="40"/>
    <x v="10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</r>
  <r>
    <x v="41"/>
    <x v="1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</r>
  <r>
    <x v="42"/>
    <x v="2"/>
    <n v="1"/>
    <x v="2"/>
    <s v="Vestdanmark"/>
    <n v="14432291.767579561"/>
    <n v="0"/>
    <n v="0"/>
    <n v="0"/>
    <n v="12989062.590821605"/>
    <n v="1443229.1767579557"/>
    <n v="0"/>
    <n v="0"/>
    <n v="0"/>
    <n v="0"/>
    <n v="12989062.590821605"/>
    <n v="0"/>
    <n v="5.5956881641259484"/>
    <n v="5.5956881641259484"/>
    <n v="0"/>
    <n v="0"/>
    <n v="649453.12954108033"/>
    <n v="649453.12954108033"/>
    <n v="0"/>
  </r>
  <r>
    <x v="43"/>
    <x v="10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</r>
  <r>
    <x v="44"/>
    <x v="6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235295.9759470159"/>
    <n v="0"/>
    <n v="0"/>
    <n v="0"/>
    <n v="0"/>
    <n v="0"/>
    <n v="2235295.9759470159"/>
    <n v="0"/>
    <n v="0"/>
    <n v="0"/>
    <n v="2235295.9759470159"/>
    <n v="0"/>
    <n v="32.397416241013886"/>
    <n v="0"/>
    <n v="32.397416241013886"/>
    <n v="0"/>
    <n v="1105540.1347704616"/>
    <n v="0"/>
    <n v="1105540.1347704616"/>
  </r>
  <r>
    <x v="47"/>
    <x v="10"/>
    <n v="0"/>
    <x v="2"/>
    <s v="Vestdanmark"/>
    <n v="687223.1739007252"/>
    <n v="0"/>
    <n v="0"/>
    <n v="0"/>
    <n v="0"/>
    <n v="0"/>
    <n v="0"/>
    <n v="0"/>
    <n v="687223.1739007252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255.68246519256246"/>
    <n v="0"/>
    <n v="0"/>
    <n v="82.011356759878481"/>
    <n v="82.011356759878481"/>
    <n v="337.693821952441"/>
    <n v="3.8569120970603255E-5"/>
    <n v="1.5881402752601349E-4"/>
    <n v="1.5881402752601349E-4"/>
    <n v="0"/>
    <n v="5.1667154758723441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87847.14852834243"/>
    <n v="0"/>
    <n v="0"/>
    <n v="-387847.14852834243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422965.94308870414"/>
    <n v="0"/>
    <n v="0"/>
    <n v="215473.21629047208"/>
    <n v="215473.21629047208"/>
    <n v="286645.05985025823"/>
    <n v="0.10907038735407407"/>
    <n v="0.14509686284560222"/>
    <n v="0.14509686284560222"/>
    <n v="0"/>
    <n v="16375.964438075878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0"/>
    <n v="187413.07432328182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66320.575580958233"/>
    <n v="7916.616753740097"/>
    <n v="0"/>
    <n v="0"/>
    <n v="0"/>
    <n v="0"/>
    <n v="0"/>
    <n v="0"/>
    <n v="58403.958827218135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24808531.78166662"/>
    <n v="0"/>
    <n v="0"/>
    <n v="0"/>
    <n v="0"/>
    <n v="0"/>
    <n v="124808531.78166662"/>
    <n v="0"/>
    <n v="0"/>
    <n v="0"/>
    <n v="124808531.78166662"/>
    <n v="0"/>
    <n v="0"/>
    <n v="0"/>
    <n v="0"/>
    <n v="0"/>
    <n v="0"/>
    <n v="0"/>
    <n v="0"/>
  </r>
  <r>
    <x v="4"/>
    <x v="10"/>
    <n v="0"/>
    <x v="1"/>
    <s v="Østdanmark"/>
    <n v="4380881.7202554364"/>
    <n v="0"/>
    <n v="0"/>
    <n v="0"/>
    <n v="0"/>
    <n v="3986542.8719658842"/>
    <n v="0"/>
    <n v="0"/>
    <n v="394338.84828955214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630.18173263756921"/>
    <n v="53.01528861871612"/>
    <n v="0"/>
    <n v="0"/>
    <n v="17.004903896569317"/>
    <n v="17.004903896569317"/>
    <n v="630.18173263756921"/>
    <n v="7.997236253517585E-6"/>
    <n v="3.0436540329564001E-4"/>
    <n v="2.9636816704212241E-4"/>
    <n v="7.9972362535176019E-6"/>
    <n v="1.0713089454838669"/>
    <n v="40.77275810165073"/>
    <n v="39.701449156166859"/>
    <n v="1.0713089454838709"/>
  </r>
  <r>
    <x v="9"/>
    <x v="10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</r>
  <r>
    <x v="10"/>
    <x v="10"/>
    <n v="0"/>
    <x v="1"/>
    <s v="Østdanmark"/>
    <n v="342757.79858178977"/>
    <n v="0"/>
    <n v="0"/>
    <n v="0"/>
    <n v="0"/>
    <n v="0"/>
    <n v="0"/>
    <n v="0"/>
    <n v="342757.79858178977"/>
    <n v="0"/>
    <n v="0"/>
    <n v="0"/>
    <n v="0"/>
    <n v="0"/>
    <n v="0"/>
    <n v="0"/>
    <n v="0"/>
    <n v="0"/>
    <n v="0"/>
  </r>
  <r>
    <x v="11"/>
    <x v="10"/>
    <n v="0"/>
    <x v="1"/>
    <s v="Østdanmark"/>
    <n v="9754.2866982633659"/>
    <n v="0"/>
    <n v="0"/>
    <n v="223323.94265330929"/>
    <n v="0"/>
    <n v="0"/>
    <n v="0"/>
    <n v="0"/>
    <n v="-213569.65595504592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7915785.5258047525"/>
    <n v="1502068.0760117145"/>
    <n v="0"/>
    <n v="0"/>
    <n v="18670.90350678641"/>
    <n v="0"/>
    <n v="0"/>
    <n v="0"/>
    <n v="6395046.5462862514"/>
    <n v="6395046.5462862514"/>
    <n v="18670.90350678641"/>
    <n v="11.766086264348418"/>
    <n v="11.800438392937966"/>
    <n v="3.4352128589548649E-2"/>
    <n v="11.766086264348418"/>
    <n v="1790613.0329601506"/>
    <n v="1795840.8859420507"/>
    <n v="5227.8529819001951"/>
    <n v="1790613.0329601506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66219.734583524318"/>
    <n v="0"/>
    <n v="0"/>
    <n v="233902.44520004498"/>
    <n v="0"/>
    <n v="0"/>
    <n v="0"/>
    <n v="0"/>
    <n v="-167682.71061652066"/>
    <n v="0"/>
    <n v="0"/>
    <n v="0"/>
    <n v="0"/>
    <n v="0"/>
    <n v="0"/>
    <n v="0"/>
    <n v="0"/>
    <n v="0"/>
    <n v="0"/>
  </r>
  <r>
    <x v="16"/>
    <x v="5"/>
    <n v="1"/>
    <x v="1"/>
    <s v="Østdanmark"/>
    <n v="888494.96140285372"/>
    <n v="94889.448034412562"/>
    <n v="103520.85960187271"/>
    <n v="0"/>
    <n v="19709.468772973203"/>
    <n v="0"/>
    <n v="670375.18499359523"/>
    <n v="0"/>
    <n v="0"/>
    <n v="0"/>
    <n v="690084.6537665684"/>
    <n v="0"/>
    <n v="7.0425038172445023"/>
    <n v="0.11363573058932792"/>
    <n v="6.9288680866551742"/>
    <n v="0"/>
    <n v="586571.95570158318"/>
    <n v="16753.048457027224"/>
    <n v="569818.907244556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</r>
  <r>
    <x v="19"/>
    <x v="1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</r>
  <r>
    <x v="20"/>
    <x v="10"/>
    <n v="0"/>
    <x v="1"/>
    <s v="Østdanmark"/>
    <n v="211505.55492892067"/>
    <n v="0"/>
    <n v="0"/>
    <n v="0"/>
    <n v="0"/>
    <n v="0"/>
    <n v="0"/>
    <n v="0"/>
    <n v="211505.55492892067"/>
    <n v="0"/>
    <n v="0"/>
    <n v="0"/>
    <n v="0"/>
    <n v="0"/>
    <n v="0"/>
    <n v="0"/>
    <n v="0"/>
    <n v="0"/>
    <n v="0"/>
  </r>
  <r>
    <x v="21"/>
    <x v="10"/>
    <n v="0"/>
    <x v="1"/>
    <s v="Østdanmark"/>
    <n v="515263.04540454788"/>
    <n v="0"/>
    <n v="0"/>
    <n v="106960.41463921656"/>
    <n v="0"/>
    <n v="0"/>
    <n v="0"/>
    <n v="0"/>
    <n v="408302.63076533133"/>
    <n v="0"/>
    <n v="0"/>
    <n v="0"/>
    <n v="0"/>
    <n v="0"/>
    <n v="0"/>
    <n v="0"/>
    <n v="0"/>
    <n v="0"/>
    <n v="0"/>
  </r>
  <r>
    <x v="22"/>
    <x v="5"/>
    <n v="1"/>
    <x v="1"/>
    <s v="Østdanmark"/>
    <n v="1608239.7398434528"/>
    <n v="721621.60770550347"/>
    <n v="0"/>
    <n v="256234.83946537593"/>
    <n v="871.08988076433457"/>
    <n v="0"/>
    <n v="0"/>
    <n v="0"/>
    <n v="629512.20279180899"/>
    <n v="0"/>
    <n v="871.08988076433457"/>
    <n v="0"/>
    <n v="2.9833608890345396E-3"/>
    <n v="2.9833608890345396E-3"/>
    <n v="0"/>
    <n v="0"/>
    <n v="270.03786303694369"/>
    <n v="270.03786303694369"/>
    <n v="0"/>
  </r>
  <r>
    <x v="23"/>
    <x v="10"/>
    <n v="0"/>
    <x v="1"/>
    <s v="Østdanmark"/>
    <n v="0"/>
    <n v="0"/>
    <n v="0"/>
    <n v="0"/>
    <n v="0"/>
    <n v="325909.00963477371"/>
    <n v="0"/>
    <n v="0"/>
    <n v="-325909.00963477371"/>
    <n v="0"/>
    <n v="0"/>
    <n v="0"/>
    <n v="0"/>
    <n v="0"/>
    <n v="0"/>
    <n v="0"/>
    <n v="0"/>
    <n v="0"/>
    <n v="0"/>
  </r>
  <r>
    <x v="24"/>
    <x v="2"/>
    <n v="1"/>
    <x v="1"/>
    <s v="Østdanmark"/>
    <n v="922789.17266620893"/>
    <n v="0"/>
    <n v="0"/>
    <n v="0"/>
    <n v="830510.25539958803"/>
    <n v="61134.782689136329"/>
    <n v="0"/>
    <n v="0"/>
    <n v="31144.134577484569"/>
    <n v="31144.134577484569"/>
    <n v="830510.25539958803"/>
    <n v="1.5764849481776914E-2"/>
    <n v="0.43616083566249442"/>
    <n v="0.4203959861807175"/>
    <n v="1.5764849481776921E-2"/>
    <n v="2366.9542278888271"/>
    <n v="65485.733638257516"/>
    <n v="63118.77941036869"/>
    <n v="2366.9542278888257"/>
  </r>
  <r>
    <x v="25"/>
    <x v="10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</r>
  <r>
    <x v="26"/>
    <x v="4"/>
    <n v="1"/>
    <x v="1"/>
    <s v="Østdanmark"/>
    <n v="1730463.2966817433"/>
    <n v="694353.26110928762"/>
    <n v="0"/>
    <n v="0"/>
    <n v="74810.246107047482"/>
    <n v="0"/>
    <n v="0"/>
    <n v="0"/>
    <n v="961299.78946540831"/>
    <n v="952519.64833213156"/>
    <n v="74810.246107047482"/>
    <n v="3.4195455375123527"/>
    <n v="3.6881143210366529"/>
    <n v="0.26856878352430047"/>
    <n v="3.4195455375123522"/>
    <n v="285755.89449963946"/>
    <n v="308198.96833175368"/>
    <n v="22443.073832114245"/>
    <n v="285755.89449963946"/>
  </r>
  <r>
    <x v="27"/>
    <x v="10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</r>
  <r>
    <x v="28"/>
    <x v="6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</r>
  <r>
    <x v="29"/>
    <x v="10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</r>
  <r>
    <x v="30"/>
    <x v="10"/>
    <n v="0"/>
    <x v="1"/>
    <s v="Østdanmark"/>
    <n v="301497.09442768525"/>
    <n v="0"/>
    <n v="0"/>
    <n v="0"/>
    <n v="0"/>
    <n v="0"/>
    <n v="0"/>
    <n v="0"/>
    <n v="301497.09442768525"/>
    <n v="0"/>
    <n v="0"/>
    <n v="0"/>
    <n v="0"/>
    <n v="0"/>
    <n v="0"/>
    <n v="0"/>
    <n v="0"/>
    <n v="0"/>
    <n v="0"/>
  </r>
  <r>
    <x v="31"/>
    <x v="7"/>
    <n v="1"/>
    <x v="1"/>
    <s v="Østdanmark"/>
    <n v="42074.872472772768"/>
    <n v="0"/>
    <n v="0"/>
    <n v="0"/>
    <n v="0"/>
    <n v="0"/>
    <n v="42074.872472772768"/>
    <n v="0"/>
    <n v="0"/>
    <n v="0"/>
    <n v="42074.872472772768"/>
    <n v="0"/>
    <n v="0.77417765349901879"/>
    <n v="0"/>
    <n v="0.77417765349901879"/>
    <n v="0"/>
    <n v="17461.0720762007"/>
    <n v="0"/>
    <n v="17461.0720762007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</r>
  <r>
    <x v="35"/>
    <x v="10"/>
    <n v="0"/>
    <x v="1"/>
    <s v="Østdanmark"/>
    <n v="111531.10220983687"/>
    <n v="0"/>
    <n v="0"/>
    <n v="0"/>
    <n v="0"/>
    <n v="0"/>
    <n v="0"/>
    <n v="111531.10220983687"/>
    <n v="0"/>
    <n v="0"/>
    <n v="0"/>
    <n v="0"/>
    <n v="0"/>
    <n v="0"/>
    <n v="0"/>
    <n v="0"/>
    <n v="0"/>
    <n v="0"/>
    <n v="0"/>
  </r>
  <r>
    <x v="36"/>
    <x v="10"/>
    <n v="0"/>
    <x v="1"/>
    <s v="Østdanmark"/>
    <n v="55765.551104918435"/>
    <n v="26278.769501998377"/>
    <n v="0"/>
    <n v="0"/>
    <n v="0"/>
    <n v="0"/>
    <n v="0"/>
    <n v="0"/>
    <n v="29486.781602920059"/>
    <n v="0"/>
    <n v="0"/>
    <n v="0"/>
    <n v="0"/>
    <n v="0"/>
    <n v="0"/>
    <n v="0"/>
    <n v="0"/>
    <n v="0"/>
    <n v="0"/>
  </r>
  <r>
    <x v="37"/>
    <x v="9"/>
    <n v="1"/>
    <x v="1"/>
    <s v="Østdanmark"/>
    <n v="35689.952707147801"/>
    <n v="0"/>
    <n v="0"/>
    <n v="0"/>
    <n v="0"/>
    <n v="0"/>
    <n v="35689.952707147801"/>
    <n v="0"/>
    <n v="0"/>
    <n v="0"/>
    <n v="35689.952707147801"/>
    <n v="0"/>
    <n v="1.249148344750173"/>
    <n v="0"/>
    <n v="1.249148344750173"/>
    <n v="0"/>
    <n v="0"/>
    <n v="0"/>
    <n v="0"/>
  </r>
  <r>
    <x v="38"/>
    <x v="4"/>
    <n v="1"/>
    <x v="1"/>
    <s v="Østdanmark"/>
    <n v="1508318.1394402247"/>
    <n v="103245.8768300271"/>
    <n v="0"/>
    <n v="0"/>
    <n v="6717.4186381438076"/>
    <n v="0"/>
    <n v="0"/>
    <n v="0"/>
    <n v="1398354.8439720538"/>
    <n v="1398354.8439720538"/>
    <n v="6717.4186381438076"/>
    <n v="3.795190980733913"/>
    <n v="3.813422323614581"/>
    <n v="1.8231342880667821E-2"/>
    <n v="3.795190980733913"/>
    <n v="279670.96879441076"/>
    <n v="281014.45252203959"/>
    <n v="1343.4837276287617"/>
    <n v="279670.96879441082"/>
  </r>
  <r>
    <x v="39"/>
    <x v="10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</r>
  <r>
    <x v="40"/>
    <x v="10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</r>
  <r>
    <x v="41"/>
    <x v="1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</r>
  <r>
    <x v="42"/>
    <x v="2"/>
    <n v="1"/>
    <x v="1"/>
    <s v="Østdanmark"/>
    <n v="2184299.8380428459"/>
    <n v="0"/>
    <n v="0"/>
    <n v="0"/>
    <n v="1965869.8542385614"/>
    <n v="218429.98380428454"/>
    <n v="0"/>
    <n v="0"/>
    <n v="0"/>
    <n v="0"/>
    <n v="1965869.8542385614"/>
    <n v="0"/>
    <n v="0.84689673320597236"/>
    <n v="0.84689673320597236"/>
    <n v="0"/>
    <n v="0"/>
    <n v="98293.492711928076"/>
    <n v="98293.492711928076"/>
    <n v="0"/>
  </r>
  <r>
    <x v="43"/>
    <x v="10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</r>
  <r>
    <x v="44"/>
    <x v="6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7088.73530897219"/>
    <n v="0"/>
    <n v="0"/>
    <n v="0"/>
    <n v="0"/>
    <n v="0"/>
    <n v="647088.73530897219"/>
    <n v="0"/>
    <n v="0"/>
    <n v="0"/>
    <n v="647088.73530897219"/>
    <n v="0"/>
    <n v="9.3786251701161518"/>
    <n v="0"/>
    <n v="9.3786251701161518"/>
    <n v="0"/>
    <n v="320039.30367156246"/>
    <n v="0"/>
    <n v="320039.30367156246"/>
  </r>
  <r>
    <x v="47"/>
    <x v="10"/>
    <n v="0"/>
    <x v="1"/>
    <s v="Østdanmark"/>
    <n v="178637.61286448501"/>
    <n v="0"/>
    <n v="0"/>
    <n v="0"/>
    <n v="0"/>
    <n v="0"/>
    <n v="0"/>
    <n v="0"/>
    <n v="178637.61286448501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69084.929808935805"/>
    <n v="7916.616753740097"/>
    <n v="0"/>
    <n v="0"/>
    <n v="0"/>
    <n v="0"/>
    <n v="0"/>
    <n v="0"/>
    <n v="61168.313055195707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25542746.35900024"/>
    <n v="0"/>
    <n v="0"/>
    <n v="0"/>
    <n v="0"/>
    <n v="0"/>
    <n v="125542746.35900024"/>
    <n v="0"/>
    <n v="0"/>
    <n v="0"/>
    <n v="125542746.35900024"/>
    <n v="0"/>
    <n v="0"/>
    <n v="0"/>
    <n v="0"/>
    <n v="0"/>
    <n v="0"/>
    <n v="0"/>
    <n v="0"/>
  </r>
  <r>
    <x v="4"/>
    <x v="10"/>
    <n v="0"/>
    <x v="2"/>
    <s v="Østdanmark"/>
    <n v="4357755.2271491131"/>
    <n v="0"/>
    <n v="0"/>
    <n v="0"/>
    <n v="0"/>
    <n v="3938512.6960526006"/>
    <n v="0"/>
    <n v="0"/>
    <n v="419242.53109651245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650.78855763169781"/>
    <n v="54.748878657904719"/>
    <n v="0"/>
    <n v="0"/>
    <n v="17.560961078950641"/>
    <n v="17.560961078950641"/>
    <n v="650.78855763169781"/>
    <n v="8.2587443858196973E-6"/>
    <n v="3.1431809515443089E-4"/>
    <n v="3.0605935076861117E-4"/>
    <n v="8.2587443858197227E-6"/>
    <n v="1.1063405479738904"/>
    <n v="42.106019678770856"/>
    <n v="40.999679130796963"/>
    <n v="1.1063405479738933"/>
  </r>
  <r>
    <x v="9"/>
    <x v="10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</r>
  <r>
    <x v="10"/>
    <x v="10"/>
    <n v="0"/>
    <x v="2"/>
    <s v="Østdanmark"/>
    <n v="357304.25157150667"/>
    <n v="0"/>
    <n v="0"/>
    <n v="0"/>
    <n v="0"/>
    <n v="0"/>
    <n v="0"/>
    <n v="0"/>
    <n v="357304.25157150667"/>
    <n v="0"/>
    <n v="0"/>
    <n v="0"/>
    <n v="0"/>
    <n v="0"/>
    <n v="0"/>
    <n v="0"/>
    <n v="0"/>
    <n v="0"/>
    <n v="0"/>
  </r>
  <r>
    <x v="11"/>
    <x v="10"/>
    <n v="0"/>
    <x v="2"/>
    <s v="Østdanmark"/>
    <n v="10163.089759541812"/>
    <n v="0"/>
    <n v="0"/>
    <n v="233795.01599247381"/>
    <n v="0"/>
    <n v="0"/>
    <n v="0"/>
    <n v="0"/>
    <n v="-223631.92623293199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8332694.7229536632"/>
    <n v="1502068.0760117143"/>
    <n v="0"/>
    <n v="0"/>
    <n v="18918.331265736317"/>
    <n v="0"/>
    <n v="0"/>
    <n v="0"/>
    <n v="6811708.3156762123"/>
    <n v="6811708.3156762123"/>
    <n v="18918.331265736317"/>
    <n v="12.532691837304771"/>
    <n v="12.567499202042317"/>
    <n v="3.4807364737546607E-2"/>
    <n v="12.532691837304771"/>
    <n v="1907278.3283893396"/>
    <n v="1912575.4611437458"/>
    <n v="5297.1327544061696"/>
    <n v="1907278.3283893396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68513.709869912811"/>
    <n v="0"/>
    <n v="0"/>
    <n v="244869.51675001203"/>
    <n v="0"/>
    <n v="0"/>
    <n v="0"/>
    <n v="0"/>
    <n v="-176355.80688009923"/>
    <n v="0"/>
    <n v="0"/>
    <n v="0"/>
    <n v="0"/>
    <n v="0"/>
    <n v="0"/>
    <n v="0"/>
    <n v="0"/>
    <n v="0"/>
    <n v="0"/>
  </r>
  <r>
    <x v="16"/>
    <x v="5"/>
    <n v="1"/>
    <x v="2"/>
    <s v="Østdanmark"/>
    <n v="865944.52172148146"/>
    <n v="94889.448034412548"/>
    <n v="103062.42440743271"/>
    <n v="0"/>
    <n v="20155.543580446039"/>
    <n v="0"/>
    <n v="647837.10569919006"/>
    <n v="0"/>
    <n v="0"/>
    <n v="0"/>
    <n v="667992.6492796361"/>
    <n v="0"/>
    <n v="6.8121264565469533"/>
    <n v="0.11620759273480487"/>
    <n v="6.6959188638121487"/>
    <n v="0"/>
    <n v="567793.75188769063"/>
    <n v="17132.212043379132"/>
    <n v="550661.53984431154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</r>
  <r>
    <x v="20"/>
    <x v="10"/>
    <n v="0"/>
    <x v="2"/>
    <s v="Østdanmark"/>
    <n v="220334.04456617165"/>
    <n v="0"/>
    <n v="0"/>
    <n v="0"/>
    <n v="0"/>
    <n v="0"/>
    <n v="0"/>
    <n v="0"/>
    <n v="220334.04456617165"/>
    <n v="0"/>
    <n v="0"/>
    <n v="0"/>
    <n v="0"/>
    <n v="0"/>
    <n v="0"/>
    <n v="0"/>
    <n v="0"/>
    <n v="0"/>
    <n v="0"/>
  </r>
  <r>
    <x v="21"/>
    <x v="10"/>
    <n v="0"/>
    <x v="2"/>
    <s v="Østdanmark"/>
    <n v="536733.47505489504"/>
    <n v="0"/>
    <n v="0"/>
    <n v="111975.50765955324"/>
    <n v="0"/>
    <n v="0"/>
    <n v="0"/>
    <n v="0"/>
    <n v="424757.96739534178"/>
    <n v="0"/>
    <n v="0"/>
    <n v="0"/>
    <n v="0"/>
    <n v="0"/>
    <n v="0"/>
    <n v="0"/>
    <n v="0"/>
    <n v="0"/>
    <n v="0"/>
  </r>
  <r>
    <x v="22"/>
    <x v="5"/>
    <n v="1"/>
    <x v="2"/>
    <s v="Østdanmark"/>
    <n v="1683096.8033949384"/>
    <n v="721621.60770550335"/>
    <n v="0"/>
    <n v="268249.01834925939"/>
    <n v="884.229461452941"/>
    <n v="0"/>
    <n v="0"/>
    <n v="0"/>
    <n v="692341.94787872268"/>
    <n v="26163.144336591125"/>
    <n v="884.229461452941"/>
    <n v="8.9605106512617494E-2"/>
    <n v="9.2633468625969217E-2"/>
    <n v="3.0283621133517201E-3"/>
    <n v="8.9605106512617494E-2"/>
    <n v="8110.5747443432492"/>
    <n v="8384.6858773936601"/>
    <n v="274.11113305041169"/>
    <n v="8110.5747443432483"/>
  </r>
  <r>
    <x v="23"/>
    <x v="10"/>
    <n v="0"/>
    <x v="2"/>
    <s v="Østdanmark"/>
    <n v="0"/>
    <n v="0"/>
    <n v="0"/>
    <n v="0"/>
    <n v="0"/>
    <n v="315916.79839441256"/>
    <n v="0"/>
    <n v="0"/>
    <n v="-315916.79839441256"/>
    <n v="0"/>
    <n v="0"/>
    <n v="0"/>
    <n v="0"/>
    <n v="0"/>
    <n v="0"/>
    <n v="0"/>
    <n v="0"/>
    <n v="0"/>
    <n v="0"/>
  </r>
  <r>
    <x v="24"/>
    <x v="2"/>
    <n v="1"/>
    <x v="2"/>
    <s v="Østdanmark"/>
    <n v="905156.40673249087"/>
    <n v="0"/>
    <n v="0"/>
    <n v="0"/>
    <n v="814640.76605924184"/>
    <n v="59966.611946027508"/>
    <n v="0"/>
    <n v="0"/>
    <n v="30549.028727221536"/>
    <n v="30549.028727221536"/>
    <n v="814640.76605924184"/>
    <n v="1.5463612851432272E-2"/>
    <n v="0.42782662222295997"/>
    <n v="0.4123630093715277"/>
    <n v="1.5463612851432273E-2"/>
    <n v="2321.7261832688368"/>
    <n v="64234.424403771212"/>
    <n v="61912.698220502381"/>
    <n v="2321.7261832688309"/>
  </r>
  <r>
    <x v="25"/>
    <x v="10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</r>
  <r>
    <x v="26"/>
    <x v="4"/>
    <n v="1"/>
    <x v="2"/>
    <s v="Østdanmark"/>
    <n v="1823285.6405542411"/>
    <n v="694353.2611092875"/>
    <n v="0"/>
    <n v="0"/>
    <n v="75927.162506469729"/>
    <n v="0"/>
    <n v="0"/>
    <n v="0"/>
    <n v="1053005.216938484"/>
    <n v="1053005.216938484"/>
    <n v="75927.162506469729"/>
    <n v="3.780288728809158"/>
    <n v="4.0528672422073839"/>
    <n v="0.27257851339822636"/>
    <n v="3.7802887288091576"/>
    <n v="315901.56508154521"/>
    <n v="338679.71383348614"/>
    <n v="22778.148751940917"/>
    <n v="315901.56508154521"/>
  </r>
  <r>
    <x v="27"/>
    <x v="10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</r>
  <r>
    <x v="28"/>
    <x v="6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</r>
  <r>
    <x v="29"/>
    <x v="10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</r>
  <r>
    <x v="30"/>
    <x v="10"/>
    <n v="0"/>
    <x v="2"/>
    <s v="Østdanmark"/>
    <n v="314116.08613367198"/>
    <n v="0"/>
    <n v="0"/>
    <n v="0"/>
    <n v="0"/>
    <n v="0"/>
    <n v="0"/>
    <n v="0"/>
    <n v="314116.08613367198"/>
    <n v="0"/>
    <n v="0"/>
    <n v="0"/>
    <n v="0"/>
    <n v="0"/>
    <n v="0"/>
    <n v="0"/>
    <n v="0"/>
    <n v="0"/>
    <n v="0"/>
  </r>
  <r>
    <x v="31"/>
    <x v="7"/>
    <n v="1"/>
    <x v="2"/>
    <s v="Østdanmark"/>
    <n v="43858.564110476924"/>
    <n v="0"/>
    <n v="0"/>
    <n v="0"/>
    <n v="0"/>
    <n v="0"/>
    <n v="43858.564110476924"/>
    <n v="0"/>
    <n v="0"/>
    <n v="0"/>
    <n v="43858.564110476924"/>
    <n v="0"/>
    <n v="0.8069975796327753"/>
    <n v="0"/>
    <n v="0.8069975796327753"/>
    <n v="0"/>
    <n v="18201.304105847925"/>
    <n v="0"/>
    <n v="18201.304105847925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</r>
  <r>
    <x v="35"/>
    <x v="10"/>
    <n v="0"/>
    <x v="2"/>
    <s v="Østdanmark"/>
    <n v="116086.90219815794"/>
    <n v="0"/>
    <n v="0"/>
    <n v="0"/>
    <n v="0"/>
    <n v="0"/>
    <n v="0"/>
    <n v="116086.90219815794"/>
    <n v="0"/>
    <n v="0"/>
    <n v="0"/>
    <n v="0"/>
    <n v="0"/>
    <n v="0"/>
    <n v="0"/>
    <n v="0"/>
    <n v="0"/>
    <n v="0"/>
    <n v="0"/>
  </r>
  <r>
    <x v="36"/>
    <x v="10"/>
    <n v="0"/>
    <x v="2"/>
    <s v="Østdanmark"/>
    <n v="58043.451099078971"/>
    <n v="26278.769501998373"/>
    <n v="0"/>
    <n v="0"/>
    <n v="0"/>
    <n v="0"/>
    <n v="0"/>
    <n v="0"/>
    <n v="31764.681597080598"/>
    <n v="0"/>
    <n v="0"/>
    <n v="0"/>
    <n v="0"/>
    <n v="0"/>
    <n v="0"/>
    <n v="0"/>
    <n v="0"/>
    <n v="0"/>
    <n v="0"/>
  </r>
  <r>
    <x v="37"/>
    <x v="9"/>
    <n v="1"/>
    <x v="2"/>
    <s v="Østdanmark"/>
    <n v="37147.808703410541"/>
    <n v="0"/>
    <n v="0"/>
    <n v="0"/>
    <n v="0"/>
    <n v="0"/>
    <n v="37147.808703410541"/>
    <n v="0"/>
    <n v="0"/>
    <n v="0"/>
    <n v="37147.808703410541"/>
    <n v="0"/>
    <n v="1.3001733046193689"/>
    <n v="0"/>
    <n v="1.3001733046193689"/>
    <n v="0"/>
    <n v="0"/>
    <n v="0"/>
    <n v="0"/>
  </r>
  <r>
    <x v="38"/>
    <x v="4"/>
    <n v="1"/>
    <x v="2"/>
    <s v="Østdanmark"/>
    <n v="1571187.4884325294"/>
    <n v="103245.87683002709"/>
    <n v="0"/>
    <n v="0"/>
    <n v="6823.5734769589817"/>
    <n v="0"/>
    <n v="0"/>
    <n v="0"/>
    <n v="1461118.0381255434"/>
    <n v="1461118.0381255434"/>
    <n v="6823.5734769589817"/>
    <n v="3.96553280019425"/>
    <n v="3.9840522515536558"/>
    <n v="1.8519451359405754E-2"/>
    <n v="3.96553280019425"/>
    <n v="292223.60762510868"/>
    <n v="293588.32232050051"/>
    <n v="1364.7146953917963"/>
    <n v="292223.60762510874"/>
  </r>
  <r>
    <x v="39"/>
    <x v="10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</r>
  <r>
    <x v="40"/>
    <x v="10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</r>
  <r>
    <x v="41"/>
    <x v="1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</r>
  <r>
    <x v="42"/>
    <x v="2"/>
    <n v="1"/>
    <x v="2"/>
    <s v="Østdanmark"/>
    <n v="2091197.4416372697"/>
    <n v="0"/>
    <n v="0"/>
    <n v="0"/>
    <n v="1882077.6974735428"/>
    <n v="209119.74416372692"/>
    <n v="0"/>
    <n v="0"/>
    <n v="0"/>
    <n v="0"/>
    <n v="1882077.6974735428"/>
    <n v="0"/>
    <n v="0.8107990720716024"/>
    <n v="0.8107990720716024"/>
    <n v="0"/>
    <n v="0"/>
    <n v="94103.884873677147"/>
    <n v="94103.884873677147"/>
    <n v="0"/>
  </r>
  <r>
    <x v="43"/>
    <x v="10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</r>
  <r>
    <x v="44"/>
    <x v="6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624603.98534617631"/>
    <n v="0"/>
    <n v="0"/>
    <n v="0"/>
    <n v="0"/>
    <n v="0"/>
    <n v="624603.98534617631"/>
    <n v="0"/>
    <n v="0"/>
    <n v="0"/>
    <n v="624603.98534617631"/>
    <n v="0"/>
    <n v="9.0527408973136652"/>
    <n v="0"/>
    <n v="9.0527408973136652"/>
    <n v="0"/>
    <n v="308918.72108579637"/>
    <n v="0"/>
    <n v="308918.72108579637"/>
  </r>
  <r>
    <x v="47"/>
    <x v="10"/>
    <n v="0"/>
    <x v="2"/>
    <s v="Østdanmark"/>
    <n v="184169.19735067486"/>
    <n v="0"/>
    <n v="0"/>
    <n v="0"/>
    <n v="0"/>
    <n v="0"/>
    <n v="0"/>
    <n v="0"/>
    <n v="184169.19735067486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">
  <r>
    <s v="Vestdanmark"/>
    <x v="0"/>
    <n v="12546079.333675962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151930.36566196129"/>
    <s v="Biogasanlæg"/>
    <x v="5"/>
  </r>
  <r>
    <s v="Vestdanmark"/>
    <x v="0"/>
    <n v="0"/>
    <s v="Pyrolyseproces"/>
    <x v="6"/>
  </r>
  <r>
    <s v="Vestdanmark"/>
    <x v="1"/>
    <n v="10369071.834223954"/>
    <s v="CO2 - atmosfære"/>
    <x v="0"/>
  </r>
  <r>
    <s v="Vestdanmark"/>
    <x v="1"/>
    <n v="5058223.5325662289"/>
    <s v="Landbrug"/>
    <x v="1"/>
  </r>
  <r>
    <s v="Vestdanmark"/>
    <x v="1"/>
    <n v="4031787.1463158978"/>
    <s v="Landbrug"/>
    <x v="2"/>
  </r>
  <r>
    <s v="Vestdanmark"/>
    <x v="1"/>
    <n v="1088045.8124689222"/>
    <s v="Landbrug"/>
    <x v="2"/>
  </r>
  <r>
    <s v="Vestdanmark"/>
    <x v="1"/>
    <n v="2154506.8629341"/>
    <s v="Landbrug"/>
    <x v="2"/>
  </r>
  <r>
    <s v="Vestdanmark"/>
    <x v="1"/>
    <n v="-23936.112883057391"/>
    <s v="Hav"/>
    <x v="3"/>
  </r>
  <r>
    <s v="Vestdanmark"/>
    <x v="1"/>
    <n v="-1423024.3224583613"/>
    <s v="Skov"/>
    <x v="4"/>
  </r>
  <r>
    <s v="Vestdanmark"/>
    <x v="1"/>
    <n v="-516531.08471977338"/>
    <s v="Biogasanlæg"/>
    <x v="5"/>
  </r>
  <r>
    <s v="Vestdanmark"/>
    <x v="1"/>
    <n v="0"/>
    <s v="Pyrolyseproces"/>
    <x v="6"/>
  </r>
  <r>
    <s v="Vestdanmark"/>
    <x v="2"/>
    <n v="9802558.8435188979"/>
    <s v="CO2 - atmosfære"/>
    <x v="0"/>
  </r>
  <r>
    <s v="Vestdanmark"/>
    <x v="2"/>
    <n v="5037270.6270728866"/>
    <s v="Landbrug"/>
    <x v="1"/>
  </r>
  <r>
    <s v="Vestdanmark"/>
    <x v="2"/>
    <n v="3906669.7542952816"/>
    <s v="Landbrug"/>
    <x v="2"/>
  </r>
  <r>
    <s v="Vestdanmark"/>
    <x v="2"/>
    <n v="1088045.8124689227"/>
    <s v="Landbrug"/>
    <x v="2"/>
  </r>
  <r>
    <s v="Vestdanmark"/>
    <x v="2"/>
    <n v="2154506.8629340995"/>
    <s v="Landbrug"/>
    <x v="2"/>
  </r>
  <r>
    <s v="Vestdanmark"/>
    <x v="2"/>
    <n v="-32111.211335450222"/>
    <s v="Hav"/>
    <x v="3"/>
  </r>
  <r>
    <s v="Vestdanmark"/>
    <x v="2"/>
    <n v="-1849222.4776918571"/>
    <s v="Skov"/>
    <x v="4"/>
  </r>
  <r>
    <s v="Vestdanmark"/>
    <x v="2"/>
    <n v="-502600.52422498411"/>
    <s v="Biogasanlæg"/>
    <x v="5"/>
  </r>
  <r>
    <s v="Vestdanmark"/>
    <x v="2"/>
    <n v="0"/>
    <s v="Pyrolyseproces"/>
    <x v="6"/>
  </r>
  <r>
    <s v="Østdanmark"/>
    <x v="0"/>
    <n v="1971383.1086998824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276.84523309844"/>
    <s v="Biogasanlæg"/>
    <x v="5"/>
  </r>
  <r>
    <s v="Østdanmark"/>
    <x v="0"/>
    <n v="0"/>
    <s v="Pyrolyseproces"/>
    <x v="6"/>
  </r>
  <r>
    <s v="Østdanmark"/>
    <x v="1"/>
    <n v="1692587.3834867217"/>
    <s v="CO2 - atmosfære"/>
    <x v="0"/>
  </r>
  <r>
    <s v="Østdanmark"/>
    <x v="1"/>
    <n v="449093.3493058047"/>
    <s v="Landbrug"/>
    <x v="1"/>
  </r>
  <r>
    <s v="Østdanmark"/>
    <x v="1"/>
    <n v="1228927.7363285178"/>
    <s v="Landbrug"/>
    <x v="2"/>
  </r>
  <r>
    <s v="Østdanmark"/>
    <x v="1"/>
    <n v="117269.43380756295"/>
    <s v="Landbrug"/>
    <x v="2"/>
  </r>
  <r>
    <s v="Østdanmark"/>
    <x v="1"/>
    <n v="232146.66455890334"/>
    <s v="Landbrug"/>
    <x v="2"/>
  </r>
  <r>
    <s v="Østdanmark"/>
    <x v="1"/>
    <n v="-674.70029884327505"/>
    <s v="Hav"/>
    <x v="3"/>
  </r>
  <r>
    <s v="Østdanmark"/>
    <x v="1"/>
    <n v="-284715.40557504073"/>
    <s v="Skov"/>
    <x v="4"/>
  </r>
  <r>
    <s v="Østdanmark"/>
    <x v="1"/>
    <n v="-49459.694640183312"/>
    <s v="Biogasanlæg"/>
    <x v="5"/>
  </r>
  <r>
    <s v="Østdanmark"/>
    <x v="1"/>
    <n v="0"/>
    <s v="Pyrolyseproces"/>
    <x v="6"/>
  </r>
  <r>
    <s v="Østdanmark"/>
    <x v="2"/>
    <n v="1578442.2532698335"/>
    <s v="CO2 - atmosfære"/>
    <x v="0"/>
  </r>
  <r>
    <s v="Østdanmark"/>
    <x v="2"/>
    <n v="447960.28277222451"/>
    <s v="Landbrug"/>
    <x v="1"/>
  </r>
  <r>
    <s v="Østdanmark"/>
    <x v="2"/>
    <n v="1215442.6627868579"/>
    <s v="Landbrug"/>
    <x v="2"/>
  </r>
  <r>
    <s v="Østdanmark"/>
    <x v="2"/>
    <n v="117269.43380756291"/>
    <s v="Landbrug"/>
    <x v="2"/>
  </r>
  <r>
    <s v="Østdanmark"/>
    <x v="2"/>
    <n v="232146.66455890334"/>
    <s v="Landbrug"/>
    <x v="2"/>
  </r>
  <r>
    <s v="Østdanmark"/>
    <x v="2"/>
    <n v="-8067.9044826491263"/>
    <s v="Hav"/>
    <x v="3"/>
  </r>
  <r>
    <s v="Østdanmark"/>
    <x v="2"/>
    <n v="-378382.64581405697"/>
    <s v="Skov"/>
    <x v="4"/>
  </r>
  <r>
    <s v="Østdanmark"/>
    <x v="2"/>
    <n v="-47926.24035900968"/>
    <s v="Biogasanlæg"/>
    <x v="5"/>
  </r>
  <r>
    <s v="Østdanmark"/>
    <x v="2"/>
    <n v="0"/>
    <s v="Pyrolyseproces"/>
    <x v="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3107.1675348074377"/>
    <n v="0"/>
    <n v="0"/>
    <n v="996.63864324012138"/>
    <n v="996.63864324012138"/>
    <n v="4103.8061780475591"/>
    <n v="4.6870918752939668E-4"/>
    <n v="1.9299790074739866E-3"/>
    <n v="1.9299790074739866E-3"/>
    <n v="0"/>
    <n v="62.788234524127645"/>
    <n v="258.53978921699621"/>
    <n v="258.53978921699621"/>
    <n v="0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720643.40546424"/>
    <n v="0"/>
    <n v="0"/>
    <n v="-720643.40546424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6000958.9027446285"/>
    <n v="0"/>
    <n v="0"/>
    <n v="3057092.2712095287"/>
    <n v="3057092.2712095287"/>
    <n v="4066864.6068164087"/>
    <n v="1.5474695367635516"/>
    <n v="2.0586061953243981"/>
    <n v="2.0586061953243981"/>
    <n v="0"/>
    <n v="232339.01261192418"/>
    <n v="309081.71011804708"/>
    <n v="309081.71011804708"/>
    <n v="0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24570.40950584275"/>
    <n v="64498.475475191975"/>
    <n v="0"/>
    <n v="0"/>
    <n v="0"/>
    <n v="0"/>
    <n v="0"/>
    <n v="0"/>
    <n v="160071.93403065077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588648048.8630029"/>
    <n v="0"/>
    <n v="0"/>
    <n v="0"/>
    <n v="0"/>
    <n v="0"/>
    <n v="588648048.8630029"/>
    <n v="0"/>
    <n v="0"/>
    <n v="0"/>
    <n v="588648048.8630029"/>
    <n v="0"/>
    <n v="0"/>
    <n v="0"/>
    <n v="0"/>
    <n v="0"/>
    <n v="0"/>
    <n v="0"/>
    <n v="0"/>
    <n v="0"/>
    <x v="1"/>
  </r>
  <r>
    <x v="4"/>
    <s v=""/>
    <n v="0"/>
    <x v="1"/>
    <s v="Vestdanmark"/>
    <n v="26962363.95458553"/>
    <n v="0"/>
    <n v="0"/>
    <n v="0"/>
    <n v="0"/>
    <n v="24535385.043044623"/>
    <n v="0"/>
    <n v="0"/>
    <n v="2426978.9115409069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8342.726135545483"/>
    <n v="0"/>
    <n v="0"/>
    <n v="0"/>
    <n v="7508.4535219909349"/>
    <n v="631.66355026272936"/>
    <n v="0"/>
    <n v="0"/>
    <n v="202.60906329181853"/>
    <n v="202.60906329181853"/>
    <n v="7508.4535219909349"/>
    <n v="9.528501637550934E-5"/>
    <n v="3.6264356232326264E-3"/>
    <n v="3.5311506068571169E-3"/>
    <n v="9.528501637550953E-5"/>
    <n v="12.764370987384567"/>
    <n v="485.79694287281347"/>
    <n v="473.03257188542892"/>
    <n v="12.764370987384552"/>
    <n v="0"/>
    <x v="0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1120053.9852881476"/>
    <n v="0"/>
    <n v="0"/>
    <n v="0"/>
    <n v="0"/>
    <n v="0"/>
    <n v="0"/>
    <n v="0"/>
    <n v="1120053.9852881476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32105.259581147304"/>
    <n v="0"/>
    <n v="0"/>
    <n v="257923.29437791562"/>
    <n v="0"/>
    <n v="0"/>
    <n v="0"/>
    <n v="0"/>
    <n v="-225818.034796768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28408153.283469509"/>
    <n v="12237689.909258299"/>
    <n v="0"/>
    <n v="0"/>
    <n v="67006.096493213583"/>
    <n v="0"/>
    <n v="0"/>
    <n v="0"/>
    <n v="16103457.277717996"/>
    <n v="16103457.277717996"/>
    <n v="67006.096493213583"/>
    <n v="29.628348458841401"/>
    <n v="29.751631300626851"/>
    <n v="0.12328284178545135"/>
    <n v="29.628348458841401"/>
    <n v="4508968.0377610391"/>
    <n v="4527729.7447791398"/>
    <n v="18761.707018099805"/>
    <n v="4508968.03776104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217805.88377635827"/>
    <n v="0"/>
    <n v="0"/>
    <n v="270140.71358529059"/>
    <n v="0"/>
    <n v="0"/>
    <n v="0"/>
    <n v="0"/>
    <n v="-52334.82980893232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966243.8763621217"/>
    <n v="773085.89354292606"/>
    <n v="726974.95402379602"/>
    <n v="0"/>
    <n v="56224.531227026811"/>
    <n v="0"/>
    <n v="1409958.4975683726"/>
    <n v="0"/>
    <n v="0"/>
    <n v="0"/>
    <n v="1466183.0287953995"/>
    <n v="0"/>
    <n v="14.897222760854225"/>
    <n v="0.3241647837706722"/>
    <n v="14.573057977083552"/>
    <n v="0"/>
    <n v="1246255.5744760896"/>
    <n v="47790.851542972785"/>
    <n v="1198464.7229331168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n v="0"/>
    <x v="0"/>
  </r>
  <r>
    <x v="20"/>
    <s v=""/>
    <n v="0"/>
    <x v="1"/>
    <s v="Vestdanmark"/>
    <n v="713505.92728443746"/>
    <n v="0"/>
    <n v="0"/>
    <n v="0"/>
    <n v="0"/>
    <n v="0"/>
    <n v="0"/>
    <n v="0"/>
    <n v="713505.92728443746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1778992.2257450195"/>
    <n v="0"/>
    <n v="0"/>
    <n v="123531.68309679118"/>
    <n v="0"/>
    <n v="0"/>
    <n v="0"/>
    <n v="0"/>
    <n v="1655460.542648228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381619.5037339376"/>
    <n v="5879215.2019956233"/>
    <n v="0"/>
    <n v="295933.04302308214"/>
    <n v="2914.9101192356643"/>
    <n v="0"/>
    <n v="0"/>
    <n v="0"/>
    <n v="-796443.65140400361"/>
    <n v="0"/>
    <n v="2914.9101192356643"/>
    <n v="0"/>
    <n v="9.9831590709654593E-3"/>
    <n v="9.9831590709654593E-3"/>
    <n v="0"/>
    <n v="0"/>
    <n v="903.62213696305594"/>
    <n v="903.62213696305594"/>
    <n v="0"/>
    <n v="1"/>
    <x v="1"/>
  </r>
  <r>
    <x v="23"/>
    <s v=""/>
    <n v="0"/>
    <x v="1"/>
    <s v="Vestdanmark"/>
    <n v="0"/>
    <n v="0"/>
    <n v="0"/>
    <n v="0"/>
    <n v="0"/>
    <n v="530047.10760776233"/>
    <n v="0"/>
    <n v="0"/>
    <n v="-530047.10760776233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2983496.711335782"/>
    <n v="0"/>
    <n v="0"/>
    <n v="0"/>
    <n v="11685147.040202204"/>
    <n v="860156.65712599526"/>
    <n v="0"/>
    <n v="0"/>
    <n v="438193.01400758326"/>
    <n v="438193.01400758326"/>
    <n v="11685147.040202204"/>
    <n v="0.2218089217604986"/>
    <n v="6.1367135020404531"/>
    <n v="5.9149045802799547"/>
    <n v="0.22180892176049838"/>
    <n v="33302.66906457633"/>
    <n v="921373.84411994379"/>
    <n v="888071.17505536752"/>
    <n v="33302.669064576272"/>
    <n v="0"/>
    <x v="0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5903489.3992296383"/>
    <n v="5657053.7864699624"/>
    <n v="0"/>
    <n v="0"/>
    <n v="255215.75389295255"/>
    <n v="0"/>
    <n v="0"/>
    <n v="0"/>
    <n v="-8780.1411332767457"/>
    <n v="0"/>
    <n v="255215.75389295255"/>
    <n v="0"/>
    <n v="0.91622455647569978"/>
    <n v="0.91622455647569978"/>
    <n v="0"/>
    <n v="0"/>
    <n v="76564.726167885761"/>
    <n v="76564.726167885761"/>
    <n v="0"/>
    <n v="0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n v="0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025729.6203575714"/>
    <n v="0"/>
    <n v="0"/>
    <n v="0"/>
    <n v="0"/>
    <n v="0"/>
    <n v="0"/>
    <n v="0"/>
    <n v="1025729.6203575714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54484.73733408173"/>
    <n v="0"/>
    <n v="0"/>
    <n v="0"/>
    <n v="0"/>
    <n v="0"/>
    <n v="154484.73733408173"/>
    <n v="0"/>
    <n v="0"/>
    <n v="0"/>
    <n v="154484.73733408173"/>
    <n v="0"/>
    <n v="2.8425191669471035"/>
    <n v="0"/>
    <n v="2.8425191669471035"/>
    <n v="0"/>
    <n v="64111.165993643925"/>
    <n v="0"/>
    <n v="64111.165993643925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370490.27594297461"/>
    <n v="0"/>
    <n v="0"/>
    <n v="0"/>
    <n v="0"/>
    <n v="0"/>
    <n v="0"/>
    <n v="370490.27594297461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185245.1379714873"/>
    <n v="214099.10609126225"/>
    <n v="0"/>
    <n v="0"/>
    <n v="0"/>
    <n v="0"/>
    <n v="0"/>
    <n v="0"/>
    <n v="-28853.968119774945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18556.88830175188"/>
    <n v="0"/>
    <n v="0"/>
    <n v="0"/>
    <n v="0"/>
    <n v="0"/>
    <n v="118556.88830175188"/>
    <n v="0"/>
    <n v="0"/>
    <n v="0"/>
    <n v="118556.88830175188"/>
    <n v="0"/>
    <n v="4.1494910905613152"/>
    <n v="0"/>
    <n v="4.1494910905613152"/>
    <n v="0"/>
    <n v="0"/>
    <n v="0"/>
    <n v="0"/>
    <n v="0"/>
    <x v="1"/>
  </r>
  <r>
    <x v="38"/>
    <s v="Græs og urter"/>
    <n v="1"/>
    <x v="1"/>
    <s v="Vestdanmark"/>
    <n v="4923583.0761439931"/>
    <n v="841167.61765562883"/>
    <n v="0"/>
    <n v="0"/>
    <n v="21927.581361856195"/>
    <n v="0"/>
    <n v="0"/>
    <n v="0"/>
    <n v="4060487.8771265079"/>
    <n v="4060487.8771265079"/>
    <n v="21927.581361856195"/>
    <n v="11.020326518036427"/>
    <n v="11.07983885095576"/>
    <n v="5.9512332919332188E-2"/>
    <n v="11.020326518036427"/>
    <n v="812097.57542530168"/>
    <n v="816483.09169767285"/>
    <n v="4385.5162723712392"/>
    <n v="812097.57542530156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n v="0"/>
    <x v="0"/>
  </r>
  <r>
    <x v="42"/>
    <s v="Husdyrgødning"/>
    <n v="1"/>
    <x v="1"/>
    <s v="Vestdanmark"/>
    <n v="15074833.175881069"/>
    <n v="0"/>
    <n v="0"/>
    <n v="0"/>
    <n v="13567349.858292963"/>
    <n v="1507483.3175881065"/>
    <n v="0"/>
    <n v="0"/>
    <n v="0"/>
    <n v="0"/>
    <n v="13567349.858292963"/>
    <n v="0"/>
    <n v="5.8448143189526096"/>
    <n v="5.8448143189526096"/>
    <n v="0"/>
    <n v="0"/>
    <n v="678367.49291464826"/>
    <n v="678367.49291464826"/>
    <n v="0"/>
    <n v="0"/>
    <x v="1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16341.6308326661"/>
    <n v="0"/>
    <n v="0"/>
    <n v="0"/>
    <n v="0"/>
    <n v="0"/>
    <n v="2216341.6308326661"/>
    <n v="0"/>
    <n v="0"/>
    <n v="0"/>
    <n v="2216341.6308326661"/>
    <n v="0"/>
    <n v="32.122700134129985"/>
    <n v="0"/>
    <n v="32.122700134129985"/>
    <n v="0"/>
    <n v="1096165.6315826562"/>
    <n v="0"/>
    <n v="1096165.6315826562"/>
    <n v="0"/>
    <x v="1"/>
  </r>
  <r>
    <x v="47"/>
    <s v=""/>
    <n v="0"/>
    <x v="1"/>
    <s v="Vestdanmark"/>
    <n v="613803.17949896643"/>
    <n v="0"/>
    <n v="0"/>
    <n v="0"/>
    <n v="0"/>
    <n v="0"/>
    <n v="0"/>
    <n v="0"/>
    <n v="613803.17949896643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29440.63810667559"/>
    <n v="64498.475475191975"/>
    <n v="0"/>
    <n v="0"/>
    <n v="0"/>
    <n v="0"/>
    <n v="0"/>
    <n v="0"/>
    <n v="164942.1626314836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582772822.43758857"/>
    <n v="0"/>
    <n v="0"/>
    <n v="0"/>
    <n v="0"/>
    <n v="0"/>
    <n v="582772822.43758857"/>
    <n v="0"/>
    <n v="0"/>
    <n v="0"/>
    <n v="582772822.43758857"/>
    <n v="0"/>
    <n v="0"/>
    <n v="0"/>
    <n v="0"/>
    <n v="0"/>
    <n v="0"/>
    <n v="0"/>
    <n v="0"/>
    <n v="0"/>
    <x v="1"/>
  </r>
  <r>
    <x v="4"/>
    <s v=""/>
    <n v="0"/>
    <x v="2"/>
    <s v="Vestdanmark"/>
    <n v="26332104.996966466"/>
    <n v="0"/>
    <n v="0"/>
    <n v="0"/>
    <n v="0"/>
    <n v="23798796.499221969"/>
    <n v="0"/>
    <n v="0"/>
    <n v="2533308.4977444969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8615.5317224824212"/>
    <n v="0"/>
    <n v="0"/>
    <n v="0"/>
    <n v="7753.9785502341792"/>
    <n v="652.318830416526"/>
    <n v="0"/>
    <n v="0"/>
    <n v="209.23434183171594"/>
    <n v="209.23434183171594"/>
    <n v="7753.9785502341792"/>
    <n v="9.840081862003769E-5"/>
    <n v="3.74501939100967E-3"/>
    <n v="3.6466185723896321E-3"/>
    <n v="9.8400818620037866E-5"/>
    <n v="13.181763535398105"/>
    <n v="501.68241220015142"/>
    <n v="488.50064866475327"/>
    <n v="13.181763535398147"/>
    <n v="0"/>
    <x v="0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1145476.8591293055"/>
    <n v="0"/>
    <n v="0"/>
    <n v="0"/>
    <n v="0"/>
    <n v="0"/>
    <n v="0"/>
    <n v="0"/>
    <n v="1145476.8591293055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32793.097303413146"/>
    <n v="0"/>
    <n v="0"/>
    <n v="267978.92035102146"/>
    <n v="0"/>
    <n v="0"/>
    <n v="0"/>
    <n v="0"/>
    <n v="-235185.82304760831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29404263.983943939"/>
    <n v="12237689.909258299"/>
    <n v="0"/>
    <n v="0"/>
    <n v="66758.668734263701"/>
    <n v="0"/>
    <n v="0"/>
    <n v="0"/>
    <n v="17099815.405951377"/>
    <n v="17099815.405951377"/>
    <n v="66758.668734263701"/>
    <n v="31.46152287002479"/>
    <n v="31.584350475662244"/>
    <n v="0.12282760563745343"/>
    <n v="31.46152287002479"/>
    <n v="4787948.3136663856"/>
    <n v="4806640.7409119802"/>
    <n v="18692.427245593837"/>
    <n v="4787948.3136663865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220830.77573350482"/>
    <n v="0"/>
    <n v="0"/>
    <n v="280672.65868343826"/>
    <n v="0"/>
    <n v="0"/>
    <n v="0"/>
    <n v="0"/>
    <n v="-59841.882949933439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835213.6153094829"/>
    <n v="773085.89354292606"/>
    <n v="724013.50560011622"/>
    <n v="0"/>
    <n v="55778.456419553964"/>
    <n v="0"/>
    <n v="1282335.7597468863"/>
    <n v="0"/>
    <n v="0"/>
    <n v="0"/>
    <n v="1338114.2161664404"/>
    <n v="0"/>
    <n v="13.575566996115745"/>
    <n v="0.3215929216251952"/>
    <n v="13.25397407449055"/>
    <n v="0"/>
    <n v="1137397.0837414742"/>
    <n v="47411.687956620866"/>
    <n v="1089985.3957848533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n v="1"/>
    <x v="1"/>
  </r>
  <r>
    <x v="20"/>
    <s v=""/>
    <n v="0"/>
    <x v="2"/>
    <s v="Vestdanmark"/>
    <n v="729011.95091777691"/>
    <n v="0"/>
    <n v="0"/>
    <n v="0"/>
    <n v="0"/>
    <n v="0"/>
    <n v="0"/>
    <n v="0"/>
    <n v="729011.95091777691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1818589.8087592444"/>
    <n v="0"/>
    <n v="0"/>
    <n v="128347.79869443661"/>
    <n v="0"/>
    <n v="0"/>
    <n v="0"/>
    <n v="0"/>
    <n v="1690242.0100648077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5523408.7197105791"/>
    <n v="5879215.2019956233"/>
    <n v="0"/>
    <n v="307470.55071854044"/>
    <n v="2901.770538547059"/>
    <n v="0"/>
    <n v="0"/>
    <n v="0"/>
    <n v="-666178.80354213156"/>
    <n v="0"/>
    <n v="2901.770538547059"/>
    <n v="0"/>
    <n v="9.9381578466482823E-3"/>
    <n v="9.9381578466482823E-3"/>
    <n v="0"/>
    <n v="0"/>
    <n v="899.54886694958827"/>
    <n v="899.54886694958827"/>
    <n v="0"/>
    <n v="0"/>
    <x v="0"/>
  </r>
  <r>
    <x v="23"/>
    <s v=""/>
    <n v="0"/>
    <x v="2"/>
    <s v="Vestdanmark"/>
    <n v="0"/>
    <n v="0"/>
    <n v="0"/>
    <n v="0"/>
    <n v="0"/>
    <n v="489943.23944018129"/>
    <n v="0"/>
    <n v="0"/>
    <n v="-489943.23944018129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2735406.502549823"/>
    <n v="0"/>
    <n v="0"/>
    <n v="0"/>
    <n v="11461865.852294842"/>
    <n v="843720.68079392554"/>
    <n v="0"/>
    <n v="0"/>
    <n v="429819.96946105547"/>
    <n v="429819.96946105547"/>
    <n v="11461865.852294842"/>
    <n v="0.21757057034149169"/>
    <n v="6.0194524461146184"/>
    <n v="5.8018818757731268"/>
    <n v="0.21757057034149163"/>
    <n v="32666.317679040214"/>
    <n v="903768.12245344813"/>
    <n v="871101.804774408"/>
    <n v="32666.317679040134"/>
    <n v="0"/>
    <x v="0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6101831.6290168501"/>
    <n v="5657053.7864699624"/>
    <n v="0"/>
    <n v="0"/>
    <n v="254098.83749353027"/>
    <n v="0"/>
    <n v="0"/>
    <n v="0"/>
    <n v="190679.00505335722"/>
    <n v="190679.00505335722"/>
    <n v="254098.83749353027"/>
    <n v="0.6845376281415525"/>
    <n v="1.5967524547433263"/>
    <n v="0.91221482660177378"/>
    <n v="0.6845376281415525"/>
    <n v="57203.701516007168"/>
    <n v="133433.35276406622"/>
    <n v="76229.651248059075"/>
    <n v="57203.701516007146"/>
    <n v="0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n v="0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048609.453845398"/>
    <n v="0"/>
    <n v="0"/>
    <n v="0"/>
    <n v="0"/>
    <n v="0"/>
    <n v="0"/>
    <n v="0"/>
    <n v="1048609.453845398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58491.06742829576"/>
    <n v="0"/>
    <n v="0"/>
    <n v="0"/>
    <n v="0"/>
    <n v="0"/>
    <n v="158491.06742829576"/>
    <n v="0"/>
    <n v="0"/>
    <n v="0"/>
    <n v="158491.06742829576"/>
    <n v="0"/>
    <n v="2.9162356406806413"/>
    <n v="0"/>
    <n v="2.9162356406806413"/>
    <n v="0"/>
    <n v="65773.792982742743"/>
    <n v="0"/>
    <n v="65773.792982742743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378080.80621229054"/>
    <n v="0"/>
    <n v="0"/>
    <n v="0"/>
    <n v="0"/>
    <n v="0"/>
    <n v="0"/>
    <n v="378080.80621229054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189040.40310614527"/>
    <n v="214099.10609126225"/>
    <n v="0"/>
    <n v="0"/>
    <n v="0"/>
    <n v="0"/>
    <n v="0"/>
    <n v="0"/>
    <n v="-25058.702985116979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20985.85798793298"/>
    <n v="0"/>
    <n v="0"/>
    <n v="0"/>
    <n v="0"/>
    <n v="0"/>
    <n v="120985.85798793298"/>
    <n v="0"/>
    <n v="0"/>
    <n v="0"/>
    <n v="120985.85798793298"/>
    <n v="0"/>
    <n v="4.2345050295776536"/>
    <n v="0"/>
    <n v="4.2345050295776536"/>
    <n v="0"/>
    <n v="0"/>
    <n v="0"/>
    <n v="0"/>
    <n v="0"/>
    <x v="1"/>
  </r>
  <r>
    <x v="38"/>
    <s v="Græs og urter"/>
    <n v="1"/>
    <x v="2"/>
    <s v="Vestdanmark"/>
    <n v="5024574.3595380196"/>
    <n v="841167.61765562883"/>
    <n v="0"/>
    <n v="0"/>
    <n v="21821.426523041016"/>
    <n v="0"/>
    <n v="0"/>
    <n v="0"/>
    <n v="4161585.3153593498"/>
    <n v="4161585.3153593498"/>
    <n v="21821.426523041016"/>
    <n v="11.29470900929789"/>
    <n v="11.353933233738484"/>
    <n v="5.9224224440594241E-2"/>
    <n v="11.29470900929789"/>
    <n v="832317.06307187001"/>
    <n v="836681.34837647818"/>
    <n v="4364.2853046082037"/>
    <n v="832317.06307187001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n v="0"/>
    <x v="0"/>
  </r>
  <r>
    <x v="42"/>
    <s v="Husdyrgødning"/>
    <n v="1"/>
    <x v="2"/>
    <s v="Vestdanmark"/>
    <n v="14432291.767579561"/>
    <n v="0"/>
    <n v="0"/>
    <n v="0"/>
    <n v="12989062.590821605"/>
    <n v="1443229.1767579557"/>
    <n v="0"/>
    <n v="0"/>
    <n v="0"/>
    <n v="0"/>
    <n v="12989062.590821605"/>
    <n v="0"/>
    <n v="5.5956881641259484"/>
    <n v="5.5956881641259484"/>
    <n v="0"/>
    <n v="0"/>
    <n v="649453.12954108033"/>
    <n v="649453.12954108033"/>
    <n v="0"/>
    <n v="0"/>
    <x v="1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235295.9759470159"/>
    <n v="0"/>
    <n v="0"/>
    <n v="0"/>
    <n v="0"/>
    <n v="0"/>
    <n v="2235295.9759470159"/>
    <n v="0"/>
    <n v="0"/>
    <n v="0"/>
    <n v="2235295.9759470159"/>
    <n v="0"/>
    <n v="32.397416241013886"/>
    <n v="0"/>
    <n v="32.397416241013886"/>
    <n v="0"/>
    <n v="1105540.1347704616"/>
    <n v="0"/>
    <n v="1105540.1347704616"/>
    <n v="0"/>
    <x v="1"/>
  </r>
  <r>
    <x v="47"/>
    <s v=""/>
    <n v="0"/>
    <x v="2"/>
    <s v="Vestdanmark"/>
    <n v="687223.1739007252"/>
    <n v="0"/>
    <n v="0"/>
    <n v="0"/>
    <n v="0"/>
    <n v="0"/>
    <n v="0"/>
    <n v="0"/>
    <n v="687223.1739007252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255.68246519256246"/>
    <n v="0"/>
    <n v="0"/>
    <n v="82.011356759878481"/>
    <n v="82.011356759878481"/>
    <n v="337.693821952441"/>
    <n v="3.8569120970603255E-5"/>
    <n v="1.5881402752601349E-4"/>
    <n v="1.5881402752601349E-4"/>
    <n v="0"/>
    <n v="5.1667154758723441"/>
    <n v="21.274710783003783"/>
    <n v="21.274710783003783"/>
    <n v="0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87847.14852834243"/>
    <n v="0"/>
    <n v="0"/>
    <n v="-387847.14852834243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422965.94308870414"/>
    <n v="0"/>
    <n v="0"/>
    <n v="215473.21629047208"/>
    <n v="215473.21629047208"/>
    <n v="286645.05985025823"/>
    <n v="0.10907038735407407"/>
    <n v="0.14509686284560222"/>
    <n v="0.14509686284560222"/>
    <n v="0"/>
    <n v="16375.964438075878"/>
    <n v="21785.024548619625"/>
    <n v="21785.024548619625"/>
    <n v="0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66320.575580958233"/>
    <n v="7916.616753740097"/>
    <n v="0"/>
    <n v="0"/>
    <n v="0"/>
    <n v="0"/>
    <n v="0"/>
    <n v="0"/>
    <n v="58403.958827218135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24808531.78166662"/>
    <n v="0"/>
    <n v="0"/>
    <n v="0"/>
    <n v="0"/>
    <n v="0"/>
    <n v="124808531.78166662"/>
    <n v="0"/>
    <n v="0"/>
    <n v="0"/>
    <n v="124808531.78166662"/>
    <n v="0"/>
    <n v="0"/>
    <n v="0"/>
    <n v="0"/>
    <n v="0"/>
    <n v="0"/>
    <n v="0"/>
    <n v="0"/>
    <n v="0"/>
    <x v="1"/>
  </r>
  <r>
    <x v="4"/>
    <s v=""/>
    <n v="0"/>
    <x v="1"/>
    <s v="Østdanmark"/>
    <n v="4380881.7202554364"/>
    <n v="0"/>
    <n v="0"/>
    <n v="0"/>
    <n v="0"/>
    <n v="3986542.8719658842"/>
    <n v="0"/>
    <n v="0"/>
    <n v="394338.84828955214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700.20192515285464"/>
    <n v="0"/>
    <n v="0"/>
    <n v="0"/>
    <n v="630.18173263756921"/>
    <n v="53.01528861871612"/>
    <n v="0"/>
    <n v="0"/>
    <n v="17.004903896569317"/>
    <n v="17.004903896569317"/>
    <n v="630.18173263756921"/>
    <n v="7.997236253517585E-6"/>
    <n v="3.0436540329564001E-4"/>
    <n v="2.9636816704212241E-4"/>
    <n v="7.9972362535176019E-6"/>
    <n v="1.0713089454838669"/>
    <n v="40.77275810165073"/>
    <n v="39.701449156166859"/>
    <n v="1.0713089454838709"/>
    <n v="0"/>
    <x v="0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342757.79858178977"/>
    <n v="0"/>
    <n v="0"/>
    <n v="0"/>
    <n v="0"/>
    <n v="0"/>
    <n v="0"/>
    <n v="0"/>
    <n v="342757.79858178977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9754.2866982633659"/>
    <n v="0"/>
    <n v="0"/>
    <n v="223323.94265330929"/>
    <n v="0"/>
    <n v="0"/>
    <n v="0"/>
    <n v="0"/>
    <n v="-213569.65595504592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7915785.5258047525"/>
    <n v="1502068.0760117145"/>
    <n v="0"/>
    <n v="0"/>
    <n v="18670.90350678641"/>
    <n v="0"/>
    <n v="0"/>
    <n v="0"/>
    <n v="6395046.5462862514"/>
    <n v="6395046.5462862514"/>
    <n v="18670.90350678641"/>
    <n v="11.766086264348418"/>
    <n v="11.800438392937966"/>
    <n v="3.4352128589548649E-2"/>
    <n v="11.766086264348418"/>
    <n v="1790613.0329601506"/>
    <n v="1795840.8859420507"/>
    <n v="5227.8529819001951"/>
    <n v="1790613.0329601506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66219.734583524318"/>
    <n v="0"/>
    <n v="0"/>
    <n v="233902.44520004498"/>
    <n v="0"/>
    <n v="0"/>
    <n v="0"/>
    <n v="0"/>
    <n v="-167682.71061652066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888494.96140285372"/>
    <n v="94889.448034412562"/>
    <n v="103520.85960187271"/>
    <n v="0"/>
    <n v="19709.468772973203"/>
    <n v="0"/>
    <n v="670375.18499359523"/>
    <n v="0"/>
    <n v="0"/>
    <n v="0"/>
    <n v="690084.6537665684"/>
    <n v="0"/>
    <n v="7.0425038172445023"/>
    <n v="0.11363573058932792"/>
    <n v="6.9288680866551742"/>
    <n v="0"/>
    <n v="586571.95570158318"/>
    <n v="16753.048457027224"/>
    <n v="569818.907244556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n v="0"/>
    <x v="0"/>
  </r>
  <r>
    <x v="20"/>
    <s v=""/>
    <n v="0"/>
    <x v="1"/>
    <s v="Østdanmark"/>
    <n v="211505.55492892067"/>
    <n v="0"/>
    <n v="0"/>
    <n v="0"/>
    <n v="0"/>
    <n v="0"/>
    <n v="0"/>
    <n v="0"/>
    <n v="211505.55492892067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515263.04540454788"/>
    <n v="0"/>
    <n v="0"/>
    <n v="106960.41463921656"/>
    <n v="0"/>
    <n v="0"/>
    <n v="0"/>
    <n v="0"/>
    <n v="408302.63076533133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608239.7398434528"/>
    <n v="721621.60770550347"/>
    <n v="0"/>
    <n v="256234.83946537593"/>
    <n v="871.08988076433457"/>
    <n v="0"/>
    <n v="0"/>
    <n v="0"/>
    <n v="629512.20279180899"/>
    <n v="0"/>
    <n v="871.08988076433457"/>
    <n v="0"/>
    <n v="2.9833608890345396E-3"/>
    <n v="2.9833608890345396E-3"/>
    <n v="0"/>
    <n v="0"/>
    <n v="270.03786303694369"/>
    <n v="270.03786303694369"/>
    <n v="0"/>
    <n v="1"/>
    <x v="1"/>
  </r>
  <r>
    <x v="23"/>
    <s v=""/>
    <n v="0"/>
    <x v="1"/>
    <s v="Østdanmark"/>
    <n v="0"/>
    <n v="0"/>
    <n v="0"/>
    <n v="0"/>
    <n v="0"/>
    <n v="325909.00963477371"/>
    <n v="0"/>
    <n v="0"/>
    <n v="-325909.00963477371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922789.17266620893"/>
    <n v="0"/>
    <n v="0"/>
    <n v="0"/>
    <n v="830510.25539958803"/>
    <n v="61134.782689136329"/>
    <n v="0"/>
    <n v="0"/>
    <n v="31144.134577484569"/>
    <n v="31144.134577484569"/>
    <n v="830510.25539958803"/>
    <n v="1.5764849481776914E-2"/>
    <n v="0.43616083566249442"/>
    <n v="0.4203959861807175"/>
    <n v="1.5764849481776921E-2"/>
    <n v="2366.9542278888271"/>
    <n v="65485.733638257516"/>
    <n v="63118.77941036869"/>
    <n v="2366.9542278888257"/>
    <n v="0"/>
    <x v="0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730463.2966817433"/>
    <n v="694353.26110928762"/>
    <n v="0"/>
    <n v="0"/>
    <n v="74810.246107047482"/>
    <n v="0"/>
    <n v="0"/>
    <n v="0"/>
    <n v="961299.78946540831"/>
    <n v="952519.64833213156"/>
    <n v="74810.246107047482"/>
    <n v="3.4195455375123527"/>
    <n v="3.6881143210366529"/>
    <n v="0.26856878352430047"/>
    <n v="3.4195455375123522"/>
    <n v="285755.89449963946"/>
    <n v="308198.96833175368"/>
    <n v="22443.073832114245"/>
    <n v="285755.89449963946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n v="0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301497.09442768525"/>
    <n v="0"/>
    <n v="0"/>
    <n v="0"/>
    <n v="0"/>
    <n v="0"/>
    <n v="0"/>
    <n v="0"/>
    <n v="301497.09442768525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2074.872472772768"/>
    <n v="0"/>
    <n v="0"/>
    <n v="0"/>
    <n v="0"/>
    <n v="0"/>
    <n v="42074.872472772768"/>
    <n v="0"/>
    <n v="0"/>
    <n v="0"/>
    <n v="42074.872472772768"/>
    <n v="0"/>
    <n v="0.77417765349901879"/>
    <n v="0"/>
    <n v="0.77417765349901879"/>
    <n v="0"/>
    <n v="17461.0720762007"/>
    <n v="0"/>
    <n v="17461.0720762007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111531.10220983687"/>
    <n v="0"/>
    <n v="0"/>
    <n v="0"/>
    <n v="0"/>
    <n v="0"/>
    <n v="0"/>
    <n v="111531.1022098368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55765.551104918435"/>
    <n v="26278.769501998377"/>
    <n v="0"/>
    <n v="0"/>
    <n v="0"/>
    <n v="0"/>
    <n v="0"/>
    <n v="0"/>
    <n v="29486.781602920059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35689.952707147801"/>
    <n v="0"/>
    <n v="0"/>
    <n v="0"/>
    <n v="0"/>
    <n v="0"/>
    <n v="35689.952707147801"/>
    <n v="0"/>
    <n v="0"/>
    <n v="0"/>
    <n v="35689.952707147801"/>
    <n v="0"/>
    <n v="1.249148344750173"/>
    <n v="0"/>
    <n v="1.249148344750173"/>
    <n v="0"/>
    <n v="0"/>
    <n v="0"/>
    <n v="0"/>
    <n v="0"/>
    <x v="1"/>
  </r>
  <r>
    <x v="38"/>
    <s v="Græs og urter"/>
    <n v="1"/>
    <x v="1"/>
    <s v="Østdanmark"/>
    <n v="1508318.1394402247"/>
    <n v="103245.8768300271"/>
    <n v="0"/>
    <n v="0"/>
    <n v="6717.4186381438076"/>
    <n v="0"/>
    <n v="0"/>
    <n v="0"/>
    <n v="1398354.8439720538"/>
    <n v="1398354.8439720538"/>
    <n v="6717.4186381438076"/>
    <n v="3.795190980733913"/>
    <n v="3.813422323614581"/>
    <n v="1.8231342880667821E-2"/>
    <n v="3.795190980733913"/>
    <n v="279670.96879441076"/>
    <n v="281014.45252203959"/>
    <n v="1343.4837276287617"/>
    <n v="279670.96879441082"/>
    <n v="0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n v="0"/>
    <x v="0"/>
  </r>
  <r>
    <x v="42"/>
    <s v="Husdyrgødning"/>
    <n v="1"/>
    <x v="1"/>
    <s v="Østdanmark"/>
    <n v="2184299.8380428459"/>
    <n v="0"/>
    <n v="0"/>
    <n v="0"/>
    <n v="1965869.8542385614"/>
    <n v="218429.98380428454"/>
    <n v="0"/>
    <n v="0"/>
    <n v="0"/>
    <n v="0"/>
    <n v="1965869.8542385614"/>
    <n v="0"/>
    <n v="0.84689673320597236"/>
    <n v="0.84689673320597236"/>
    <n v="0"/>
    <n v="0"/>
    <n v="98293.492711928076"/>
    <n v="98293.492711928076"/>
    <n v="0"/>
    <n v="0"/>
    <x v="1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7088.73530897219"/>
    <n v="0"/>
    <n v="0"/>
    <n v="0"/>
    <n v="0"/>
    <n v="0"/>
    <n v="647088.73530897219"/>
    <n v="0"/>
    <n v="0"/>
    <n v="0"/>
    <n v="647088.73530897219"/>
    <n v="0"/>
    <n v="9.3786251701161518"/>
    <n v="0"/>
    <n v="9.3786251701161518"/>
    <n v="0"/>
    <n v="320039.30367156246"/>
    <n v="0"/>
    <n v="320039.30367156246"/>
    <n v="0"/>
    <x v="1"/>
  </r>
  <r>
    <x v="47"/>
    <s v=""/>
    <n v="0"/>
    <x v="1"/>
    <s v="Østdanmark"/>
    <n v="178637.61286448501"/>
    <n v="0"/>
    <n v="0"/>
    <n v="0"/>
    <n v="0"/>
    <n v="0"/>
    <n v="0"/>
    <n v="0"/>
    <n v="178637.61286448501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69084.929808935805"/>
    <n v="7916.616753740097"/>
    <n v="0"/>
    <n v="0"/>
    <n v="0"/>
    <n v="0"/>
    <n v="0"/>
    <n v="0"/>
    <n v="61168.313055195707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25542746.35900024"/>
    <n v="0"/>
    <n v="0"/>
    <n v="0"/>
    <n v="0"/>
    <n v="0"/>
    <n v="125542746.35900024"/>
    <n v="0"/>
    <n v="0"/>
    <n v="0"/>
    <n v="125542746.35900024"/>
    <n v="0"/>
    <n v="0"/>
    <n v="0"/>
    <n v="0"/>
    <n v="0"/>
    <n v="0"/>
    <n v="0"/>
    <n v="0"/>
    <n v="0"/>
    <x v="1"/>
  </r>
  <r>
    <x v="4"/>
    <s v=""/>
    <n v="0"/>
    <x v="2"/>
    <s v="Østdanmark"/>
    <n v="4357755.2271491131"/>
    <n v="0"/>
    <n v="0"/>
    <n v="0"/>
    <n v="0"/>
    <n v="3938512.6960526006"/>
    <n v="0"/>
    <n v="0"/>
    <n v="419242.53109651245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723.09839736855315"/>
    <n v="0"/>
    <n v="0"/>
    <n v="0"/>
    <n v="650.78855763169781"/>
    <n v="54.748878657904719"/>
    <n v="0"/>
    <n v="0"/>
    <n v="17.560961078950641"/>
    <n v="17.560961078950641"/>
    <n v="650.78855763169781"/>
    <n v="8.2587443858196973E-6"/>
    <n v="3.1431809515443089E-4"/>
    <n v="3.0605935076861117E-4"/>
    <n v="8.2587443858197227E-6"/>
    <n v="1.1063405479738904"/>
    <n v="42.106019678770856"/>
    <n v="40.999679130796963"/>
    <n v="1.1063405479738933"/>
    <n v="0"/>
    <x v="0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357304.25157150667"/>
    <n v="0"/>
    <n v="0"/>
    <n v="0"/>
    <n v="0"/>
    <n v="0"/>
    <n v="0"/>
    <n v="0"/>
    <n v="357304.25157150667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0163.089759541812"/>
    <n v="0"/>
    <n v="0"/>
    <n v="233795.01599247381"/>
    <n v="0"/>
    <n v="0"/>
    <n v="0"/>
    <n v="0"/>
    <n v="-223631.92623293199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8332694.7229536632"/>
    <n v="1502068.0760117143"/>
    <n v="0"/>
    <n v="0"/>
    <n v="18918.331265736317"/>
    <n v="0"/>
    <n v="0"/>
    <n v="0"/>
    <n v="6811708.3156762123"/>
    <n v="6811708.3156762123"/>
    <n v="18918.331265736317"/>
    <n v="12.532691837304771"/>
    <n v="12.567499202042317"/>
    <n v="3.4807364737546607E-2"/>
    <n v="12.532691837304771"/>
    <n v="1907278.3283893396"/>
    <n v="1912575.4611437458"/>
    <n v="5297.1327544061696"/>
    <n v="1907278.3283893396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68513.709869912811"/>
    <n v="0"/>
    <n v="0"/>
    <n v="244869.51675001203"/>
    <n v="0"/>
    <n v="0"/>
    <n v="0"/>
    <n v="0"/>
    <n v="-176355.80688009923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865944.52172148146"/>
    <n v="94889.448034412548"/>
    <n v="103062.42440743271"/>
    <n v="0"/>
    <n v="20155.543580446039"/>
    <n v="0"/>
    <n v="647837.10569919006"/>
    <n v="0"/>
    <n v="0"/>
    <n v="0"/>
    <n v="667992.6492796361"/>
    <n v="0"/>
    <n v="6.8121264565469533"/>
    <n v="0.11620759273480487"/>
    <n v="6.6959188638121487"/>
    <n v="0"/>
    <n v="567793.75188769063"/>
    <n v="17132.212043379132"/>
    <n v="550661.53984431154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n v="1"/>
    <x v="1"/>
  </r>
  <r>
    <x v="20"/>
    <s v=""/>
    <n v="0"/>
    <x v="2"/>
    <s v="Østdanmark"/>
    <n v="220334.04456617165"/>
    <n v="0"/>
    <n v="0"/>
    <n v="0"/>
    <n v="0"/>
    <n v="0"/>
    <n v="0"/>
    <n v="0"/>
    <n v="220334.04456617165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536733.47505489504"/>
    <n v="0"/>
    <n v="0"/>
    <n v="111975.50765955324"/>
    <n v="0"/>
    <n v="0"/>
    <n v="0"/>
    <n v="0"/>
    <n v="424757.96739534178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683096.8033949384"/>
    <n v="721621.60770550335"/>
    <n v="0"/>
    <n v="268249.01834925939"/>
    <n v="884.229461452941"/>
    <n v="0"/>
    <n v="0"/>
    <n v="0"/>
    <n v="692341.94787872268"/>
    <n v="26163.144336591125"/>
    <n v="884.229461452941"/>
    <n v="8.9605106512617494E-2"/>
    <n v="9.2633468625969217E-2"/>
    <n v="3.0283621133517201E-3"/>
    <n v="8.9605106512617494E-2"/>
    <n v="8110.5747443432492"/>
    <n v="8384.6858773936601"/>
    <n v="274.11113305041169"/>
    <n v="8110.5747443432483"/>
    <n v="0"/>
    <x v="0"/>
  </r>
  <r>
    <x v="23"/>
    <s v=""/>
    <n v="0"/>
    <x v="2"/>
    <s v="Østdanmark"/>
    <n v="0"/>
    <n v="0"/>
    <n v="0"/>
    <n v="0"/>
    <n v="0"/>
    <n v="315916.79839441256"/>
    <n v="0"/>
    <n v="0"/>
    <n v="-315916.79839441256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905156.40673249087"/>
    <n v="0"/>
    <n v="0"/>
    <n v="0"/>
    <n v="814640.76605924184"/>
    <n v="59966.611946027508"/>
    <n v="0"/>
    <n v="0"/>
    <n v="30549.028727221536"/>
    <n v="30549.028727221536"/>
    <n v="814640.76605924184"/>
    <n v="1.5463612851432272E-2"/>
    <n v="0.42782662222295997"/>
    <n v="0.4123630093715277"/>
    <n v="1.5463612851432273E-2"/>
    <n v="2321.7261832688368"/>
    <n v="64234.424403771212"/>
    <n v="61912.698220502381"/>
    <n v="2321.7261832688309"/>
    <n v="0"/>
    <x v="0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823285.6405542411"/>
    <n v="694353.2611092875"/>
    <n v="0"/>
    <n v="0"/>
    <n v="75927.162506469729"/>
    <n v="0"/>
    <n v="0"/>
    <n v="0"/>
    <n v="1053005.216938484"/>
    <n v="1053005.216938484"/>
    <n v="75927.162506469729"/>
    <n v="3.780288728809158"/>
    <n v="4.0528672422073839"/>
    <n v="0.27257851339822636"/>
    <n v="3.7802887288091576"/>
    <n v="315901.56508154521"/>
    <n v="338679.71383348614"/>
    <n v="22778.148751940917"/>
    <n v="315901.56508154521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n v="0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314116.08613367198"/>
    <n v="0"/>
    <n v="0"/>
    <n v="0"/>
    <n v="0"/>
    <n v="0"/>
    <n v="0"/>
    <n v="0"/>
    <n v="314116.08613367198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3858.564110476924"/>
    <n v="0"/>
    <n v="0"/>
    <n v="0"/>
    <n v="0"/>
    <n v="0"/>
    <n v="43858.564110476924"/>
    <n v="0"/>
    <n v="0"/>
    <n v="0"/>
    <n v="43858.564110476924"/>
    <n v="0"/>
    <n v="0.8069975796327753"/>
    <n v="0"/>
    <n v="0.8069975796327753"/>
    <n v="0"/>
    <n v="18201.304105847925"/>
    <n v="0"/>
    <n v="18201.304105847925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16086.90219815794"/>
    <n v="0"/>
    <n v="0"/>
    <n v="0"/>
    <n v="0"/>
    <n v="0"/>
    <n v="0"/>
    <n v="116086.90219815794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58043.451099078971"/>
    <n v="26278.769501998373"/>
    <n v="0"/>
    <n v="0"/>
    <n v="0"/>
    <n v="0"/>
    <n v="0"/>
    <n v="0"/>
    <n v="31764.681597080598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37147.808703410541"/>
    <n v="0"/>
    <n v="0"/>
    <n v="0"/>
    <n v="0"/>
    <n v="0"/>
    <n v="37147.808703410541"/>
    <n v="0"/>
    <n v="0"/>
    <n v="0"/>
    <n v="37147.808703410541"/>
    <n v="0"/>
    <n v="1.3001733046193689"/>
    <n v="0"/>
    <n v="1.3001733046193689"/>
    <n v="0"/>
    <n v="0"/>
    <n v="0"/>
    <n v="0"/>
    <n v="0"/>
    <x v="1"/>
  </r>
  <r>
    <x v="38"/>
    <s v="Græs og urter"/>
    <n v="1"/>
    <x v="2"/>
    <s v="Østdanmark"/>
    <n v="1571187.4884325294"/>
    <n v="103245.87683002709"/>
    <n v="0"/>
    <n v="0"/>
    <n v="6823.5734769589817"/>
    <n v="0"/>
    <n v="0"/>
    <n v="0"/>
    <n v="1461118.0381255434"/>
    <n v="1461118.0381255434"/>
    <n v="6823.5734769589817"/>
    <n v="3.96553280019425"/>
    <n v="3.9840522515536558"/>
    <n v="1.8519451359405754E-2"/>
    <n v="3.96553280019425"/>
    <n v="292223.60762510868"/>
    <n v="293588.32232050051"/>
    <n v="1364.7146953917963"/>
    <n v="292223.60762510874"/>
    <n v="0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n v="0"/>
    <x v="0"/>
  </r>
  <r>
    <x v="42"/>
    <s v="Husdyrgødning"/>
    <n v="1"/>
    <x v="2"/>
    <s v="Østdanmark"/>
    <n v="2091197.4416372697"/>
    <n v="0"/>
    <n v="0"/>
    <n v="0"/>
    <n v="1882077.6974735428"/>
    <n v="209119.74416372692"/>
    <n v="0"/>
    <n v="0"/>
    <n v="0"/>
    <n v="0"/>
    <n v="1882077.6974735428"/>
    <n v="0"/>
    <n v="0.8107990720716024"/>
    <n v="0.8107990720716024"/>
    <n v="0"/>
    <n v="0"/>
    <n v="94103.884873677147"/>
    <n v="94103.884873677147"/>
    <n v="0"/>
    <n v="0"/>
    <x v="1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624603.98534617631"/>
    <n v="0"/>
    <n v="0"/>
    <n v="0"/>
    <n v="0"/>
    <n v="0"/>
    <n v="624603.98534617631"/>
    <n v="0"/>
    <n v="0"/>
    <n v="0"/>
    <n v="624603.98534617631"/>
    <n v="0"/>
    <n v="9.0527408973136652"/>
    <n v="0"/>
    <n v="9.0527408973136652"/>
    <n v="0"/>
    <n v="308918.72108579637"/>
    <n v="0"/>
    <n v="308918.72108579637"/>
    <n v="0"/>
    <x v="1"/>
  </r>
  <r>
    <x v="47"/>
    <s v=""/>
    <n v="0"/>
    <x v="2"/>
    <s v="Østdanmark"/>
    <n v="184169.19735067486"/>
    <n v="0"/>
    <n v="0"/>
    <n v="0"/>
    <n v="0"/>
    <n v="0"/>
    <n v="0"/>
    <n v="0"/>
    <n v="184169.19735067486"/>
    <n v="0"/>
    <n v="0"/>
    <n v="0"/>
    <n v="0"/>
    <n v="0"/>
    <n v="0"/>
    <n v="0"/>
    <n v="0"/>
    <n v="0"/>
    <n v="0"/>
    <n v="0"/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3107.1675348074377"/>
    <n v="0"/>
    <n v="0"/>
    <n v="996.63864324012138"/>
    <n v="996.63864324012138"/>
    <n v="4103.8061780475591"/>
    <n v="4.6870918752939668E-4"/>
    <n v="1.9299790074739866E-3"/>
    <n v="1.9299790074739866E-3"/>
    <n v="0"/>
    <n v="62.788234524127645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720643.40546424"/>
    <n v="0"/>
    <n v="0"/>
    <n v="-720643.40546424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6000958.9027446285"/>
    <n v="0"/>
    <n v="0"/>
    <n v="3057092.2712095287"/>
    <n v="3057092.2712095287"/>
    <n v="4066864.6068164087"/>
    <n v="1.5474695367635516"/>
    <n v="2.0586061953243981"/>
    <n v="2.0586061953243981"/>
    <n v="0"/>
    <n v="232339.01261192418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224570.40950584275"/>
    <n v="64498.475475191975"/>
    <n v="0"/>
    <n v="0"/>
    <n v="0"/>
    <n v="0"/>
    <n v="0"/>
    <n v="0"/>
    <n v="160071.93403065077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588648048.8630029"/>
    <n v="0"/>
    <n v="0"/>
    <n v="0"/>
    <n v="0"/>
    <n v="0"/>
    <n v="588648048.8630029"/>
    <n v="0"/>
    <n v="0"/>
    <n v="0"/>
    <n v="588648048.8630029"/>
    <n v="0"/>
    <n v="0"/>
    <n v="0"/>
    <n v="0"/>
    <n v="0"/>
    <n v="0"/>
    <n v="0"/>
    <n v="0"/>
    <x v="0"/>
  </r>
  <r>
    <x v="4"/>
    <s v=""/>
    <n v="0"/>
    <x v="1"/>
    <s v="Vestdanmark"/>
    <n v="26962363.95458553"/>
    <n v="0"/>
    <n v="0"/>
    <n v="0"/>
    <n v="0"/>
    <n v="24535385.043044623"/>
    <n v="0"/>
    <n v="0"/>
    <n v="2426978.9115409069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8342.726135545483"/>
    <n v="0"/>
    <n v="0"/>
    <n v="0"/>
    <n v="7508.4535219909349"/>
    <n v="631.66355026272936"/>
    <n v="0"/>
    <n v="0"/>
    <n v="202.60906329181853"/>
    <n v="202.60906329181853"/>
    <n v="7508.4535219909349"/>
    <n v="9.528501637550934E-5"/>
    <n v="3.6264356232326264E-3"/>
    <n v="3.5311506068571169E-3"/>
    <n v="9.528501637550953E-5"/>
    <n v="12.764370987384567"/>
    <n v="485.79694287281347"/>
    <n v="473.03257188542892"/>
    <n v="12.764370987384552"/>
    <x v="0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x v="0"/>
  </r>
  <r>
    <x v="10"/>
    <s v=""/>
    <n v="0"/>
    <x v="1"/>
    <s v="Vestdanmark"/>
    <n v="1120053.9852881476"/>
    <n v="0"/>
    <n v="0"/>
    <n v="0"/>
    <n v="0"/>
    <n v="0"/>
    <n v="0"/>
    <n v="0"/>
    <n v="1120053.9852881476"/>
    <n v="0"/>
    <n v="0"/>
    <n v="0"/>
    <n v="0"/>
    <n v="0"/>
    <n v="0"/>
    <n v="0"/>
    <n v="0"/>
    <n v="0"/>
    <n v="0"/>
    <x v="0"/>
  </r>
  <r>
    <x v="11"/>
    <s v=""/>
    <n v="0"/>
    <x v="1"/>
    <s v="Vestdanmark"/>
    <n v="32105.259581147304"/>
    <n v="0"/>
    <n v="0"/>
    <n v="257923.29437791562"/>
    <n v="0"/>
    <n v="0"/>
    <n v="0"/>
    <n v="0"/>
    <n v="-225818.034796768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28408153.283469509"/>
    <n v="12237689.909258299"/>
    <n v="0"/>
    <n v="0"/>
    <n v="67006.096493213583"/>
    <n v="0"/>
    <n v="0"/>
    <n v="0"/>
    <n v="16103457.277717996"/>
    <n v="16103457.277717996"/>
    <n v="67006.096493213583"/>
    <n v="29.628348458841401"/>
    <n v="29.751631300626851"/>
    <n v="0.12328284178545135"/>
    <n v="29.628348458841401"/>
    <n v="4508968.0377610391"/>
    <n v="4527729.7447791398"/>
    <n v="18761.707018099805"/>
    <n v="4508968.03776104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217805.88377635827"/>
    <n v="0"/>
    <n v="0"/>
    <n v="270140.71358529059"/>
    <n v="0"/>
    <n v="0"/>
    <n v="0"/>
    <n v="0"/>
    <n v="-52334.82980893232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966243.8763621217"/>
    <n v="773085.89354292606"/>
    <n v="726974.95402379602"/>
    <n v="0"/>
    <n v="56224.531227026811"/>
    <n v="0"/>
    <n v="1409958.4975683726"/>
    <n v="0"/>
    <n v="0"/>
    <n v="0"/>
    <n v="1466183.0287953995"/>
    <n v="0"/>
    <n v="14.897222760854225"/>
    <n v="0.3241647837706722"/>
    <n v="14.573057977083552"/>
    <n v="0"/>
    <n v="1246255.5744760896"/>
    <n v="47790.851542972785"/>
    <n v="1198464.7229331168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x v="0"/>
  </r>
  <r>
    <x v="20"/>
    <s v=""/>
    <n v="0"/>
    <x v="1"/>
    <s v="Vestdanmark"/>
    <n v="713505.92728443746"/>
    <n v="0"/>
    <n v="0"/>
    <n v="0"/>
    <n v="0"/>
    <n v="0"/>
    <n v="0"/>
    <n v="0"/>
    <n v="713505.92728443746"/>
    <n v="0"/>
    <n v="0"/>
    <n v="0"/>
    <n v="0"/>
    <n v="0"/>
    <n v="0"/>
    <n v="0"/>
    <n v="0"/>
    <n v="0"/>
    <n v="0"/>
    <x v="0"/>
  </r>
  <r>
    <x v="21"/>
    <s v=""/>
    <n v="0"/>
    <x v="1"/>
    <s v="Vestdanmark"/>
    <n v="1778992.2257450195"/>
    <n v="0"/>
    <n v="0"/>
    <n v="123531.68309679118"/>
    <n v="0"/>
    <n v="0"/>
    <n v="0"/>
    <n v="0"/>
    <n v="1655460.5426482284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381619.5037339376"/>
    <n v="5879215.2019956233"/>
    <n v="0"/>
    <n v="295933.04302308214"/>
    <n v="2914.9101192356643"/>
    <n v="0"/>
    <n v="0"/>
    <n v="0"/>
    <n v="-796443.65140400361"/>
    <n v="0"/>
    <n v="2914.9101192356643"/>
    <n v="0"/>
    <n v="9.9831590709654593E-3"/>
    <n v="9.9831590709654593E-3"/>
    <n v="0"/>
    <n v="0"/>
    <n v="903.62213696305594"/>
    <n v="903.62213696305594"/>
    <n v="0"/>
    <x v="1"/>
  </r>
  <r>
    <x v="23"/>
    <s v=""/>
    <n v="0"/>
    <x v="1"/>
    <s v="Vestdanmark"/>
    <n v="0"/>
    <n v="0"/>
    <n v="0"/>
    <n v="0"/>
    <n v="0"/>
    <n v="530047.10760776233"/>
    <n v="0"/>
    <n v="0"/>
    <n v="-530047.10760776233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2983496.711335782"/>
    <n v="0"/>
    <n v="0"/>
    <n v="0"/>
    <n v="11685147.040202204"/>
    <n v="860156.65712599526"/>
    <n v="0"/>
    <n v="0"/>
    <n v="438193.01400758326"/>
    <n v="438193.01400758326"/>
    <n v="11685147.040202204"/>
    <n v="0.2218089217604986"/>
    <n v="6.1367135020404531"/>
    <n v="5.9149045802799547"/>
    <n v="0.22180892176049838"/>
    <n v="33302.66906457633"/>
    <n v="921373.84411994379"/>
    <n v="888071.17505536752"/>
    <n v="33302.669064576272"/>
    <x v="0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5903489.3992296383"/>
    <n v="5657053.7864699624"/>
    <n v="0"/>
    <n v="0"/>
    <n v="255215.75389295255"/>
    <n v="0"/>
    <n v="0"/>
    <n v="0"/>
    <n v="-8780.1411332767457"/>
    <n v="0"/>
    <n v="255215.75389295255"/>
    <n v="0"/>
    <n v="0.91622455647569978"/>
    <n v="0.91622455647569978"/>
    <n v="0"/>
    <n v="0"/>
    <n v="76564.726167885761"/>
    <n v="76564.726167885761"/>
    <n v="0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x v="0"/>
  </r>
  <r>
    <x v="30"/>
    <s v=""/>
    <n v="0"/>
    <x v="1"/>
    <s v="Vestdanmark"/>
    <n v="1025729.6203575714"/>
    <n v="0"/>
    <n v="0"/>
    <n v="0"/>
    <n v="0"/>
    <n v="0"/>
    <n v="0"/>
    <n v="0"/>
    <n v="1025729.6203575714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54484.73733408173"/>
    <n v="0"/>
    <n v="0"/>
    <n v="0"/>
    <n v="0"/>
    <n v="0"/>
    <n v="154484.73733408173"/>
    <n v="0"/>
    <n v="0"/>
    <n v="0"/>
    <n v="154484.73733408173"/>
    <n v="0"/>
    <n v="2.8425191669471035"/>
    <n v="0"/>
    <n v="2.8425191669471035"/>
    <n v="0"/>
    <n v="64111.165993643925"/>
    <n v="0"/>
    <n v="64111.165993643925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x v="0"/>
  </r>
  <r>
    <x v="35"/>
    <s v=""/>
    <n v="0"/>
    <x v="1"/>
    <s v="Vestdanmark"/>
    <n v="370490.27594297461"/>
    <n v="0"/>
    <n v="0"/>
    <n v="0"/>
    <n v="0"/>
    <n v="0"/>
    <n v="0"/>
    <n v="370490.27594297461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185245.1379714873"/>
    <n v="214099.10609126225"/>
    <n v="0"/>
    <n v="0"/>
    <n v="0"/>
    <n v="0"/>
    <n v="0"/>
    <n v="0"/>
    <n v="-28853.968119774945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18556.88830175188"/>
    <n v="0"/>
    <n v="0"/>
    <n v="0"/>
    <n v="0"/>
    <n v="0"/>
    <n v="118556.88830175188"/>
    <n v="0"/>
    <n v="0"/>
    <n v="0"/>
    <n v="118556.88830175188"/>
    <n v="0"/>
    <n v="4.1494910905613152"/>
    <n v="0"/>
    <n v="4.1494910905613152"/>
    <n v="0"/>
    <n v="0"/>
    <n v="0"/>
    <n v="0"/>
    <x v="0"/>
  </r>
  <r>
    <x v="38"/>
    <s v="Græs og urter"/>
    <n v="1"/>
    <x v="1"/>
    <s v="Vestdanmark"/>
    <n v="4923583.0761439931"/>
    <n v="841167.61765562883"/>
    <n v="0"/>
    <n v="0"/>
    <n v="21927.581361856195"/>
    <n v="0"/>
    <n v="0"/>
    <n v="0"/>
    <n v="4060487.8771265079"/>
    <n v="4060487.8771265079"/>
    <n v="21927.581361856195"/>
    <n v="11.020326518036427"/>
    <n v="11.07983885095576"/>
    <n v="5.9512332919332188E-2"/>
    <n v="11.020326518036427"/>
    <n v="812097.57542530168"/>
    <n v="816483.09169767285"/>
    <n v="4385.5162723712392"/>
    <n v="812097.57542530156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x v="0"/>
  </r>
  <r>
    <x v="42"/>
    <s v="Husdyrgødning"/>
    <n v="1"/>
    <x v="1"/>
    <s v="Vestdanmark"/>
    <n v="15074833.175881069"/>
    <n v="0"/>
    <n v="0"/>
    <n v="0"/>
    <n v="13567349.858292963"/>
    <n v="1507483.3175881065"/>
    <n v="0"/>
    <n v="0"/>
    <n v="0"/>
    <n v="0"/>
    <n v="13567349.858292963"/>
    <n v="0"/>
    <n v="5.8448143189526096"/>
    <n v="5.8448143189526096"/>
    <n v="0"/>
    <n v="0"/>
    <n v="678367.49291464826"/>
    <n v="678367.49291464826"/>
    <n v="0"/>
    <x v="0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16341.6308326661"/>
    <n v="0"/>
    <n v="0"/>
    <n v="0"/>
    <n v="0"/>
    <n v="0"/>
    <n v="2216341.6308326661"/>
    <n v="0"/>
    <n v="0"/>
    <n v="0"/>
    <n v="2216341.6308326661"/>
    <n v="0"/>
    <n v="32.122700134129985"/>
    <n v="0"/>
    <n v="32.122700134129985"/>
    <n v="0"/>
    <n v="1096165.6315826562"/>
    <n v="0"/>
    <n v="1096165.6315826562"/>
    <x v="0"/>
  </r>
  <r>
    <x v="47"/>
    <s v=""/>
    <n v="0"/>
    <x v="1"/>
    <s v="Vestdanmark"/>
    <n v="613803.17949896643"/>
    <n v="0"/>
    <n v="0"/>
    <n v="0"/>
    <n v="0"/>
    <n v="0"/>
    <n v="0"/>
    <n v="0"/>
    <n v="613803.17949896643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229440.63810667559"/>
    <n v="64498.475475191975"/>
    <n v="0"/>
    <n v="0"/>
    <n v="0"/>
    <n v="0"/>
    <n v="0"/>
    <n v="0"/>
    <n v="164942.1626314836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582772822.43758857"/>
    <n v="0"/>
    <n v="0"/>
    <n v="0"/>
    <n v="0"/>
    <n v="0"/>
    <n v="582772822.43758857"/>
    <n v="0"/>
    <n v="0"/>
    <n v="0"/>
    <n v="582772822.43758857"/>
    <n v="0"/>
    <n v="0"/>
    <n v="0"/>
    <n v="0"/>
    <n v="0"/>
    <n v="0"/>
    <n v="0"/>
    <n v="0"/>
    <x v="0"/>
  </r>
  <r>
    <x v="4"/>
    <s v=""/>
    <n v="0"/>
    <x v="2"/>
    <s v="Vestdanmark"/>
    <n v="26332104.996966466"/>
    <n v="0"/>
    <n v="0"/>
    <n v="0"/>
    <n v="0"/>
    <n v="23798796.499221969"/>
    <n v="0"/>
    <n v="0"/>
    <n v="2533308.4977444969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7753.9785502341792"/>
    <n v="652.318830416526"/>
    <n v="0"/>
    <n v="0"/>
    <n v="209.23434183171594"/>
    <n v="209.23434183171594"/>
    <n v="7753.9785502341792"/>
    <n v="9.840081862003769E-5"/>
    <n v="3.74501939100967E-3"/>
    <n v="3.6466185723896321E-3"/>
    <n v="9.8400818620037866E-5"/>
    <n v="13.181763535398105"/>
    <n v="501.68241220015142"/>
    <n v="488.50064866475327"/>
    <n v="13.181763535398147"/>
    <x v="0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x v="0"/>
  </r>
  <r>
    <x v="10"/>
    <s v=""/>
    <n v="0"/>
    <x v="2"/>
    <s v="Vestdanmark"/>
    <n v="1145476.8591293055"/>
    <n v="0"/>
    <n v="0"/>
    <n v="0"/>
    <n v="0"/>
    <n v="0"/>
    <n v="0"/>
    <n v="0"/>
    <n v="1145476.8591293055"/>
    <n v="0"/>
    <n v="0"/>
    <n v="0"/>
    <n v="0"/>
    <n v="0"/>
    <n v="0"/>
    <n v="0"/>
    <n v="0"/>
    <n v="0"/>
    <n v="0"/>
    <x v="0"/>
  </r>
  <r>
    <x v="11"/>
    <s v=""/>
    <n v="0"/>
    <x v="2"/>
    <s v="Vestdanmark"/>
    <n v="32793.097303413146"/>
    <n v="0"/>
    <n v="0"/>
    <n v="267978.92035102146"/>
    <n v="0"/>
    <n v="0"/>
    <n v="0"/>
    <n v="0"/>
    <n v="-235185.82304760831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29404263.983943939"/>
    <n v="12237689.909258299"/>
    <n v="0"/>
    <n v="0"/>
    <n v="66758.668734263701"/>
    <n v="0"/>
    <n v="0"/>
    <n v="0"/>
    <n v="17099815.405951377"/>
    <n v="17099815.405951377"/>
    <n v="66758.668734263701"/>
    <n v="31.46152287002479"/>
    <n v="31.584350475662244"/>
    <n v="0.12282760563745343"/>
    <n v="31.46152287002479"/>
    <n v="4787948.3136663856"/>
    <n v="4806640.7409119802"/>
    <n v="18692.427245593837"/>
    <n v="4787948.3136663865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220830.77573350482"/>
    <n v="0"/>
    <n v="0"/>
    <n v="280672.65868343826"/>
    <n v="0"/>
    <n v="0"/>
    <n v="0"/>
    <n v="0"/>
    <n v="-59841.882949933439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835213.6153094829"/>
    <n v="773085.89354292606"/>
    <n v="724013.50560011622"/>
    <n v="0"/>
    <n v="55778.456419553964"/>
    <n v="0"/>
    <n v="1282335.7597468863"/>
    <n v="0"/>
    <n v="0"/>
    <n v="0"/>
    <n v="1338114.2161664404"/>
    <n v="0"/>
    <n v="13.575566996115745"/>
    <n v="0.3215929216251952"/>
    <n v="13.25397407449055"/>
    <n v="0"/>
    <n v="1137397.0837414742"/>
    <n v="47411.687956620866"/>
    <n v="1089985.3957848533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x v="1"/>
  </r>
  <r>
    <x v="20"/>
    <s v=""/>
    <n v="0"/>
    <x v="2"/>
    <s v="Vestdanmark"/>
    <n v="729011.95091777691"/>
    <n v="0"/>
    <n v="0"/>
    <n v="0"/>
    <n v="0"/>
    <n v="0"/>
    <n v="0"/>
    <n v="0"/>
    <n v="729011.95091777691"/>
    <n v="0"/>
    <n v="0"/>
    <n v="0"/>
    <n v="0"/>
    <n v="0"/>
    <n v="0"/>
    <n v="0"/>
    <n v="0"/>
    <n v="0"/>
    <n v="0"/>
    <x v="0"/>
  </r>
  <r>
    <x v="21"/>
    <s v=""/>
    <n v="0"/>
    <x v="2"/>
    <s v="Vestdanmark"/>
    <n v="1818589.8087592444"/>
    <n v="0"/>
    <n v="0"/>
    <n v="128347.79869443661"/>
    <n v="0"/>
    <n v="0"/>
    <n v="0"/>
    <n v="0"/>
    <n v="1690242.0100648077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5523408.7197105791"/>
    <n v="5879215.2019956233"/>
    <n v="0"/>
    <n v="307470.55071854044"/>
    <n v="2901.770538547059"/>
    <n v="0"/>
    <n v="0"/>
    <n v="0"/>
    <n v="-666178.80354213156"/>
    <n v="0"/>
    <n v="2901.770538547059"/>
    <n v="0"/>
    <n v="9.9381578466482823E-3"/>
    <n v="9.9381578466482823E-3"/>
    <n v="0"/>
    <n v="0"/>
    <n v="899.54886694958827"/>
    <n v="899.54886694958827"/>
    <n v="0"/>
    <x v="0"/>
  </r>
  <r>
    <x v="23"/>
    <s v=""/>
    <n v="0"/>
    <x v="2"/>
    <s v="Vestdanmark"/>
    <n v="0"/>
    <n v="0"/>
    <n v="0"/>
    <n v="0"/>
    <n v="0"/>
    <n v="489943.23944018129"/>
    <n v="0"/>
    <n v="0"/>
    <n v="-489943.23944018129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2735406.502549823"/>
    <n v="0"/>
    <n v="0"/>
    <n v="0"/>
    <n v="11461865.852294842"/>
    <n v="843720.68079392554"/>
    <n v="0"/>
    <n v="0"/>
    <n v="429819.96946105547"/>
    <n v="429819.96946105547"/>
    <n v="11461865.852294842"/>
    <n v="0.21757057034149169"/>
    <n v="6.0194524461146184"/>
    <n v="5.8018818757731268"/>
    <n v="0.21757057034149163"/>
    <n v="32666.317679040214"/>
    <n v="903768.12245344813"/>
    <n v="871101.804774408"/>
    <n v="32666.317679040134"/>
    <x v="0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6101831.6290168501"/>
    <n v="5657053.7864699624"/>
    <n v="0"/>
    <n v="0"/>
    <n v="254098.83749353027"/>
    <n v="0"/>
    <n v="0"/>
    <n v="0"/>
    <n v="190679.00505335722"/>
    <n v="190679.00505335722"/>
    <n v="254098.83749353027"/>
    <n v="0.6845376281415525"/>
    <n v="1.5967524547433263"/>
    <n v="0.91221482660177378"/>
    <n v="0.6845376281415525"/>
    <n v="57203.701516007168"/>
    <n v="133433.35276406622"/>
    <n v="76229.651248059075"/>
    <n v="57203.701516007146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x v="1"/>
  </r>
  <r>
    <x v="30"/>
    <s v=""/>
    <n v="0"/>
    <x v="2"/>
    <s v="Vestdanmark"/>
    <n v="1048609.453845398"/>
    <n v="0"/>
    <n v="0"/>
    <n v="0"/>
    <n v="0"/>
    <n v="0"/>
    <n v="0"/>
    <n v="0"/>
    <n v="1048609.453845398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58491.06742829576"/>
    <n v="0"/>
    <n v="0"/>
    <n v="0"/>
    <n v="0"/>
    <n v="0"/>
    <n v="158491.06742829576"/>
    <n v="0"/>
    <n v="0"/>
    <n v="0"/>
    <n v="158491.06742829576"/>
    <n v="0"/>
    <n v="2.9162356406806413"/>
    <n v="0"/>
    <n v="2.9162356406806413"/>
    <n v="0"/>
    <n v="65773.792982742743"/>
    <n v="0"/>
    <n v="65773.792982742743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x v="0"/>
  </r>
  <r>
    <x v="35"/>
    <s v=""/>
    <n v="0"/>
    <x v="2"/>
    <s v="Vestdanmark"/>
    <n v="378080.80621229054"/>
    <n v="0"/>
    <n v="0"/>
    <n v="0"/>
    <n v="0"/>
    <n v="0"/>
    <n v="0"/>
    <n v="378080.80621229054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189040.40310614527"/>
    <n v="214099.10609126225"/>
    <n v="0"/>
    <n v="0"/>
    <n v="0"/>
    <n v="0"/>
    <n v="0"/>
    <n v="0"/>
    <n v="-25058.702985116979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20985.85798793298"/>
    <n v="0"/>
    <n v="0"/>
    <n v="0"/>
    <n v="0"/>
    <n v="0"/>
    <n v="120985.85798793298"/>
    <n v="0"/>
    <n v="0"/>
    <n v="0"/>
    <n v="120985.85798793298"/>
    <n v="0"/>
    <n v="4.2345050295776536"/>
    <n v="0"/>
    <n v="4.2345050295776536"/>
    <n v="0"/>
    <n v="0"/>
    <n v="0"/>
    <n v="0"/>
    <x v="0"/>
  </r>
  <r>
    <x v="38"/>
    <s v="Græs og urter"/>
    <n v="1"/>
    <x v="2"/>
    <s v="Vestdanmark"/>
    <n v="5024574.3595380196"/>
    <n v="841167.61765562883"/>
    <n v="0"/>
    <n v="0"/>
    <n v="21821.426523041016"/>
    <n v="0"/>
    <n v="0"/>
    <n v="0"/>
    <n v="4161585.3153593498"/>
    <n v="4161585.3153593498"/>
    <n v="21821.426523041016"/>
    <n v="11.29470900929789"/>
    <n v="11.353933233738484"/>
    <n v="5.9224224440594241E-2"/>
    <n v="11.29470900929789"/>
    <n v="832317.06307187001"/>
    <n v="836681.34837647818"/>
    <n v="4364.2853046082037"/>
    <n v="832317.06307187001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x v="0"/>
  </r>
  <r>
    <x v="42"/>
    <s v="Husdyrgødning"/>
    <n v="1"/>
    <x v="2"/>
    <s v="Vestdanmark"/>
    <n v="14432291.767579561"/>
    <n v="0"/>
    <n v="0"/>
    <n v="0"/>
    <n v="12989062.590821605"/>
    <n v="1443229.1767579557"/>
    <n v="0"/>
    <n v="0"/>
    <n v="0"/>
    <n v="0"/>
    <n v="12989062.590821605"/>
    <n v="0"/>
    <n v="5.5956881641259484"/>
    <n v="5.5956881641259484"/>
    <n v="0"/>
    <n v="0"/>
    <n v="649453.12954108033"/>
    <n v="649453.12954108033"/>
    <n v="0"/>
    <x v="0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235295.9759470159"/>
    <n v="0"/>
    <n v="0"/>
    <n v="0"/>
    <n v="0"/>
    <n v="0"/>
    <n v="2235295.9759470159"/>
    <n v="0"/>
    <n v="0"/>
    <n v="0"/>
    <n v="2235295.9759470159"/>
    <n v="0"/>
    <n v="32.397416241013886"/>
    <n v="0"/>
    <n v="32.397416241013886"/>
    <n v="0"/>
    <n v="1105540.1347704616"/>
    <n v="0"/>
    <n v="1105540.1347704616"/>
    <x v="0"/>
  </r>
  <r>
    <x v="47"/>
    <s v=""/>
    <n v="0"/>
    <x v="2"/>
    <s v="Vestdanmark"/>
    <n v="687223.1739007252"/>
    <n v="0"/>
    <n v="0"/>
    <n v="0"/>
    <n v="0"/>
    <n v="0"/>
    <n v="0"/>
    <n v="0"/>
    <n v="687223.1739007252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255.68246519256246"/>
    <n v="0"/>
    <n v="0"/>
    <n v="82.011356759878481"/>
    <n v="82.011356759878481"/>
    <n v="337.693821952441"/>
    <n v="3.8569120970603255E-5"/>
    <n v="1.5881402752601349E-4"/>
    <n v="1.5881402752601349E-4"/>
    <n v="0"/>
    <n v="5.1667154758723441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87847.14852834243"/>
    <n v="0"/>
    <n v="0"/>
    <n v="-387847.14852834243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422965.94308870414"/>
    <n v="0"/>
    <n v="0"/>
    <n v="215473.21629047208"/>
    <n v="215473.21629047208"/>
    <n v="286645.05985025823"/>
    <n v="0.10907038735407407"/>
    <n v="0.14509686284560222"/>
    <n v="0.14509686284560222"/>
    <n v="0"/>
    <n v="16375.964438075878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66320.575580958233"/>
    <n v="7916.616753740097"/>
    <n v="0"/>
    <n v="0"/>
    <n v="0"/>
    <n v="0"/>
    <n v="0"/>
    <n v="0"/>
    <n v="58403.958827218135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24808531.78166662"/>
    <n v="0"/>
    <n v="0"/>
    <n v="0"/>
    <n v="0"/>
    <n v="0"/>
    <n v="124808531.78166662"/>
    <n v="0"/>
    <n v="0"/>
    <n v="0"/>
    <n v="124808531.78166662"/>
    <n v="0"/>
    <n v="0"/>
    <n v="0"/>
    <n v="0"/>
    <n v="0"/>
    <n v="0"/>
    <n v="0"/>
    <n v="0"/>
    <x v="0"/>
  </r>
  <r>
    <x v="4"/>
    <s v=""/>
    <n v="0"/>
    <x v="1"/>
    <s v="Østdanmark"/>
    <n v="4380881.7202554364"/>
    <n v="0"/>
    <n v="0"/>
    <n v="0"/>
    <n v="0"/>
    <n v="3986542.8719658842"/>
    <n v="0"/>
    <n v="0"/>
    <n v="394338.84828955214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700.20192515285464"/>
    <n v="0"/>
    <n v="0"/>
    <n v="0"/>
    <n v="630.18173263756921"/>
    <n v="53.01528861871612"/>
    <n v="0"/>
    <n v="0"/>
    <n v="17.004903896569317"/>
    <n v="17.004903896569317"/>
    <n v="630.18173263756921"/>
    <n v="7.997236253517585E-6"/>
    <n v="3.0436540329564001E-4"/>
    <n v="2.9636816704212241E-4"/>
    <n v="7.9972362535176019E-6"/>
    <n v="1.0713089454838669"/>
    <n v="40.77275810165073"/>
    <n v="39.701449156166859"/>
    <n v="1.0713089454838709"/>
    <x v="0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x v="0"/>
  </r>
  <r>
    <x v="10"/>
    <s v=""/>
    <n v="0"/>
    <x v="1"/>
    <s v="Østdanmark"/>
    <n v="342757.79858178977"/>
    <n v="0"/>
    <n v="0"/>
    <n v="0"/>
    <n v="0"/>
    <n v="0"/>
    <n v="0"/>
    <n v="0"/>
    <n v="342757.79858178977"/>
    <n v="0"/>
    <n v="0"/>
    <n v="0"/>
    <n v="0"/>
    <n v="0"/>
    <n v="0"/>
    <n v="0"/>
    <n v="0"/>
    <n v="0"/>
    <n v="0"/>
    <x v="0"/>
  </r>
  <r>
    <x v="11"/>
    <s v=""/>
    <n v="0"/>
    <x v="1"/>
    <s v="Østdanmark"/>
    <n v="9754.2866982633659"/>
    <n v="0"/>
    <n v="0"/>
    <n v="223323.94265330929"/>
    <n v="0"/>
    <n v="0"/>
    <n v="0"/>
    <n v="0"/>
    <n v="-213569.65595504592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7915785.5258047525"/>
    <n v="1502068.0760117145"/>
    <n v="0"/>
    <n v="0"/>
    <n v="18670.90350678641"/>
    <n v="0"/>
    <n v="0"/>
    <n v="0"/>
    <n v="6395046.5462862514"/>
    <n v="6395046.5462862514"/>
    <n v="18670.90350678641"/>
    <n v="11.766086264348418"/>
    <n v="11.800438392937966"/>
    <n v="3.4352128589548649E-2"/>
    <n v="11.766086264348418"/>
    <n v="1790613.0329601506"/>
    <n v="1795840.8859420507"/>
    <n v="5227.8529819001951"/>
    <n v="1790613.0329601506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66219.734583524318"/>
    <n v="0"/>
    <n v="0"/>
    <n v="233902.44520004498"/>
    <n v="0"/>
    <n v="0"/>
    <n v="0"/>
    <n v="0"/>
    <n v="-167682.71061652066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888494.96140285372"/>
    <n v="94889.448034412562"/>
    <n v="103520.85960187271"/>
    <n v="0"/>
    <n v="19709.468772973203"/>
    <n v="0"/>
    <n v="670375.18499359523"/>
    <n v="0"/>
    <n v="0"/>
    <n v="0"/>
    <n v="690084.6537665684"/>
    <n v="0"/>
    <n v="7.0425038172445023"/>
    <n v="0.11363573058932792"/>
    <n v="6.9288680866551742"/>
    <n v="0"/>
    <n v="586571.95570158318"/>
    <n v="16753.048457027224"/>
    <n v="569818.907244556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x v="0"/>
  </r>
  <r>
    <x v="20"/>
    <s v=""/>
    <n v="0"/>
    <x v="1"/>
    <s v="Østdanmark"/>
    <n v="211505.55492892067"/>
    <n v="0"/>
    <n v="0"/>
    <n v="0"/>
    <n v="0"/>
    <n v="0"/>
    <n v="0"/>
    <n v="0"/>
    <n v="211505.55492892067"/>
    <n v="0"/>
    <n v="0"/>
    <n v="0"/>
    <n v="0"/>
    <n v="0"/>
    <n v="0"/>
    <n v="0"/>
    <n v="0"/>
    <n v="0"/>
    <n v="0"/>
    <x v="0"/>
  </r>
  <r>
    <x v="21"/>
    <s v=""/>
    <n v="0"/>
    <x v="1"/>
    <s v="Østdanmark"/>
    <n v="515263.04540454788"/>
    <n v="0"/>
    <n v="0"/>
    <n v="106960.41463921656"/>
    <n v="0"/>
    <n v="0"/>
    <n v="0"/>
    <n v="0"/>
    <n v="408302.63076533133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608239.7398434528"/>
    <n v="721621.60770550347"/>
    <n v="0"/>
    <n v="256234.83946537593"/>
    <n v="871.08988076433457"/>
    <n v="0"/>
    <n v="0"/>
    <n v="0"/>
    <n v="629512.20279180899"/>
    <n v="0"/>
    <n v="871.08988076433457"/>
    <n v="0"/>
    <n v="2.9833608890345396E-3"/>
    <n v="2.9833608890345396E-3"/>
    <n v="0"/>
    <n v="0"/>
    <n v="270.03786303694369"/>
    <n v="270.03786303694369"/>
    <n v="0"/>
    <x v="1"/>
  </r>
  <r>
    <x v="23"/>
    <s v=""/>
    <n v="0"/>
    <x v="1"/>
    <s v="Østdanmark"/>
    <n v="0"/>
    <n v="0"/>
    <n v="0"/>
    <n v="0"/>
    <n v="0"/>
    <n v="325909.00963477371"/>
    <n v="0"/>
    <n v="0"/>
    <n v="-325909.00963477371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922789.17266620893"/>
    <n v="0"/>
    <n v="0"/>
    <n v="0"/>
    <n v="830510.25539958803"/>
    <n v="61134.782689136329"/>
    <n v="0"/>
    <n v="0"/>
    <n v="31144.134577484569"/>
    <n v="31144.134577484569"/>
    <n v="830510.25539958803"/>
    <n v="1.5764849481776914E-2"/>
    <n v="0.43616083566249442"/>
    <n v="0.4203959861807175"/>
    <n v="1.5764849481776921E-2"/>
    <n v="2366.9542278888271"/>
    <n v="65485.733638257516"/>
    <n v="63118.77941036869"/>
    <n v="2366.9542278888257"/>
    <x v="0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730463.2966817433"/>
    <n v="694353.26110928762"/>
    <n v="0"/>
    <n v="0"/>
    <n v="74810.246107047482"/>
    <n v="0"/>
    <n v="0"/>
    <n v="0"/>
    <n v="961299.78946540831"/>
    <n v="952519.64833213156"/>
    <n v="74810.246107047482"/>
    <n v="3.4195455375123527"/>
    <n v="3.6881143210366529"/>
    <n v="0.26856878352430047"/>
    <n v="3.4195455375123522"/>
    <n v="285755.89449963946"/>
    <n v="308198.96833175368"/>
    <n v="22443.073832114245"/>
    <n v="285755.89449963946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x v="0"/>
  </r>
  <r>
    <x v="30"/>
    <s v=""/>
    <n v="0"/>
    <x v="1"/>
    <s v="Østdanmark"/>
    <n v="301497.09442768525"/>
    <n v="0"/>
    <n v="0"/>
    <n v="0"/>
    <n v="0"/>
    <n v="0"/>
    <n v="0"/>
    <n v="0"/>
    <n v="301497.09442768525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2074.872472772768"/>
    <n v="0"/>
    <n v="0"/>
    <n v="0"/>
    <n v="0"/>
    <n v="0"/>
    <n v="42074.872472772768"/>
    <n v="0"/>
    <n v="0"/>
    <n v="0"/>
    <n v="42074.872472772768"/>
    <n v="0"/>
    <n v="0.77417765349901879"/>
    <n v="0"/>
    <n v="0.77417765349901879"/>
    <n v="0"/>
    <n v="17461.0720762007"/>
    <n v="0"/>
    <n v="17461.0720762007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x v="0"/>
  </r>
  <r>
    <x v="35"/>
    <s v=""/>
    <n v="0"/>
    <x v="1"/>
    <s v="Østdanmark"/>
    <n v="111531.10220983687"/>
    <n v="0"/>
    <n v="0"/>
    <n v="0"/>
    <n v="0"/>
    <n v="0"/>
    <n v="0"/>
    <n v="111531.10220983687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55765.551104918435"/>
    <n v="26278.769501998377"/>
    <n v="0"/>
    <n v="0"/>
    <n v="0"/>
    <n v="0"/>
    <n v="0"/>
    <n v="0"/>
    <n v="29486.781602920059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35689.952707147801"/>
    <n v="0"/>
    <n v="0"/>
    <n v="0"/>
    <n v="0"/>
    <n v="0"/>
    <n v="35689.952707147801"/>
    <n v="0"/>
    <n v="0"/>
    <n v="0"/>
    <n v="35689.952707147801"/>
    <n v="0"/>
    <n v="1.249148344750173"/>
    <n v="0"/>
    <n v="1.249148344750173"/>
    <n v="0"/>
    <n v="0"/>
    <n v="0"/>
    <n v="0"/>
    <x v="0"/>
  </r>
  <r>
    <x v="38"/>
    <s v="Græs og urter"/>
    <n v="1"/>
    <x v="1"/>
    <s v="Østdanmark"/>
    <n v="1508318.1394402247"/>
    <n v="103245.8768300271"/>
    <n v="0"/>
    <n v="0"/>
    <n v="6717.4186381438076"/>
    <n v="0"/>
    <n v="0"/>
    <n v="0"/>
    <n v="1398354.8439720538"/>
    <n v="1398354.8439720538"/>
    <n v="6717.4186381438076"/>
    <n v="3.795190980733913"/>
    <n v="3.813422323614581"/>
    <n v="1.8231342880667821E-2"/>
    <n v="3.795190980733913"/>
    <n v="279670.96879441076"/>
    <n v="281014.45252203959"/>
    <n v="1343.4837276287617"/>
    <n v="279670.96879441082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x v="0"/>
  </r>
  <r>
    <x v="42"/>
    <s v="Husdyrgødning"/>
    <n v="1"/>
    <x v="1"/>
    <s v="Østdanmark"/>
    <n v="2184299.8380428459"/>
    <n v="0"/>
    <n v="0"/>
    <n v="0"/>
    <n v="1965869.8542385614"/>
    <n v="218429.98380428454"/>
    <n v="0"/>
    <n v="0"/>
    <n v="0"/>
    <n v="0"/>
    <n v="1965869.8542385614"/>
    <n v="0"/>
    <n v="0.84689673320597236"/>
    <n v="0.84689673320597236"/>
    <n v="0"/>
    <n v="0"/>
    <n v="98293.492711928076"/>
    <n v="98293.492711928076"/>
    <n v="0"/>
    <x v="0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7088.73530897219"/>
    <n v="0"/>
    <n v="0"/>
    <n v="0"/>
    <n v="0"/>
    <n v="0"/>
    <n v="647088.73530897219"/>
    <n v="0"/>
    <n v="0"/>
    <n v="0"/>
    <n v="647088.73530897219"/>
    <n v="0"/>
    <n v="9.3786251701161518"/>
    <n v="0"/>
    <n v="9.3786251701161518"/>
    <n v="0"/>
    <n v="320039.30367156246"/>
    <n v="0"/>
    <n v="320039.30367156246"/>
    <x v="0"/>
  </r>
  <r>
    <x v="47"/>
    <s v=""/>
    <n v="0"/>
    <x v="1"/>
    <s v="Østdanmark"/>
    <n v="178637.61286448501"/>
    <n v="0"/>
    <n v="0"/>
    <n v="0"/>
    <n v="0"/>
    <n v="0"/>
    <n v="0"/>
    <n v="0"/>
    <n v="178637.61286448501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69084.929808935805"/>
    <n v="7916.616753740097"/>
    <n v="0"/>
    <n v="0"/>
    <n v="0"/>
    <n v="0"/>
    <n v="0"/>
    <n v="0"/>
    <n v="61168.313055195707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25542746.35900024"/>
    <n v="0"/>
    <n v="0"/>
    <n v="0"/>
    <n v="0"/>
    <n v="0"/>
    <n v="125542746.35900024"/>
    <n v="0"/>
    <n v="0"/>
    <n v="0"/>
    <n v="125542746.35900024"/>
    <n v="0"/>
    <n v="0"/>
    <n v="0"/>
    <n v="0"/>
    <n v="0"/>
    <n v="0"/>
    <n v="0"/>
    <n v="0"/>
    <x v="0"/>
  </r>
  <r>
    <x v="4"/>
    <s v=""/>
    <n v="0"/>
    <x v="2"/>
    <s v="Østdanmark"/>
    <n v="4357755.2271491131"/>
    <n v="0"/>
    <n v="0"/>
    <n v="0"/>
    <n v="0"/>
    <n v="3938512.6960526006"/>
    <n v="0"/>
    <n v="0"/>
    <n v="419242.53109651245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650.78855763169781"/>
    <n v="54.748878657904719"/>
    <n v="0"/>
    <n v="0"/>
    <n v="17.560961078950641"/>
    <n v="17.560961078950641"/>
    <n v="650.78855763169781"/>
    <n v="8.2587443858196973E-6"/>
    <n v="3.1431809515443089E-4"/>
    <n v="3.0605935076861117E-4"/>
    <n v="8.2587443858197227E-6"/>
    <n v="1.1063405479738904"/>
    <n v="42.106019678770856"/>
    <n v="40.999679130796963"/>
    <n v="1.1063405479738933"/>
    <x v="0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x v="0"/>
  </r>
  <r>
    <x v="10"/>
    <s v=""/>
    <n v="0"/>
    <x v="2"/>
    <s v="Østdanmark"/>
    <n v="357304.25157150667"/>
    <n v="0"/>
    <n v="0"/>
    <n v="0"/>
    <n v="0"/>
    <n v="0"/>
    <n v="0"/>
    <n v="0"/>
    <n v="357304.25157150667"/>
    <n v="0"/>
    <n v="0"/>
    <n v="0"/>
    <n v="0"/>
    <n v="0"/>
    <n v="0"/>
    <n v="0"/>
    <n v="0"/>
    <n v="0"/>
    <n v="0"/>
    <x v="0"/>
  </r>
  <r>
    <x v="11"/>
    <s v=""/>
    <n v="0"/>
    <x v="2"/>
    <s v="Østdanmark"/>
    <n v="10163.089759541812"/>
    <n v="0"/>
    <n v="0"/>
    <n v="233795.01599247381"/>
    <n v="0"/>
    <n v="0"/>
    <n v="0"/>
    <n v="0"/>
    <n v="-223631.92623293199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8332694.7229536632"/>
    <n v="1502068.0760117143"/>
    <n v="0"/>
    <n v="0"/>
    <n v="18918.331265736317"/>
    <n v="0"/>
    <n v="0"/>
    <n v="0"/>
    <n v="6811708.3156762123"/>
    <n v="6811708.3156762123"/>
    <n v="18918.331265736317"/>
    <n v="12.532691837304771"/>
    <n v="12.567499202042317"/>
    <n v="3.4807364737546607E-2"/>
    <n v="12.532691837304771"/>
    <n v="1907278.3283893396"/>
    <n v="1912575.4611437458"/>
    <n v="5297.1327544061696"/>
    <n v="1907278.3283893396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68513.709869912811"/>
    <n v="0"/>
    <n v="0"/>
    <n v="244869.51675001203"/>
    <n v="0"/>
    <n v="0"/>
    <n v="0"/>
    <n v="0"/>
    <n v="-176355.80688009923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865944.52172148146"/>
    <n v="94889.448034412548"/>
    <n v="103062.42440743271"/>
    <n v="0"/>
    <n v="20155.543580446039"/>
    <n v="0"/>
    <n v="647837.10569919006"/>
    <n v="0"/>
    <n v="0"/>
    <n v="0"/>
    <n v="667992.6492796361"/>
    <n v="0"/>
    <n v="6.8121264565469533"/>
    <n v="0.11620759273480487"/>
    <n v="6.6959188638121487"/>
    <n v="0"/>
    <n v="567793.75188769063"/>
    <n v="17132.212043379132"/>
    <n v="550661.53984431154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x v="1"/>
  </r>
  <r>
    <x v="20"/>
    <s v=""/>
    <n v="0"/>
    <x v="2"/>
    <s v="Østdanmark"/>
    <n v="220334.04456617165"/>
    <n v="0"/>
    <n v="0"/>
    <n v="0"/>
    <n v="0"/>
    <n v="0"/>
    <n v="0"/>
    <n v="0"/>
    <n v="220334.04456617165"/>
    <n v="0"/>
    <n v="0"/>
    <n v="0"/>
    <n v="0"/>
    <n v="0"/>
    <n v="0"/>
    <n v="0"/>
    <n v="0"/>
    <n v="0"/>
    <n v="0"/>
    <x v="0"/>
  </r>
  <r>
    <x v="21"/>
    <s v=""/>
    <n v="0"/>
    <x v="2"/>
    <s v="Østdanmark"/>
    <n v="536733.47505489504"/>
    <n v="0"/>
    <n v="0"/>
    <n v="111975.50765955324"/>
    <n v="0"/>
    <n v="0"/>
    <n v="0"/>
    <n v="0"/>
    <n v="424757.96739534178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683096.8033949384"/>
    <n v="721621.60770550335"/>
    <n v="0"/>
    <n v="268249.01834925939"/>
    <n v="884.229461452941"/>
    <n v="0"/>
    <n v="0"/>
    <n v="0"/>
    <n v="692341.94787872268"/>
    <n v="26163.144336591125"/>
    <n v="884.229461452941"/>
    <n v="8.9605106512617494E-2"/>
    <n v="9.2633468625969217E-2"/>
    <n v="3.0283621133517201E-3"/>
    <n v="8.9605106512617494E-2"/>
    <n v="8110.5747443432492"/>
    <n v="8384.6858773936601"/>
    <n v="274.11113305041169"/>
    <n v="8110.5747443432483"/>
    <x v="0"/>
  </r>
  <r>
    <x v="23"/>
    <s v=""/>
    <n v="0"/>
    <x v="2"/>
    <s v="Østdanmark"/>
    <n v="0"/>
    <n v="0"/>
    <n v="0"/>
    <n v="0"/>
    <n v="0"/>
    <n v="315916.79839441256"/>
    <n v="0"/>
    <n v="0"/>
    <n v="-315916.79839441256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905156.40673249087"/>
    <n v="0"/>
    <n v="0"/>
    <n v="0"/>
    <n v="814640.76605924184"/>
    <n v="59966.611946027508"/>
    <n v="0"/>
    <n v="0"/>
    <n v="30549.028727221536"/>
    <n v="30549.028727221536"/>
    <n v="814640.76605924184"/>
    <n v="1.5463612851432272E-2"/>
    <n v="0.42782662222295997"/>
    <n v="0.4123630093715277"/>
    <n v="1.5463612851432273E-2"/>
    <n v="2321.7261832688368"/>
    <n v="64234.424403771212"/>
    <n v="61912.698220502381"/>
    <n v="2321.7261832688309"/>
    <x v="0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823285.6405542411"/>
    <n v="694353.2611092875"/>
    <n v="0"/>
    <n v="0"/>
    <n v="75927.162506469729"/>
    <n v="0"/>
    <n v="0"/>
    <n v="0"/>
    <n v="1053005.216938484"/>
    <n v="1053005.216938484"/>
    <n v="75927.162506469729"/>
    <n v="3.780288728809158"/>
    <n v="4.0528672422073839"/>
    <n v="0.27257851339822636"/>
    <n v="3.7802887288091576"/>
    <n v="315901.56508154521"/>
    <n v="338679.71383348614"/>
    <n v="22778.148751940917"/>
    <n v="315901.56508154521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x v="1"/>
  </r>
  <r>
    <x v="30"/>
    <s v=""/>
    <n v="0"/>
    <x v="2"/>
    <s v="Østdanmark"/>
    <n v="314116.08613367198"/>
    <n v="0"/>
    <n v="0"/>
    <n v="0"/>
    <n v="0"/>
    <n v="0"/>
    <n v="0"/>
    <n v="0"/>
    <n v="314116.08613367198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3858.564110476924"/>
    <n v="0"/>
    <n v="0"/>
    <n v="0"/>
    <n v="0"/>
    <n v="0"/>
    <n v="43858.564110476924"/>
    <n v="0"/>
    <n v="0"/>
    <n v="0"/>
    <n v="43858.564110476924"/>
    <n v="0"/>
    <n v="0.8069975796327753"/>
    <n v="0"/>
    <n v="0.8069975796327753"/>
    <n v="0"/>
    <n v="18201.304105847925"/>
    <n v="0"/>
    <n v="18201.304105847925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x v="0"/>
  </r>
  <r>
    <x v="35"/>
    <s v=""/>
    <n v="0"/>
    <x v="2"/>
    <s v="Østdanmark"/>
    <n v="116086.90219815794"/>
    <n v="0"/>
    <n v="0"/>
    <n v="0"/>
    <n v="0"/>
    <n v="0"/>
    <n v="0"/>
    <n v="116086.90219815794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58043.451099078971"/>
    <n v="26278.769501998373"/>
    <n v="0"/>
    <n v="0"/>
    <n v="0"/>
    <n v="0"/>
    <n v="0"/>
    <n v="0"/>
    <n v="31764.681597080598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37147.808703410541"/>
    <n v="0"/>
    <n v="0"/>
    <n v="0"/>
    <n v="0"/>
    <n v="0"/>
    <n v="37147.808703410541"/>
    <n v="0"/>
    <n v="0"/>
    <n v="0"/>
    <n v="37147.808703410541"/>
    <n v="0"/>
    <n v="1.3001733046193689"/>
    <n v="0"/>
    <n v="1.3001733046193689"/>
    <n v="0"/>
    <n v="0"/>
    <n v="0"/>
    <n v="0"/>
    <x v="0"/>
  </r>
  <r>
    <x v="38"/>
    <s v="Græs og urter"/>
    <n v="1"/>
    <x v="2"/>
    <s v="Østdanmark"/>
    <n v="1571187.4884325294"/>
    <n v="103245.87683002709"/>
    <n v="0"/>
    <n v="0"/>
    <n v="6823.5734769589817"/>
    <n v="0"/>
    <n v="0"/>
    <n v="0"/>
    <n v="1461118.0381255434"/>
    <n v="1461118.0381255434"/>
    <n v="6823.5734769589817"/>
    <n v="3.96553280019425"/>
    <n v="3.9840522515536558"/>
    <n v="1.8519451359405754E-2"/>
    <n v="3.96553280019425"/>
    <n v="292223.60762510868"/>
    <n v="293588.32232050051"/>
    <n v="1364.7146953917963"/>
    <n v="292223.60762510874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x v="0"/>
  </r>
  <r>
    <x v="42"/>
    <s v="Husdyrgødning"/>
    <n v="1"/>
    <x v="2"/>
    <s v="Østdanmark"/>
    <n v="2091197.4416372697"/>
    <n v="0"/>
    <n v="0"/>
    <n v="0"/>
    <n v="1882077.6974735428"/>
    <n v="209119.74416372692"/>
    <n v="0"/>
    <n v="0"/>
    <n v="0"/>
    <n v="0"/>
    <n v="1882077.6974735428"/>
    <n v="0"/>
    <n v="0.8107990720716024"/>
    <n v="0.8107990720716024"/>
    <n v="0"/>
    <n v="0"/>
    <n v="94103.884873677147"/>
    <n v="94103.884873677147"/>
    <n v="0"/>
    <x v="0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624603.98534617631"/>
    <n v="0"/>
    <n v="0"/>
    <n v="0"/>
    <n v="0"/>
    <n v="0"/>
    <n v="624603.98534617631"/>
    <n v="0"/>
    <n v="0"/>
    <n v="0"/>
    <n v="624603.98534617631"/>
    <n v="0"/>
    <n v="9.0527408973136652"/>
    <n v="0"/>
    <n v="9.0527408973136652"/>
    <n v="0"/>
    <n v="308918.72108579637"/>
    <n v="0"/>
    <n v="308918.72108579637"/>
    <x v="0"/>
  </r>
  <r>
    <x v="47"/>
    <s v=""/>
    <n v="0"/>
    <x v="2"/>
    <s v="Østdanmark"/>
    <n v="184169.19735067486"/>
    <n v="0"/>
    <n v="0"/>
    <n v="0"/>
    <n v="0"/>
    <n v="0"/>
    <n v="0"/>
    <n v="0"/>
    <n v="184169.19735067486"/>
    <n v="0"/>
    <n v="0"/>
    <n v="0"/>
    <n v="0"/>
    <n v="0"/>
    <n v="0"/>
    <n v="0"/>
    <n v="0"/>
    <n v="0"/>
    <n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623909.73940601887"/>
    <n v="4373607.2732361918"/>
    <n v="2056610.6420093102"/>
    <n v="2056610.6420093102"/>
  </r>
  <r>
    <x v="0"/>
    <x v="1"/>
    <x v="1"/>
    <s v="Konventionel"/>
    <x v="0"/>
    <s v="Halm"/>
    <n v="48011.920691725383"/>
    <n v="185326.01387005998"/>
    <n v="79264.908013529261"/>
    <n v="79264.908013529261"/>
  </r>
  <r>
    <x v="0"/>
    <x v="2"/>
    <x v="1"/>
    <s v="Konventionel"/>
    <x v="0"/>
    <s v="Halm"/>
    <n v="70259.109449246753"/>
    <n v="309140.08157668571"/>
    <n v="237874.25042587356"/>
    <n v="237874.25042587356"/>
  </r>
  <r>
    <x v="0"/>
    <x v="3"/>
    <x v="1"/>
    <s v="Konventionel"/>
    <x v="0"/>
    <s v="Græs"/>
    <n v="389039.43578841945"/>
    <n v="19304136.803821374"/>
    <n v="0"/>
    <n v="19304136.803821374"/>
  </r>
  <r>
    <x v="0"/>
    <x v="4"/>
    <x v="1"/>
    <s v="Konventionel"/>
    <x v="0"/>
    <s v="Grøntsager"/>
    <n v="8069.2150499893842"/>
    <n v="167436.21228727975"/>
    <n v="0"/>
    <n v="167436.21228727975"/>
  </r>
  <r>
    <x v="0"/>
    <x v="5"/>
    <x v="1"/>
    <s v="Konventionel"/>
    <x v="0"/>
    <s v="Kartofler"/>
    <n v="33939.868192186092"/>
    <n v="1441456.730045914"/>
    <n v="0"/>
    <n v="1441456.730045914"/>
  </r>
  <r>
    <x v="0"/>
    <x v="6"/>
    <x v="1"/>
    <s v="Konventionel"/>
    <x v="0"/>
    <s v="Roer"/>
    <n v="51872.305654463133"/>
    <n v="4214818.3878044365"/>
    <n v="0"/>
    <n v="4214818.3878044365"/>
  </r>
  <r>
    <x v="0"/>
    <x v="7"/>
    <x v="1"/>
    <s v="Konventionel"/>
    <x v="0"/>
    <s v="Majs"/>
    <n v="105024.04342368516"/>
    <n v="4674620.172788227"/>
    <n v="0"/>
    <n v="4674620.172788227"/>
  </r>
  <r>
    <x v="0"/>
    <x v="8"/>
    <x v="1"/>
    <s v="Konventionel"/>
    <x v="0"/>
    <s v="Frugt"/>
    <n v="3146.7111847138076"/>
    <n v="26715.577958220227"/>
    <n v="0"/>
    <n v="26715.577958220227"/>
  </r>
  <r>
    <x v="0"/>
    <x v="9"/>
    <x v="1"/>
    <s v="Konventionel"/>
    <x v="0"/>
    <s v="Øvrige"/>
    <n v="27850.682564630642"/>
    <n v="829837.36436016392"/>
    <n v="0"/>
    <n v="829837.36436016392"/>
  </r>
  <r>
    <x v="0"/>
    <x v="10"/>
    <x v="1"/>
    <s v="Konventionel"/>
    <x v="0"/>
    <s v="Halm"/>
    <n v="62611.02615456815"/>
    <n v="894640.23473164067"/>
    <n v="214121.570015223"/>
    <n v="214121.570015223"/>
  </r>
  <r>
    <x v="0"/>
    <x v="11"/>
    <x v="1"/>
    <s v="Konventionel"/>
    <x v="0"/>
    <s v="Juletræer"/>
    <n v="11759.429887638771"/>
    <n v="587971.4943819386"/>
    <n v="0"/>
    <n v="587971.4943819386"/>
  </r>
  <r>
    <x v="0"/>
    <x v="12"/>
    <x v="1"/>
    <s v="Konventionel"/>
    <x v="0"/>
    <s v="Pil &amp; poppel"/>
    <n v="4522.0169004115751"/>
    <n v="110293.09513198964"/>
    <n v="0"/>
    <n v="110293.09513198964"/>
  </r>
  <r>
    <x v="0"/>
    <x v="13"/>
    <x v="1"/>
    <s v="Konventionel"/>
    <x v="0"/>
    <s v="Græs"/>
    <n v="109694.9188294395"/>
    <n v="1512692.9306579707"/>
    <n v="0"/>
    <n v="1512692.9306579707"/>
  </r>
  <r>
    <x v="0"/>
    <x v="0"/>
    <x v="2"/>
    <s v="Konventionel"/>
    <x v="0"/>
    <s v="Halm"/>
    <n v="576591.97905547544"/>
    <n v="4041909.7731788829"/>
    <n v="1900635.8217001744"/>
    <n v="1900635.8217001744"/>
  </r>
  <r>
    <x v="0"/>
    <x v="1"/>
    <x v="2"/>
    <s v="Konventionel"/>
    <x v="0"/>
    <s v="Halm"/>
    <n v="44370.662327297228"/>
    <n v="171270.75658336733"/>
    <n v="73253.400763838363"/>
    <n v="73253.400763838363"/>
  </r>
  <r>
    <x v="0"/>
    <x v="2"/>
    <x v="2"/>
    <s v="Konventionel"/>
    <x v="0"/>
    <s v="Halm"/>
    <n v="64930.608396310665"/>
    <n v="285694.67694376694"/>
    <n v="219833.69733892806"/>
    <n v="219833.69733892806"/>
  </r>
  <r>
    <x v="0"/>
    <x v="3"/>
    <x v="2"/>
    <s v="Konventionel"/>
    <x v="0"/>
    <s v="Græs"/>
    <n v="359534.40705289674"/>
    <n v="17840097.277964737"/>
    <n v="0"/>
    <n v="17840097.277964737"/>
  </r>
  <r>
    <x v="0"/>
    <x v="4"/>
    <x v="2"/>
    <s v="Konventionel"/>
    <x v="0"/>
    <s v="Grøntsager"/>
    <n v="7457.2400160431316"/>
    <n v="154737.73033289498"/>
    <n v="0"/>
    <n v="154737.73033289498"/>
  </r>
  <r>
    <x v="0"/>
    <x v="5"/>
    <x v="2"/>
    <s v="Konventionel"/>
    <x v="0"/>
    <s v="Kartofler"/>
    <n v="31365.844342236556"/>
    <n v="1332135.6218790098"/>
    <n v="0"/>
    <n v="1332135.6218790098"/>
  </r>
  <r>
    <x v="0"/>
    <x v="6"/>
    <x v="2"/>
    <s v="Konventionel"/>
    <x v="0"/>
    <s v="Roer"/>
    <n v="47938.272936646019"/>
    <n v="3895163.5502552376"/>
    <n v="0"/>
    <n v="3895163.5502552376"/>
  </r>
  <r>
    <x v="0"/>
    <x v="7"/>
    <x v="2"/>
    <s v="Konventionel"/>
    <x v="0"/>
    <s v="Majs"/>
    <n v="97058.944942455943"/>
    <n v="4320093.639388714"/>
    <n v="0"/>
    <n v="4320093.639388714"/>
  </r>
  <r>
    <x v="0"/>
    <x v="8"/>
    <x v="2"/>
    <s v="Konventionel"/>
    <x v="0"/>
    <s v="Frugt"/>
    <n v="2908.0623604905873"/>
    <n v="24689.449440565091"/>
    <n v="0"/>
    <n v="24689.449440565091"/>
  </r>
  <r>
    <x v="0"/>
    <x v="9"/>
    <x v="2"/>
    <s v="Konventionel"/>
    <x v="0"/>
    <s v="Øvrige"/>
    <n v="25738.466902719567"/>
    <n v="766901.90582075517"/>
    <n v="0"/>
    <n v="766901.90582075517"/>
  </r>
  <r>
    <x v="0"/>
    <x v="10"/>
    <x v="2"/>
    <s v="Konventionel"/>
    <x v="0"/>
    <s v="Halm"/>
    <n v="57862.561202403813"/>
    <n v="826790.08020882867"/>
    <n v="197882.43717926473"/>
    <n v="197882.43717926473"/>
  </r>
  <r>
    <x v="0"/>
    <x v="11"/>
    <x v="2"/>
    <s v="Konventionel"/>
    <x v="0"/>
    <s v="Juletræer"/>
    <n v="10867.586324157863"/>
    <n v="543379.31620789308"/>
    <n v="0"/>
    <n v="543379.31620789308"/>
  </r>
  <r>
    <x v="0"/>
    <x v="12"/>
    <x v="2"/>
    <s v="Konventionel"/>
    <x v="0"/>
    <s v="Pil &amp; poppel"/>
    <n v="4179.063908207143"/>
    <n v="101928.38800505229"/>
    <n v="0"/>
    <n v="101928.38800505229"/>
  </r>
  <r>
    <x v="0"/>
    <x v="13"/>
    <x v="2"/>
    <s v="Konventionel"/>
    <x v="0"/>
    <s v="Græs"/>
    <n v="101375.57782061782"/>
    <n v="1397969.21814632"/>
    <n v="0"/>
    <n v="1397969.21814632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97373.196323482727"/>
    <n v="457332.69117250136"/>
    <n v="215052.52320201404"/>
    <n v="215052.52320201404"/>
  </r>
  <r>
    <x v="0"/>
    <x v="1"/>
    <x v="1"/>
    <s v="Økologisk"/>
    <x v="0"/>
    <s v="Halm"/>
    <n v="7493.1899345467373"/>
    <n v="16486.516493989733"/>
    <n v="7051.3695625908404"/>
    <n v="7051.3695625908404"/>
  </r>
  <r>
    <x v="0"/>
    <x v="2"/>
    <x v="1"/>
    <s v="Økologisk"/>
    <x v="0"/>
    <s v="Halm"/>
    <n v="10965.294538321748"/>
    <n v="26536.012782738631"/>
    <n v="20418.685657943486"/>
    <n v="20418.685657943486"/>
  </r>
  <r>
    <x v="0"/>
    <x v="3"/>
    <x v="1"/>
    <s v="Økologisk"/>
    <x v="0"/>
    <s v="Græs"/>
    <n v="60717.137377383391"/>
    <n v="2349971.7981992955"/>
    <n v="0"/>
    <n v="2349971.7981992955"/>
  </r>
  <r>
    <x v="0"/>
    <x v="4"/>
    <x v="1"/>
    <s v="Økologisk"/>
    <x v="0"/>
    <s v="Grøntsager"/>
    <n v="1259.3572621370715"/>
    <n v="14895.048017926212"/>
    <n v="0"/>
    <n v="14895.048017926212"/>
  </r>
  <r>
    <x v="0"/>
    <x v="5"/>
    <x v="1"/>
    <s v="Økologisk"/>
    <x v="0"/>
    <s v="Kartofler"/>
    <n v="5296.973648491472"/>
    <n v="128231.32413529836"/>
    <n v="0"/>
    <n v="128231.32413529836"/>
  </r>
  <r>
    <x v="0"/>
    <x v="6"/>
    <x v="1"/>
    <s v="Økologisk"/>
    <x v="0"/>
    <s v="Roer"/>
    <n v="8095.677761101183"/>
    <n v="374948.29473011725"/>
    <n v="0"/>
    <n v="374948.29473011725"/>
  </r>
  <r>
    <x v="0"/>
    <x v="7"/>
    <x v="1"/>
    <s v="Økologisk"/>
    <x v="0"/>
    <s v="Majs"/>
    <n v="16391.035678841039"/>
    <n v="605538.94839412824"/>
    <n v="0"/>
    <n v="605538.94839412824"/>
  </r>
  <r>
    <x v="0"/>
    <x v="8"/>
    <x v="1"/>
    <s v="Økologisk"/>
    <x v="0"/>
    <s v="Frugt"/>
    <n v="491.10521379926485"/>
    <n v="2376.6054611387822"/>
    <n v="0"/>
    <n v="2376.6054611387822"/>
  </r>
  <r>
    <x v="0"/>
    <x v="9"/>
    <x v="1"/>
    <s v="Økologisk"/>
    <x v="0"/>
    <s v="Øvrige"/>
    <n v="4346.6383193354177"/>
    <n v="73821.948193658493"/>
    <n v="0"/>
    <n v="73821.948193658493"/>
  </r>
  <r>
    <x v="0"/>
    <x v="10"/>
    <x v="1"/>
    <s v="Økologisk"/>
    <x v="0"/>
    <s v="Halm"/>
    <n v="9771.6630414643932"/>
    <n v="79586.781575259811"/>
    <n v="19048.155852799315"/>
    <n v="19048.155852799315"/>
  </r>
  <r>
    <x v="0"/>
    <x v="11"/>
    <x v="1"/>
    <s v="Økologisk"/>
    <x v="0"/>
    <s v="Juletræer"/>
    <n v="1835.286745469635"/>
    <n v="52305.672245884591"/>
    <n v="0"/>
    <n v="52305.672245884591"/>
  </r>
  <r>
    <x v="0"/>
    <x v="12"/>
    <x v="1"/>
    <s v="Økologisk"/>
    <x v="0"/>
    <s v="Pil &amp; poppel"/>
    <n v="705.74830237637309"/>
    <n v="9811.6227403544544"/>
    <n v="0"/>
    <n v="9811.6227403544544"/>
  </r>
  <r>
    <x v="0"/>
    <x v="13"/>
    <x v="1"/>
    <s v="Økologisk"/>
    <x v="0"/>
    <s v="Græs"/>
    <n v="17120.016233496339"/>
    <n v="236085.02385991454"/>
    <n v="0"/>
    <n v="236085.02385991454"/>
  </r>
  <r>
    <x v="0"/>
    <x v="0"/>
    <x v="2"/>
    <s v="Økologisk"/>
    <x v="0"/>
    <s v="Halm"/>
    <n v="122307.389496616"/>
    <n v="574441.11624875641"/>
    <n v="270120.66678102472"/>
    <n v="270120.66678102472"/>
  </r>
  <r>
    <x v="0"/>
    <x v="1"/>
    <x v="2"/>
    <s v="Økologisk"/>
    <x v="0"/>
    <s v="Halm"/>
    <n v="9411.9586754872907"/>
    <n v="20708.191477807137"/>
    <n v="8857.0020923550001"/>
    <n v="8857.0020923550001"/>
  </r>
  <r>
    <x v="0"/>
    <x v="2"/>
    <x v="2"/>
    <s v="Økologisk"/>
    <x v="0"/>
    <s v="Halm"/>
    <n v="13773.159356793169"/>
    <n v="33331.045643439473"/>
    <n v="25647.264689541604"/>
    <n v="25647.264689541604"/>
  </r>
  <r>
    <x v="0"/>
    <x v="3"/>
    <x v="2"/>
    <s v="Økologisk"/>
    <x v="0"/>
    <s v="Græs"/>
    <n v="76264.874223341743"/>
    <n v="2951725.1859905296"/>
    <n v="0"/>
    <n v="2951725.1859905296"/>
  </r>
  <r>
    <x v="0"/>
    <x v="4"/>
    <x v="2"/>
    <s v="Økologisk"/>
    <x v="0"/>
    <s v="Grøntsager"/>
    <n v="1581.8387912818764"/>
    <n v="18709.198303886395"/>
    <n v="0"/>
    <n v="18709.198303886395"/>
  </r>
  <r>
    <x v="0"/>
    <x v="5"/>
    <x v="2"/>
    <s v="Økologisk"/>
    <x v="0"/>
    <s v="Kartofler"/>
    <n v="6653.3609210804825"/>
    <n v="161067.30700900755"/>
    <n v="0"/>
    <n v="161067.30700900755"/>
  </r>
  <r>
    <x v="0"/>
    <x v="6"/>
    <x v="2"/>
    <s v="Økologisk"/>
    <x v="0"/>
    <s v="Roer"/>
    <n v="10168.724562318854"/>
    <n v="470960.6838035878"/>
    <n v="0"/>
    <n v="470960.6838035878"/>
  </r>
  <r>
    <x v="0"/>
    <x v="7"/>
    <x v="2"/>
    <s v="Økologisk"/>
    <x v="0"/>
    <s v="Majs"/>
    <n v="20588.261048399749"/>
    <n v="760598.30438934651"/>
    <n v="0"/>
    <n v="760598.30438934651"/>
  </r>
  <r>
    <x v="0"/>
    <x v="8"/>
    <x v="2"/>
    <s v="Økologisk"/>
    <x v="0"/>
    <s v="Frugt"/>
    <n v="616.86171283133672"/>
    <n v="2985.1788869046882"/>
    <n v="0"/>
    <n v="2985.1788869046882"/>
  </r>
  <r>
    <x v="0"/>
    <x v="9"/>
    <x v="2"/>
    <s v="Økologisk"/>
    <x v="0"/>
    <s v="Øvrige"/>
    <n v="5459.6747975465751"/>
    <n v="92725.412249236761"/>
    <n v="0"/>
    <n v="92725.412249236761"/>
  </r>
  <r>
    <x v="0"/>
    <x v="10"/>
    <x v="2"/>
    <s v="Økologisk"/>
    <x v="0"/>
    <s v="Halm"/>
    <n v="12273.876618691718"/>
    <n v="99966.436970703828"/>
    <n v="23925.78558622019"/>
    <n v="23925.78558622019"/>
  </r>
  <r>
    <x v="0"/>
    <x v="11"/>
    <x v="2"/>
    <s v="Økologisk"/>
    <x v="0"/>
    <s v="Juletræer"/>
    <n v="2305.2455839122736"/>
    <n v="65699.499141499793"/>
    <n v="0"/>
    <n v="65699.499141499793"/>
  </r>
  <r>
    <x v="0"/>
    <x v="12"/>
    <x v="2"/>
    <s v="Økologisk"/>
    <x v="0"/>
    <s v="Pil &amp; poppel"/>
    <n v="886.46810174090911"/>
    <n v="12324.068731519956"/>
    <n v="0"/>
    <n v="12324.068731519956"/>
  </r>
  <r>
    <x v="0"/>
    <x v="13"/>
    <x v="2"/>
    <s v="Økologisk"/>
    <x v="0"/>
    <s v="Græs"/>
    <n v="21503.910446797723"/>
    <n v="296538.92506134062"/>
    <n v="0"/>
    <n v="296538.92506134062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12397.451002927566"/>
    <n v="104287.35783662667"/>
    <n v="49039.265886152367"/>
    <n v="49039.265886152367"/>
  </r>
  <r>
    <x v="0"/>
    <x v="1"/>
    <x v="1"/>
    <s v="Konventionel"/>
    <x v="1"/>
    <s v="Halm"/>
    <n v="1062.761606425149"/>
    <n v="4922.7117609612906"/>
    <n v="2105.4696357053253"/>
    <n v="2105.4696357053253"/>
  </r>
  <r>
    <x v="0"/>
    <x v="2"/>
    <x v="1"/>
    <s v="Konventionel"/>
    <x v="1"/>
    <s v="Halm"/>
    <n v="1137.9870596805204"/>
    <n v="6008.5716751131476"/>
    <n v="4623.4201532780708"/>
    <n v="4623.4201532780708"/>
  </r>
  <r>
    <x v="0"/>
    <x v="3"/>
    <x v="1"/>
    <s v="Konventionel"/>
    <x v="1"/>
    <s v="Græs"/>
    <n v="10501.746271795293"/>
    <n v="625315.98000777897"/>
    <n v="0"/>
    <n v="625315.98000777897"/>
  </r>
  <r>
    <x v="0"/>
    <x v="4"/>
    <x v="1"/>
    <s v="Konventionel"/>
    <x v="1"/>
    <s v="Grøntsager"/>
    <n v="49.117062325833871"/>
    <n v="1223.0148519132633"/>
    <n v="0"/>
    <n v="1223.0148519132633"/>
  </r>
  <r>
    <x v="0"/>
    <x v="5"/>
    <x v="1"/>
    <s v="Konventionel"/>
    <x v="1"/>
    <s v="Kartofler"/>
    <n v="775.43110733760068"/>
    <n v="39519.907927612192"/>
    <n v="0"/>
    <n v="39519.907927612192"/>
  </r>
  <r>
    <x v="0"/>
    <x v="6"/>
    <x v="1"/>
    <s v="Konventionel"/>
    <x v="1"/>
    <s v="Roer"/>
    <n v="20.343682789424093"/>
    <n v="1983.6001630858166"/>
    <n v="0"/>
    <n v="1983.6001630858166"/>
  </r>
  <r>
    <x v="0"/>
    <x v="7"/>
    <x v="1"/>
    <s v="Konventionel"/>
    <x v="1"/>
    <s v="Majs"/>
    <n v="2626.0637331851003"/>
    <n v="140263.31611688258"/>
    <n v="0"/>
    <n v="140263.31611688258"/>
  </r>
  <r>
    <x v="0"/>
    <x v="8"/>
    <x v="1"/>
    <s v="Konventionel"/>
    <x v="1"/>
    <s v="Frugt"/>
    <n v="44.737253203575285"/>
    <n v="455.78313563802504"/>
    <n v="0"/>
    <n v="455.78313563802504"/>
  </r>
  <r>
    <x v="0"/>
    <x v="9"/>
    <x v="1"/>
    <s v="Konventionel"/>
    <x v="1"/>
    <s v="Øvrige"/>
    <n v="791.21864877871178"/>
    <n v="28290.127393960796"/>
    <n v="0"/>
    <n v="28290.127393960796"/>
  </r>
  <r>
    <x v="0"/>
    <x v="10"/>
    <x v="1"/>
    <s v="Konventionel"/>
    <x v="1"/>
    <s v="Halm"/>
    <n v="1952.9609549061931"/>
    <n v="33486.704584058869"/>
    <n v="8014.6470970260507"/>
    <n v="8014.6470970260507"/>
  </r>
  <r>
    <x v="0"/>
    <x v="11"/>
    <x v="1"/>
    <s v="Konventionel"/>
    <x v="1"/>
    <s v="Juletræer"/>
    <n v="224.38166373606674"/>
    <n v="13462.899824164006"/>
    <n v="0"/>
    <n v="13462.899824164006"/>
  </r>
  <r>
    <x v="0"/>
    <x v="12"/>
    <x v="1"/>
    <s v="Konventionel"/>
    <x v="1"/>
    <s v="Pil &amp; poppel"/>
    <n v="368.51743073956908"/>
    <n v="10785.876021645925"/>
    <n v="0"/>
    <n v="10785.876021645925"/>
  </r>
  <r>
    <x v="0"/>
    <x v="13"/>
    <x v="1"/>
    <s v="Konventionel"/>
    <x v="1"/>
    <s v="Græs"/>
    <n v="40667.094971784412"/>
    <n v="672959.08759308851"/>
    <n v="0"/>
    <n v="672959.08759308851"/>
  </r>
  <r>
    <x v="0"/>
    <x v="0"/>
    <x v="2"/>
    <s v="Konventionel"/>
    <x v="1"/>
    <s v="Halm"/>
    <n v="11824.158471000279"/>
    <n v="99464.821058054338"/>
    <n v="46771.554168873641"/>
    <n v="46771.554168873641"/>
  </r>
  <r>
    <x v="0"/>
    <x v="1"/>
    <x v="2"/>
    <s v="Konventionel"/>
    <x v="1"/>
    <s v="Halm"/>
    <n v="1013.616561041327"/>
    <n v="4695.0719107434261"/>
    <n v="2008.1068779848476"/>
    <n v="2008.1068779848476"/>
  </r>
  <r>
    <x v="0"/>
    <x v="2"/>
    <x v="2"/>
    <s v="Konventionel"/>
    <x v="1"/>
    <s v="Halm"/>
    <n v="1085.3633806201497"/>
    <n v="5730.7186496743898"/>
    <n v="4409.6203774039413"/>
    <n v="4409.6203774039413"/>
  </r>
  <r>
    <x v="0"/>
    <x v="3"/>
    <x v="2"/>
    <s v="Konventionel"/>
    <x v="1"/>
    <s v="Græs"/>
    <n v="10016.116386394353"/>
    <n v="596399.6341114653"/>
    <n v="0"/>
    <n v="596399.6341114653"/>
  </r>
  <r>
    <x v="0"/>
    <x v="4"/>
    <x v="2"/>
    <s v="Konventionel"/>
    <x v="1"/>
    <s v="Grøntsager"/>
    <n v="46.845753085332873"/>
    <n v="1166.4592518247885"/>
    <n v="0"/>
    <n v="1166.4592518247885"/>
  </r>
  <r>
    <x v="0"/>
    <x v="5"/>
    <x v="2"/>
    <s v="Konventionel"/>
    <x v="1"/>
    <s v="Kartofler"/>
    <n v="739.57302144915673"/>
    <n v="37692.397734427817"/>
    <n v="0"/>
    <n v="37692.397734427817"/>
  </r>
  <r>
    <x v="0"/>
    <x v="6"/>
    <x v="2"/>
    <s v="Konventionel"/>
    <x v="1"/>
    <s v="Roer"/>
    <n v="19.402934452340897"/>
    <n v="1891.8729879142179"/>
    <n v="0"/>
    <n v="1891.8729879142179"/>
  </r>
  <r>
    <x v="0"/>
    <x v="7"/>
    <x v="2"/>
    <s v="Konventionel"/>
    <x v="1"/>
    <s v="Majs"/>
    <n v="2504.6272599742283"/>
    <n v="133777.15120974349"/>
    <n v="0"/>
    <n v="133777.15120974349"/>
  </r>
  <r>
    <x v="0"/>
    <x v="8"/>
    <x v="2"/>
    <s v="Konventionel"/>
    <x v="1"/>
    <s v="Frugt"/>
    <n v="42.668478488959082"/>
    <n v="434.70645884551516"/>
    <n v="0"/>
    <n v="434.70645884551516"/>
  </r>
  <r>
    <x v="0"/>
    <x v="9"/>
    <x v="2"/>
    <s v="Konventionel"/>
    <x v="1"/>
    <s v="Øvrige"/>
    <n v="754.6305031704477"/>
    <n v="26981.913410425037"/>
    <n v="0"/>
    <n v="26981.913410425037"/>
  </r>
  <r>
    <x v="0"/>
    <x v="10"/>
    <x v="2"/>
    <s v="Konventionel"/>
    <x v="1"/>
    <s v="Halm"/>
    <n v="1862.6506217313402"/>
    <n v="31938.18645300412"/>
    <n v="7644.0275780884303"/>
    <n v="7644.0275780884303"/>
  </r>
  <r>
    <x v="0"/>
    <x v="11"/>
    <x v="2"/>
    <s v="Konventionel"/>
    <x v="1"/>
    <s v="Juletræer"/>
    <n v="214.00563304306942"/>
    <n v="12840.337982584166"/>
    <n v="0"/>
    <n v="12840.337982584166"/>
  </r>
  <r>
    <x v="0"/>
    <x v="12"/>
    <x v="2"/>
    <s v="Konventionel"/>
    <x v="1"/>
    <s v="Pil &amp; poppel"/>
    <n v="351.476162266063"/>
    <n v="10287.107188275015"/>
    <n v="0"/>
    <n v="10287.107188275015"/>
  </r>
  <r>
    <x v="0"/>
    <x v="13"/>
    <x v="2"/>
    <s v="Konventionel"/>
    <x v="1"/>
    <s v="Græs"/>
    <n v="38786.535666730793"/>
    <n v="641839.59221306117"/>
    <n v="0"/>
    <n v="641839.59221306117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1934.8622952545911"/>
    <n v="10904.961290546686"/>
    <n v="5127.863120696511"/>
    <n v="5127.863120696511"/>
  </r>
  <r>
    <x v="0"/>
    <x v="1"/>
    <x v="1"/>
    <s v="Økologisk"/>
    <x v="1"/>
    <s v="Halm"/>
    <n v="165.86452817039898"/>
    <n v="437.9221618566142"/>
    <n v="187.30160516476849"/>
    <n v="187.30160516476849"/>
  </r>
  <r>
    <x v="0"/>
    <x v="2"/>
    <x v="1"/>
    <s v="Økologisk"/>
    <x v="1"/>
    <s v="Halm"/>
    <n v="177.60491682875178"/>
    <n v="515.76467847069523"/>
    <n v="396.86583396635473"/>
    <n v="396.86583396635473"/>
  </r>
  <r>
    <x v="0"/>
    <x v="3"/>
    <x v="1"/>
    <s v="Økologisk"/>
    <x v="1"/>
    <s v="Græs"/>
    <n v="1639.0008632281672"/>
    <n v="76122.280572045231"/>
    <n v="0"/>
    <n v="76122.280572045231"/>
  </r>
  <r>
    <x v="0"/>
    <x v="4"/>
    <x v="1"/>
    <s v="Økologisk"/>
    <x v="1"/>
    <s v="Grøntsager"/>
    <n v="7.6656686866908359"/>
    <n v="108.79883567020302"/>
    <n v="0"/>
    <n v="108.79883567020302"/>
  </r>
  <r>
    <x v="0"/>
    <x v="5"/>
    <x v="1"/>
    <s v="Økologisk"/>
    <x v="1"/>
    <s v="Kartofler"/>
    <n v="121.0210398734984"/>
    <n v="3515.6727341384499"/>
    <n v="0"/>
    <n v="3515.6727341384499"/>
  </r>
  <r>
    <x v="0"/>
    <x v="6"/>
    <x v="1"/>
    <s v="Økologisk"/>
    <x v="1"/>
    <s v="Roer"/>
    <n v="3.1750256376557835"/>
    <n v="176.46015323636252"/>
    <n v="0"/>
    <n v="176.46015323636252"/>
  </r>
  <r>
    <x v="0"/>
    <x v="7"/>
    <x v="1"/>
    <s v="Økologisk"/>
    <x v="1"/>
    <s v="Majs"/>
    <n v="409.84809708669195"/>
    <n v="18169.369446123346"/>
    <n v="0"/>
    <n v="18169.369446123346"/>
  </r>
  <r>
    <x v="0"/>
    <x v="8"/>
    <x v="1"/>
    <s v="Økologisk"/>
    <x v="1"/>
    <s v="Frugt"/>
    <n v="6.9821146618296694"/>
    <n v="40.54625697959078"/>
    <n v="0"/>
    <n v="40.54625697959078"/>
  </r>
  <r>
    <x v="0"/>
    <x v="9"/>
    <x v="1"/>
    <s v="Økologisk"/>
    <x v="1"/>
    <s v="Øvrige"/>
    <n v="123.48499142789146"/>
    <n v="2516.6766508269175"/>
    <n v="0"/>
    <n v="2516.6766508269175"/>
  </r>
  <r>
    <x v="0"/>
    <x v="10"/>
    <x v="1"/>
    <s v="Økologisk"/>
    <x v="1"/>
    <s v="Halm"/>
    <n v="304.79737446512843"/>
    <n v="2978.9617546165664"/>
    <n v="712.97929955624829"/>
    <n v="712.97929955624829"/>
  </r>
  <r>
    <x v="0"/>
    <x v="11"/>
    <x v="1"/>
    <s v="Økologisk"/>
    <x v="1"/>
    <s v="Juletræer"/>
    <n v="35.01910358886591"/>
    <n v="1197.6533427392139"/>
    <n v="0"/>
    <n v="1197.6533427392139"/>
  </r>
  <r>
    <x v="0"/>
    <x v="12"/>
    <x v="1"/>
    <s v="Økologisk"/>
    <x v="1"/>
    <s v="Pil &amp; poppel"/>
    <n v="57.514281098083039"/>
    <n v="959.50654319728767"/>
    <n v="0"/>
    <n v="959.50654319728767"/>
  </r>
  <r>
    <x v="0"/>
    <x v="13"/>
    <x v="1"/>
    <s v="Økologisk"/>
    <x v="1"/>
    <s v="Græs"/>
    <n v="6346.8876545559488"/>
    <n v="105028.29690759185"/>
    <n v="0"/>
    <n v="105028.29690759185"/>
  </r>
  <r>
    <x v="0"/>
    <x v="0"/>
    <x v="2"/>
    <s v="Økologisk"/>
    <x v="1"/>
    <s v="Halm"/>
    <n v="2508.1548271818774"/>
    <n v="14136.060932190147"/>
    <n v="6647.2299712732556"/>
    <n v="6647.2299712732556"/>
  </r>
  <r>
    <x v="0"/>
    <x v="1"/>
    <x v="2"/>
    <s v="Økologisk"/>
    <x v="1"/>
    <s v="Halm"/>
    <n v="215.00957355422085"/>
    <n v="567.67687648079607"/>
    <n v="242.79837706544063"/>
    <n v="242.79837706544063"/>
  </r>
  <r>
    <x v="0"/>
    <x v="2"/>
    <x v="2"/>
    <s v="Økologisk"/>
    <x v="1"/>
    <s v="Halm"/>
    <n v="230.22859588912263"/>
    <n v="668.58384246201217"/>
    <n v="514.45571069712639"/>
    <n v="514.45571069712639"/>
  </r>
  <r>
    <x v="0"/>
    <x v="3"/>
    <x v="2"/>
    <s v="Økologisk"/>
    <x v="1"/>
    <s v="Græs"/>
    <n v="2124.6307486291057"/>
    <n v="98677.030371169749"/>
    <n v="0"/>
    <n v="98677.030371169749"/>
  </r>
  <r>
    <x v="0"/>
    <x v="4"/>
    <x v="2"/>
    <s v="Økologisk"/>
    <x v="1"/>
    <s v="Grøntsager"/>
    <n v="9.9369779271918226"/>
    <n v="141.03552772063352"/>
    <n v="0"/>
    <n v="141.03552772063352"/>
  </r>
  <r>
    <x v="0"/>
    <x v="5"/>
    <x v="2"/>
    <s v="Økologisk"/>
    <x v="1"/>
    <s v="Kartofler"/>
    <n v="156.87912576194233"/>
    <n v="4557.3535442535449"/>
    <n v="0"/>
    <n v="4557.3535442535449"/>
  </r>
  <r>
    <x v="0"/>
    <x v="6"/>
    <x v="2"/>
    <s v="Økologisk"/>
    <x v="1"/>
    <s v="Roer"/>
    <n v="4.1157739747389783"/>
    <n v="228.74464308417362"/>
    <n v="0"/>
    <n v="228.74464308417362"/>
  </r>
  <r>
    <x v="0"/>
    <x v="7"/>
    <x v="2"/>
    <s v="Økologisk"/>
    <x v="1"/>
    <s v="Majs"/>
    <n v="531.28457029756362"/>
    <n v="23552.886319048779"/>
    <n v="0"/>
    <n v="23552.886319048779"/>
  </r>
  <r>
    <x v="0"/>
    <x v="8"/>
    <x v="2"/>
    <s v="Økologisk"/>
    <x v="1"/>
    <s v="Frugt"/>
    <n v="9.0508893764458662"/>
    <n v="52.559962751321372"/>
    <n v="0"/>
    <n v="52.559962751321372"/>
  </r>
  <r>
    <x v="0"/>
    <x v="9"/>
    <x v="2"/>
    <s v="Økologisk"/>
    <x v="1"/>
    <s v="Øvrige"/>
    <n v="160.07313703615557"/>
    <n v="3262.3586214422994"/>
    <n v="0"/>
    <n v="3262.3586214422994"/>
  </r>
  <r>
    <x v="0"/>
    <x v="10"/>
    <x v="2"/>
    <s v="Økologisk"/>
    <x v="1"/>
    <s v="Halm"/>
    <n v="395.1077076399813"/>
    <n v="3861.6170893177714"/>
    <n v="924.2324253506921"/>
    <n v="924.2324253506921"/>
  </r>
  <r>
    <x v="0"/>
    <x v="11"/>
    <x v="2"/>
    <s v="Økologisk"/>
    <x v="1"/>
    <s v="Juletræer"/>
    <n v="45.395134281863214"/>
    <n v="1552.5135924397218"/>
    <n v="0"/>
    <n v="1552.5135924397218"/>
  </r>
  <r>
    <x v="0"/>
    <x v="12"/>
    <x v="2"/>
    <s v="Økologisk"/>
    <x v="1"/>
    <s v="Pil &amp; poppel"/>
    <n v="74.555549571589111"/>
    <n v="1243.8047782187059"/>
    <n v="0"/>
    <n v="1243.8047782187059"/>
  </r>
  <r>
    <x v="0"/>
    <x v="13"/>
    <x v="2"/>
    <s v="Økologisk"/>
    <x v="1"/>
    <s v="Græs"/>
    <n v="8227.4469596095623"/>
    <n v="136147.79228761903"/>
    <n v="0"/>
    <n v="136147.79228761903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6829.6764788402734"/>
    <n v="67026.444963338436"/>
    <n v="31517.987646306185"/>
    <n v="31517.987646306185"/>
  </r>
  <r>
    <x v="0"/>
    <x v="1"/>
    <x v="1"/>
    <s v="Konventionel"/>
    <x v="2"/>
    <s v="Halm"/>
    <n v="393.24746020858441"/>
    <n v="2125.1092749671902"/>
    <n v="908.9203813398658"/>
    <n v="908.9203813398658"/>
  </r>
  <r>
    <x v="0"/>
    <x v="2"/>
    <x v="1"/>
    <s v="Konventionel"/>
    <x v="2"/>
    <s v="Halm"/>
    <n v="509.2376538265151"/>
    <n v="3136.903947571333"/>
    <n v="2413.7558332156746"/>
    <n v="2413.7558332156746"/>
  </r>
  <r>
    <x v="0"/>
    <x v="3"/>
    <x v="1"/>
    <s v="Konventionel"/>
    <x v="2"/>
    <s v="Græs"/>
    <n v="11744.627821749295"/>
    <n v="815875.80552127992"/>
    <n v="0"/>
    <n v="815875.80552127992"/>
  </r>
  <r>
    <x v="0"/>
    <x v="4"/>
    <x v="1"/>
    <s v="Konventionel"/>
    <x v="2"/>
    <s v="Grøntsager"/>
    <n v="13.650927813648"/>
    <n v="396.55945298647441"/>
    <n v="0"/>
    <n v="396.55945298647441"/>
  </r>
  <r>
    <x v="0"/>
    <x v="5"/>
    <x v="1"/>
    <s v="Konventionel"/>
    <x v="2"/>
    <s v="Kartofler"/>
    <n v="722.54761223276046"/>
    <n v="42962.145802906423"/>
    <n v="0"/>
    <n v="42962.145802906423"/>
  </r>
  <r>
    <x v="0"/>
    <x v="6"/>
    <x v="1"/>
    <s v="Konventionel"/>
    <x v="2"/>
    <s v="Roer"/>
    <n v="7.81367517821608"/>
    <n v="888.84636922823381"/>
    <n v="0"/>
    <n v="888.84636922823381"/>
  </r>
  <r>
    <x v="0"/>
    <x v="7"/>
    <x v="1"/>
    <s v="Konventionel"/>
    <x v="2"/>
    <s v="Majs"/>
    <n v="971.70700105983565"/>
    <n v="60550.950064042598"/>
    <n v="0"/>
    <n v="60550.950064042598"/>
  </r>
  <r>
    <x v="0"/>
    <x v="8"/>
    <x v="1"/>
    <s v="Konventionel"/>
    <x v="2"/>
    <s v="Frugt"/>
    <n v="27.846169827307591"/>
    <n v="330.97957456737799"/>
    <n v="0"/>
    <n v="330.97957456737799"/>
  </r>
  <r>
    <x v="0"/>
    <x v="9"/>
    <x v="1"/>
    <s v="Konventionel"/>
    <x v="2"/>
    <s v="Øvrige"/>
    <n v="492.48461375505457"/>
    <n v="20543.661222135182"/>
    <n v="0"/>
    <n v="20543.661222135182"/>
  </r>
  <r>
    <x v="0"/>
    <x v="10"/>
    <x v="1"/>
    <s v="Konventionel"/>
    <x v="2"/>
    <s v="Halm"/>
    <n v="1566.9213854799195"/>
    <n v="31345.33009747367"/>
    <n v="7502.1344139856974"/>
    <n v="7502.1344139856974"/>
  </r>
  <r>
    <x v="0"/>
    <x v="11"/>
    <x v="1"/>
    <s v="Konventionel"/>
    <x v="2"/>
    <s v="Juletræer"/>
    <n v="139.66369115457903"/>
    <n v="9776.4583808205316"/>
    <n v="0"/>
    <n v="9776.4583808205316"/>
  </r>
  <r>
    <x v="0"/>
    <x v="12"/>
    <x v="1"/>
    <s v="Konventionel"/>
    <x v="2"/>
    <s v="Pil &amp; poppel"/>
    <n v="329.67947330545348"/>
    <n v="11257.347868966703"/>
    <n v="0"/>
    <n v="11257.347868966703"/>
  </r>
  <r>
    <x v="0"/>
    <x v="13"/>
    <x v="1"/>
    <s v="Konventionel"/>
    <x v="2"/>
    <s v="Græs"/>
    <n v="31481.370371455621"/>
    <n v="607779.3363913222"/>
    <n v="0"/>
    <n v="607779.3363913222"/>
  </r>
  <r>
    <x v="0"/>
    <x v="0"/>
    <x v="2"/>
    <s v="Konventionel"/>
    <x v="2"/>
    <s v="Halm"/>
    <n v="6513.8532890673114"/>
    <n v="63926.956178906585"/>
    <n v="30060.508448789125"/>
    <n v="30060.508448789125"/>
  </r>
  <r>
    <x v="0"/>
    <x v="1"/>
    <x v="2"/>
    <s v="Konventionel"/>
    <x v="2"/>
    <s v="Halm"/>
    <n v="375.06260655732041"/>
    <n v="2026.8383258357594"/>
    <n v="866.88938104669273"/>
    <n v="866.88938104669273"/>
  </r>
  <r>
    <x v="0"/>
    <x v="2"/>
    <x v="2"/>
    <s v="Konventionel"/>
    <x v="2"/>
    <s v="Halm"/>
    <n v="485.68909179985542"/>
    <n v="2991.8448054871092"/>
    <n v="2302.1370663617704"/>
    <n v="2302.1370663617704"/>
  </r>
  <r>
    <x v="0"/>
    <x v="3"/>
    <x v="2"/>
    <s v="Konventionel"/>
    <x v="2"/>
    <s v="Græs"/>
    <n v="11201.523645021003"/>
    <n v="778147.44457231904"/>
    <n v="0"/>
    <n v="778147.44457231904"/>
  </r>
  <r>
    <x v="0"/>
    <x v="4"/>
    <x v="2"/>
    <s v="Konventionel"/>
    <x v="2"/>
    <s v="Grøntsager"/>
    <n v="13.019671036138266"/>
    <n v="378.22144359981667"/>
    <n v="0"/>
    <n v="378.22144359981667"/>
  </r>
  <r>
    <x v="0"/>
    <x v="5"/>
    <x v="2"/>
    <s v="Konventionel"/>
    <x v="2"/>
    <s v="Kartofler"/>
    <n v="689.13500588673674"/>
    <n v="40975.456979650633"/>
    <n v="0"/>
    <n v="40975.456979650633"/>
  </r>
  <r>
    <x v="0"/>
    <x v="6"/>
    <x v="2"/>
    <s v="Konventionel"/>
    <x v="2"/>
    <s v="Roer"/>
    <n v="7.4523491584141794"/>
    <n v="847.7436469517836"/>
    <n v="0"/>
    <n v="847.7436469517836"/>
  </r>
  <r>
    <x v="0"/>
    <x v="7"/>
    <x v="2"/>
    <s v="Konventionel"/>
    <x v="2"/>
    <s v="Majs"/>
    <n v="926.7725732651611"/>
    <n v="57750.906130445248"/>
    <n v="0"/>
    <n v="57750.906130445248"/>
  </r>
  <r>
    <x v="0"/>
    <x v="8"/>
    <x v="2"/>
    <s v="Konventionel"/>
    <x v="2"/>
    <s v="Frugt"/>
    <n v="26.558485673443656"/>
    <n v="315.67416071455131"/>
    <n v="0"/>
    <n v="315.67416071455131"/>
  </r>
  <r>
    <x v="0"/>
    <x v="9"/>
    <x v="2"/>
    <s v="Konventionel"/>
    <x v="2"/>
    <s v="Øvrige"/>
    <n v="469.71075878372255"/>
    <n v="19593.665327469971"/>
    <n v="0"/>
    <n v="19593.665327469971"/>
  </r>
  <r>
    <x v="0"/>
    <x v="10"/>
    <x v="2"/>
    <s v="Konventionel"/>
    <x v="2"/>
    <s v="Halm"/>
    <n v="1494.4625930877842"/>
    <n v="29895.835064064475"/>
    <n v="7155.2149035123675"/>
    <n v="7155.2149035123675"/>
  </r>
  <r>
    <x v="0"/>
    <x v="11"/>
    <x v="2"/>
    <s v="Konventionel"/>
    <x v="2"/>
    <s v="Juletræer"/>
    <n v="133.20525456939615"/>
    <n v="9324.3678198577309"/>
    <n v="0"/>
    <n v="9324.3678198577309"/>
  </r>
  <r>
    <x v="0"/>
    <x v="12"/>
    <x v="2"/>
    <s v="Konventionel"/>
    <x v="2"/>
    <s v="Pil &amp; poppel"/>
    <n v="314.43417974219551"/>
    <n v="10736.776869245699"/>
    <n v="0"/>
    <n v="10736.776869245699"/>
  </r>
  <r>
    <x v="0"/>
    <x v="13"/>
    <x v="2"/>
    <s v="Konventionel"/>
    <x v="2"/>
    <s v="Græs"/>
    <n v="30025.584458324727"/>
    <n v="579673.93355241721"/>
    <n v="0"/>
    <n v="579673.93355241721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065.9032654837422"/>
    <n v="7008.7190137964881"/>
    <n v="3295.7248353854275"/>
    <n v="3295.7248353854275"/>
  </r>
  <r>
    <x v="0"/>
    <x v="1"/>
    <x v="1"/>
    <s v="Økologisk"/>
    <x v="2"/>
    <s v="Halm"/>
    <n v="61.373881073016072"/>
    <n v="189.04873839158992"/>
    <n v="80.857136813991545"/>
    <n v="80.857136813991545"/>
  </r>
  <r>
    <x v="0"/>
    <x v="2"/>
    <x v="1"/>
    <s v="Økologisk"/>
    <x v="2"/>
    <s v="Halm"/>
    <n v="79.476396839976346"/>
    <n v="269.26603249383987"/>
    <n v="207.19233597255936"/>
    <n v="207.19233597255936"/>
  </r>
  <r>
    <x v="0"/>
    <x v="3"/>
    <x v="1"/>
    <s v="Økologisk"/>
    <x v="2"/>
    <s v="Græs"/>
    <n v="1832.9765964579826"/>
    <n v="99319.910198139638"/>
    <n v="0"/>
    <n v="99319.910198139638"/>
  </r>
  <r>
    <x v="0"/>
    <x v="4"/>
    <x v="1"/>
    <s v="Økologisk"/>
    <x v="2"/>
    <s v="Grøntsager"/>
    <n v="2.1304916240953529"/>
    <n v="35.277745557582897"/>
    <n v="0"/>
    <n v="35.277745557582897"/>
  </r>
  <r>
    <x v="0"/>
    <x v="5"/>
    <x v="1"/>
    <s v="Økologisk"/>
    <x v="2"/>
    <s v="Kartofler"/>
    <n v="112.76754641782966"/>
    <n v="3821.8926237383225"/>
    <n v="0"/>
    <n v="3821.8926237383225"/>
  </r>
  <r>
    <x v="0"/>
    <x v="6"/>
    <x v="1"/>
    <s v="Økologisk"/>
    <x v="2"/>
    <s v="Roer"/>
    <n v="1.2194753168314114"/>
    <n v="79.071361979320926"/>
    <n v="0"/>
    <n v="79.071361979320926"/>
  </r>
  <r>
    <x v="0"/>
    <x v="7"/>
    <x v="1"/>
    <s v="Økologisk"/>
    <x v="2"/>
    <s v="Majs"/>
    <n v="151.6536938070264"/>
    <n v="7843.6230689895647"/>
    <n v="0"/>
    <n v="7843.6230689895647"/>
  </r>
  <r>
    <x v="0"/>
    <x v="8"/>
    <x v="1"/>
    <s v="Økologisk"/>
    <x v="2"/>
    <s v="Frugt"/>
    <n v="4.3459340192907803"/>
    <n v="29.443789899375417"/>
    <n v="0"/>
    <n v="29.443789899375417"/>
  </r>
  <r>
    <x v="0"/>
    <x v="9"/>
    <x v="1"/>
    <s v="Økologisk"/>
    <x v="2"/>
    <s v="Øvrige"/>
    <n v="76.861760528245512"/>
    <n v="1827.5546023621989"/>
    <n v="0"/>
    <n v="1827.5546023621989"/>
  </r>
  <r>
    <x v="0"/>
    <x v="10"/>
    <x v="1"/>
    <s v="Økologisk"/>
    <x v="2"/>
    <s v="Halm"/>
    <n v="244.54842432345563"/>
    <n v="2788.4660705209226"/>
    <n v="667.3864082730629"/>
    <n v="667.3864082730629"/>
  </r>
  <r>
    <x v="0"/>
    <x v="11"/>
    <x v="1"/>
    <s v="Økologisk"/>
    <x v="2"/>
    <s v="Juletræer"/>
    <n v="21.797223474992101"/>
    <n v="869.70921665218475"/>
    <n v="0"/>
    <n v="869.70921665218475"/>
  </r>
  <r>
    <x v="0"/>
    <x v="12"/>
    <x v="1"/>
    <s v="Økologisk"/>
    <x v="2"/>
    <s v="Pil &amp; poppel"/>
    <n v="51.452865775995633"/>
    <n v="1001.4484607132807"/>
    <n v="0"/>
    <n v="1001.4484607132807"/>
  </r>
  <r>
    <x v="0"/>
    <x v="13"/>
    <x v="1"/>
    <s v="Økologisk"/>
    <x v="2"/>
    <s v="Græs"/>
    <n v="4913.2774568167742"/>
    <n v="94855.734581304656"/>
    <n v="0"/>
    <n v="94855.734581304656"/>
  </r>
  <r>
    <x v="0"/>
    <x v="0"/>
    <x v="2"/>
    <s v="Økologisk"/>
    <x v="2"/>
    <s v="Halm"/>
    <n v="1381.7264552567024"/>
    <n v="9085.3764993658169"/>
    <n v="4272.2358977218491"/>
    <n v="4272.2358977218491"/>
  </r>
  <r>
    <x v="0"/>
    <x v="1"/>
    <x v="2"/>
    <s v="Økologisk"/>
    <x v="2"/>
    <s v="Halm"/>
    <n v="79.558734724280086"/>
    <n v="245.06317939650546"/>
    <n v="104.81480698110011"/>
    <n v="104.81480698110011"/>
  </r>
  <r>
    <x v="0"/>
    <x v="2"/>
    <x v="2"/>
    <s v="Økologisk"/>
    <x v="2"/>
    <s v="Halm"/>
    <n v="103.024958866636"/>
    <n v="349.0485606401628"/>
    <n v="268.58265774220655"/>
    <n v="268.58265774220655"/>
  </r>
  <r>
    <x v="0"/>
    <x v="3"/>
    <x v="2"/>
    <s v="Økologisk"/>
    <x v="2"/>
    <s v="Græs"/>
    <n v="2376.0807731862733"/>
    <n v="128748.03173832915"/>
    <n v="0"/>
    <n v="128748.03173832915"/>
  </r>
  <r>
    <x v="0"/>
    <x v="4"/>
    <x v="2"/>
    <s v="Økologisk"/>
    <x v="2"/>
    <s v="Grøntsager"/>
    <n v="2.7617484016050868"/>
    <n v="45.730410907977834"/>
    <n v="0"/>
    <n v="45.730410907977834"/>
  </r>
  <r>
    <x v="0"/>
    <x v="5"/>
    <x v="2"/>
    <s v="Økologisk"/>
    <x v="2"/>
    <s v="Kartofler"/>
    <n v="146.18015276385327"/>
    <n v="4954.3052529941224"/>
    <n v="0"/>
    <n v="4954.3052529941224"/>
  </r>
  <r>
    <x v="0"/>
    <x v="6"/>
    <x v="2"/>
    <s v="Økologisk"/>
    <x v="2"/>
    <s v="Roer"/>
    <n v="1.5808013366333109"/>
    <n v="102.49991367689748"/>
    <n v="0"/>
    <n v="102.49991367689748"/>
  </r>
  <r>
    <x v="0"/>
    <x v="7"/>
    <x v="2"/>
    <s v="Økologisk"/>
    <x v="2"/>
    <s v="Majs"/>
    <n v="196.58812160170083"/>
    <n v="10167.65953387536"/>
    <n v="0"/>
    <n v="10167.65953387536"/>
  </r>
  <r>
    <x v="0"/>
    <x v="8"/>
    <x v="2"/>
    <s v="Økologisk"/>
    <x v="2"/>
    <s v="Frugt"/>
    <n v="5.6336181731547148"/>
    <n v="38.167875795486651"/>
    <n v="0"/>
    <n v="38.167875795486651"/>
  </r>
  <r>
    <x v="0"/>
    <x v="9"/>
    <x v="2"/>
    <s v="Økologisk"/>
    <x v="2"/>
    <s v="Øvrige"/>
    <n v="99.635615499577497"/>
    <n v="2369.0522623213683"/>
    <n v="0"/>
    <n v="2369.0522623213683"/>
  </r>
  <r>
    <x v="0"/>
    <x v="10"/>
    <x v="2"/>
    <s v="Økologisk"/>
    <x v="2"/>
    <s v="Halm"/>
    <n v="317.00721671559063"/>
    <n v="3614.678239564159"/>
    <n v="865.13052924285921"/>
    <n v="865.13052924285921"/>
  </r>
  <r>
    <x v="0"/>
    <x v="11"/>
    <x v="2"/>
    <s v="Økologisk"/>
    <x v="2"/>
    <s v="Juletræer"/>
    <n v="28.255660060174939"/>
    <n v="1127.4008364009799"/>
    <n v="0"/>
    <n v="1127.4008364009799"/>
  </r>
  <r>
    <x v="0"/>
    <x v="12"/>
    <x v="2"/>
    <s v="Økologisk"/>
    <x v="2"/>
    <s v="Pil &amp; poppel"/>
    <n v="66.698159339253593"/>
    <n v="1298.1739305542526"/>
    <n v="0"/>
    <n v="1298.1739305542526"/>
  </r>
  <r>
    <x v="0"/>
    <x v="13"/>
    <x v="2"/>
    <s v="Økologisk"/>
    <x v="2"/>
    <s v="Græs"/>
    <n v="6369.0633699476693"/>
    <n v="122961.13742020971"/>
    <n v="0"/>
    <n v="122961.13742020971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190174.15207493372"/>
    <n v="1333120.8060452854"/>
    <n v="626876.22950838727"/>
    <n v="626876.22950838727"/>
  </r>
  <r>
    <x v="1"/>
    <x v="1"/>
    <x v="1"/>
    <s v="Konventionel"/>
    <x v="0"/>
    <s v="Halm"/>
    <n v="14634.530814874721"/>
    <n v="56489.288945416425"/>
    <n v="24160.765121444623"/>
    <n v="24160.765121444623"/>
  </r>
  <r>
    <x v="1"/>
    <x v="2"/>
    <x v="1"/>
    <s v="Konventionel"/>
    <x v="0"/>
    <s v="Halm"/>
    <n v="21415.704421878378"/>
    <n v="94229.09945626487"/>
    <n v="72506.535830436726"/>
    <n v="72506.535830436726"/>
  </r>
  <r>
    <x v="1"/>
    <x v="3"/>
    <x v="1"/>
    <s v="Konventionel"/>
    <x v="0"/>
    <s v="Græs"/>
    <n v="118583.25035158051"/>
    <n v="5884100.8824454248"/>
    <n v="0"/>
    <n v="5884100.8824454248"/>
  </r>
  <r>
    <x v="1"/>
    <x v="4"/>
    <x v="1"/>
    <s v="Konventionel"/>
    <x v="0"/>
    <s v="Grøntsager"/>
    <n v="2459.5803417061084"/>
    <n v="51036.292090401752"/>
    <n v="0"/>
    <n v="51036.292090401752"/>
  </r>
  <r>
    <x v="1"/>
    <x v="5"/>
    <x v="1"/>
    <s v="Konventionel"/>
    <x v="0"/>
    <s v="Kartofler"/>
    <n v="10345.22343108295"/>
    <n v="439370.94434551767"/>
    <n v="0"/>
    <n v="439370.94434551767"/>
  </r>
  <r>
    <x v="1"/>
    <x v="6"/>
    <x v="1"/>
    <s v="Konventionel"/>
    <x v="0"/>
    <s v="Roer"/>
    <n v="15811.216143862219"/>
    <n v="1284720.3087639688"/>
    <n v="0"/>
    <n v="1284720.3087639688"/>
  </r>
  <r>
    <x v="1"/>
    <x v="7"/>
    <x v="1"/>
    <s v="Konventionel"/>
    <x v="0"/>
    <s v="Majs"/>
    <n v="32012.416450807639"/>
    <n v="1424872.6562254482"/>
    <n v="0"/>
    <n v="1424872.6562254482"/>
  </r>
  <r>
    <x v="1"/>
    <x v="8"/>
    <x v="1"/>
    <s v="Konventionel"/>
    <x v="0"/>
    <s v="Frugt"/>
    <n v="959.15016801528964"/>
    <n v="8143.1849264498105"/>
    <n v="0"/>
    <n v="8143.1849264498105"/>
  </r>
  <r>
    <x v="1"/>
    <x v="9"/>
    <x v="1"/>
    <s v="Konventionel"/>
    <x v="0"/>
    <s v="Øvrige"/>
    <n v="8489.1765698018808"/>
    <n v="252943.02550483562"/>
    <n v="0"/>
    <n v="252943.02550483562"/>
  </r>
  <r>
    <x v="1"/>
    <x v="10"/>
    <x v="1"/>
    <s v="Konventionel"/>
    <x v="0"/>
    <s v="Halm"/>
    <n v="19084.489401980361"/>
    <n v="272695.61173093005"/>
    <n v="65266.472771150577"/>
    <n v="65266.472771150577"/>
  </r>
  <r>
    <x v="1"/>
    <x v="11"/>
    <x v="1"/>
    <s v="Konventionel"/>
    <x v="0"/>
    <s v="Juletræer"/>
    <n v="3584.3960536589798"/>
    <n v="179219.802682949"/>
    <n v="0"/>
    <n v="179219.802682949"/>
  </r>
  <r>
    <x v="1"/>
    <x v="12"/>
    <x v="1"/>
    <s v="Konventionel"/>
    <x v="0"/>
    <s v="Pil &amp; poppel"/>
    <n v="1378.3575978842866"/>
    <n v="33618.477997177724"/>
    <n v="0"/>
    <n v="33618.477997177724"/>
  </r>
  <r>
    <x v="1"/>
    <x v="13"/>
    <x v="1"/>
    <s v="Konventionel"/>
    <x v="0"/>
    <s v="Græs"/>
    <n v="33436.147663246578"/>
    <n v="461084.4762761704"/>
    <n v="0"/>
    <n v="461084.4762761704"/>
  </r>
  <r>
    <x v="1"/>
    <x v="0"/>
    <x v="2"/>
    <s v="Konventionel"/>
    <x v="0"/>
    <s v="Halm"/>
    <n v="179389.67006955924"/>
    <n v="1257521.5871876103"/>
    <n v="591327.04817660281"/>
    <n v="591327.04817660281"/>
  </r>
  <r>
    <x v="1"/>
    <x v="1"/>
    <x v="2"/>
    <s v="Konventionel"/>
    <x v="0"/>
    <s v="Halm"/>
    <n v="13804.629208856637"/>
    <n v="53285.868746186621"/>
    <n v="22790.645502950778"/>
    <n v="22790.645502950778"/>
  </r>
  <r>
    <x v="1"/>
    <x v="2"/>
    <x v="2"/>
    <s v="Konventionel"/>
    <x v="0"/>
    <s v="Halm"/>
    <n v="20201.252949634338"/>
    <n v="88885.512978391082"/>
    <n v="68394.802335617322"/>
    <n v="68394.802335617322"/>
  </r>
  <r>
    <x v="1"/>
    <x v="3"/>
    <x v="2"/>
    <s v="Konventionel"/>
    <x v="0"/>
    <s v="Græs"/>
    <n v="111858.57764710314"/>
    <n v="5550422.6228492586"/>
    <n v="0"/>
    <n v="5550422.6228492586"/>
  </r>
  <r>
    <x v="1"/>
    <x v="4"/>
    <x v="2"/>
    <s v="Konventionel"/>
    <x v="0"/>
    <s v="Grøntsager"/>
    <n v="2320.101344973416"/>
    <n v="48142.102908198387"/>
    <n v="0"/>
    <n v="48142.102908198387"/>
  </r>
  <r>
    <x v="1"/>
    <x v="5"/>
    <x v="2"/>
    <s v="Konventionel"/>
    <x v="0"/>
    <s v="Kartofler"/>
    <n v="9758.5618121573061"/>
    <n v="414454.89770469151"/>
    <n v="0"/>
    <n v="414454.89770469151"/>
  </r>
  <r>
    <x v="1"/>
    <x v="6"/>
    <x v="2"/>
    <s v="Konventionel"/>
    <x v="0"/>
    <s v="Roer"/>
    <n v="14914.586532918138"/>
    <n v="1211865.8072418857"/>
    <n v="0"/>
    <n v="1211865.8072418857"/>
  </r>
  <r>
    <x v="1"/>
    <x v="7"/>
    <x v="2"/>
    <s v="Konventionel"/>
    <x v="0"/>
    <s v="Majs"/>
    <n v="30197.041830253234"/>
    <n v="1344070.3318645717"/>
    <n v="0"/>
    <n v="1344070.3318645717"/>
  </r>
  <r>
    <x v="1"/>
    <x v="8"/>
    <x v="2"/>
    <s v="Konventionel"/>
    <x v="0"/>
    <s v="Frugt"/>
    <n v="904.75824558759291"/>
    <n v="7681.3975050386643"/>
    <n v="0"/>
    <n v="7681.3975050386643"/>
  </r>
  <r>
    <x v="1"/>
    <x v="9"/>
    <x v="2"/>
    <s v="Konventionel"/>
    <x v="0"/>
    <s v="Øvrige"/>
    <n v="8007.7684974714139"/>
    <n v="238599.01777729217"/>
    <n v="0"/>
    <n v="238599.01777729217"/>
  </r>
  <r>
    <x v="1"/>
    <x v="10"/>
    <x v="2"/>
    <s v="Konventionel"/>
    <x v="0"/>
    <s v="Halm"/>
    <n v="18002.237527623009"/>
    <n v="257231.46539153677"/>
    <n v="61565.312053592112"/>
    <n v="61565.312053592112"/>
  </r>
  <r>
    <x v="1"/>
    <x v="11"/>
    <x v="2"/>
    <s v="Konventionel"/>
    <x v="0"/>
    <s v="Juletræer"/>
    <n v="3381.1304977511027"/>
    <n v="169056.52488755516"/>
    <n v="0"/>
    <n v="169056.52488755516"/>
  </r>
  <r>
    <x v="1"/>
    <x v="12"/>
    <x v="2"/>
    <s v="Konventionel"/>
    <x v="0"/>
    <s v="Pil &amp; poppel"/>
    <n v="1300.1930705330769"/>
    <n v="31712.026110562852"/>
    <n v="0"/>
    <n v="31712.026110562852"/>
  </r>
  <r>
    <x v="1"/>
    <x v="13"/>
    <x v="2"/>
    <s v="Konventionel"/>
    <x v="0"/>
    <s v="Græs"/>
    <n v="31540.035447842853"/>
    <n v="434937.08882575296"/>
    <n v="0"/>
    <n v="434937.08882575296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29680.358994353821"/>
    <n v="139399.74208878161"/>
    <n v="65550.236946859717"/>
    <n v="65550.236946859717"/>
  </r>
  <r>
    <x v="1"/>
    <x v="1"/>
    <x v="1"/>
    <s v="Økologisk"/>
    <x v="0"/>
    <s v="Halm"/>
    <n v="2284.0019190844941"/>
    <n v="5025.2610223697038"/>
    <n v="2149.3304925955649"/>
    <n v="2149.3304925955649"/>
  </r>
  <r>
    <x v="1"/>
    <x v="2"/>
    <x v="1"/>
    <s v="Økologisk"/>
    <x v="0"/>
    <s v="Halm"/>
    <n v="3342.3353722006718"/>
    <n v="8088.4516007256261"/>
    <n v="6223.8269195490493"/>
    <n v="6223.8269195490493"/>
  </r>
  <r>
    <x v="1"/>
    <x v="3"/>
    <x v="1"/>
    <s v="Økologisk"/>
    <x v="0"/>
    <s v="Græs"/>
    <n v="18507.212482616615"/>
    <n v="716295.74904220039"/>
    <n v="0"/>
    <n v="716295.74904220039"/>
  </r>
  <r>
    <x v="1"/>
    <x v="4"/>
    <x v="1"/>
    <s v="Økologisk"/>
    <x v="0"/>
    <s v="Grøntsager"/>
    <n v="383.86514003505738"/>
    <n v="4540.1649437646402"/>
    <n v="0"/>
    <n v="4540.1649437646402"/>
  </r>
  <r>
    <x v="1"/>
    <x v="5"/>
    <x v="1"/>
    <s v="Økologisk"/>
    <x v="0"/>
    <s v="Kartofler"/>
    <n v="1614.5724430013856"/>
    <n v="39086.236031661952"/>
    <n v="0"/>
    <n v="39086.236031661952"/>
  </r>
  <r>
    <x v="1"/>
    <x v="6"/>
    <x v="1"/>
    <s v="Økologisk"/>
    <x v="0"/>
    <s v="Roer"/>
    <n v="2467.64645019815"/>
    <n v="114288.12457732647"/>
    <n v="0"/>
    <n v="114288.12457732647"/>
  </r>
  <r>
    <x v="1"/>
    <x v="7"/>
    <x v="1"/>
    <s v="Økologisk"/>
    <x v="0"/>
    <s v="Majs"/>
    <n v="4996.1574807618863"/>
    <n v="184574.54465903059"/>
    <n v="0"/>
    <n v="184574.54465903059"/>
  </r>
  <r>
    <x v="1"/>
    <x v="8"/>
    <x v="1"/>
    <s v="Økologisk"/>
    <x v="0"/>
    <s v="Frugt"/>
    <n v="149.69395685787757"/>
    <n v="724.4139654223269"/>
    <n v="0"/>
    <n v="724.4139654223269"/>
  </r>
  <r>
    <x v="1"/>
    <x v="9"/>
    <x v="1"/>
    <s v="Økologisk"/>
    <x v="0"/>
    <s v="Øvrige"/>
    <n v="1324.9003895066519"/>
    <n v="22501.694581037111"/>
    <n v="0"/>
    <n v="22501.694581037111"/>
  </r>
  <r>
    <x v="1"/>
    <x v="10"/>
    <x v="1"/>
    <s v="Økologisk"/>
    <x v="0"/>
    <s v="Halm"/>
    <n v="2978.5041263206344"/>
    <n v="24258.87551756655"/>
    <n v="5806.0752366936849"/>
    <n v="5806.0752366936849"/>
  </r>
  <r>
    <x v="1"/>
    <x v="11"/>
    <x v="1"/>
    <s v="Økologisk"/>
    <x v="0"/>
    <s v="Juletræer"/>
    <n v="559.41441299880034"/>
    <n v="15943.31077046581"/>
    <n v="0"/>
    <n v="15943.31077046581"/>
  </r>
  <r>
    <x v="1"/>
    <x v="12"/>
    <x v="1"/>
    <s v="Økologisk"/>
    <x v="0"/>
    <s v="Pil &amp; poppel"/>
    <n v="215.11939388945515"/>
    <n v="2990.6842565119373"/>
    <n v="0"/>
    <n v="2990.6842565119373"/>
  </r>
  <r>
    <x v="1"/>
    <x v="13"/>
    <x v="1"/>
    <s v="Økologisk"/>
    <x v="0"/>
    <s v="Græs"/>
    <n v="5218.3583058246104"/>
    <n v="71961.161037321377"/>
    <n v="0"/>
    <n v="71961.161037321377"/>
  </r>
  <r>
    <x v="1"/>
    <x v="0"/>
    <x v="2"/>
    <s v="Økologisk"/>
    <x v="0"/>
    <s v="Halm"/>
    <n v="38052.354257179235"/>
    <n v="178720.49223969373"/>
    <n v="84040.116846917197"/>
    <n v="84040.116846917197"/>
  </r>
  <r>
    <x v="1"/>
    <x v="1"/>
    <x v="2"/>
    <s v="Økologisk"/>
    <x v="0"/>
    <s v="Halm"/>
    <n v="2928.2546806665596"/>
    <n v="6442.745948402564"/>
    <n v="2755.596228993139"/>
    <n v="2755.596228993139"/>
  </r>
  <r>
    <x v="1"/>
    <x v="2"/>
    <x v="2"/>
    <s v="Økologisk"/>
    <x v="0"/>
    <s v="Halm"/>
    <n v="4285.1142620436467"/>
    <n v="10369.976514145626"/>
    <n v="7979.3936058220206"/>
    <n v="7979.3936058220206"/>
  </r>
  <r>
    <x v="1"/>
    <x v="3"/>
    <x v="2"/>
    <s v="Økologisk"/>
    <x v="0"/>
    <s v="Græs"/>
    <n v="23727.577076658243"/>
    <n v="918342.65214414988"/>
    <n v="0"/>
    <n v="918342.65214414988"/>
  </r>
  <r>
    <x v="1"/>
    <x v="4"/>
    <x v="2"/>
    <s v="Økologisk"/>
    <x v="0"/>
    <s v="Grøntsager"/>
    <n v="492.14270953981543"/>
    <n v="5820.8178970821664"/>
    <n v="0"/>
    <n v="5820.8178970821664"/>
  </r>
  <r>
    <x v="1"/>
    <x v="5"/>
    <x v="2"/>
    <s v="Økologisk"/>
    <x v="0"/>
    <s v="Kartofler"/>
    <n v="2069.9979601545801"/>
    <n v="50111.364904294518"/>
    <n v="0"/>
    <n v="50111.364904294518"/>
  </r>
  <r>
    <x v="1"/>
    <x v="6"/>
    <x v="2"/>
    <s v="Økologisk"/>
    <x v="0"/>
    <s v="Roer"/>
    <n v="3163.7001736493021"/>
    <n v="146525.59305742799"/>
    <n v="0"/>
    <n v="146525.59305742799"/>
  </r>
  <r>
    <x v="1"/>
    <x v="7"/>
    <x v="2"/>
    <s v="Økologisk"/>
    <x v="0"/>
    <s v="Majs"/>
    <n v="6405.4331155082618"/>
    <n v="236637.83721615636"/>
    <n v="0"/>
    <n v="236637.83721615636"/>
  </r>
  <r>
    <x v="1"/>
    <x v="8"/>
    <x v="2"/>
    <s v="Økologisk"/>
    <x v="0"/>
    <s v="Frugt"/>
    <n v="191.91841573070153"/>
    <n v="928.75078924558386"/>
    <n v="0"/>
    <n v="928.75078924558386"/>
  </r>
  <r>
    <x v="1"/>
    <x v="9"/>
    <x v="2"/>
    <s v="Økologisk"/>
    <x v="0"/>
    <s v="Øvrige"/>
    <n v="1698.6175600696938"/>
    <n v="28848.790331254411"/>
    <n v="0"/>
    <n v="28848.790331254411"/>
  </r>
  <r>
    <x v="1"/>
    <x v="10"/>
    <x v="2"/>
    <s v="Økologisk"/>
    <x v="0"/>
    <s v="Halm"/>
    <n v="3818.6564452533657"/>
    <n v="31101.622633703992"/>
    <n v="7443.8059119343161"/>
    <n v="7443.8059119343161"/>
  </r>
  <r>
    <x v="1"/>
    <x v="11"/>
    <x v="2"/>
    <s v="Økologisk"/>
    <x v="0"/>
    <s v="Juletræer"/>
    <n v="717.2094995229611"/>
    <n v="20440.47073640439"/>
    <n v="0"/>
    <n v="20440.47073640439"/>
  </r>
  <r>
    <x v="1"/>
    <x v="12"/>
    <x v="2"/>
    <s v="Økologisk"/>
    <x v="0"/>
    <s v="Pil &amp; poppel"/>
    <n v="275.79853011307694"/>
    <n v="3834.2722479135091"/>
    <n v="0"/>
    <n v="3834.2722479135091"/>
  </r>
  <r>
    <x v="1"/>
    <x v="13"/>
    <x v="2"/>
    <s v="Økologisk"/>
    <x v="0"/>
    <s v="Græs"/>
    <n v="6690.3105495424243"/>
    <n v="92259.382478190048"/>
    <n v="0"/>
    <n v="92259.382478190048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1752.9487519585884"/>
    <n v="14745.804901475647"/>
    <n v="6933.951173656309"/>
    <n v="6933.951173656309"/>
  </r>
  <r>
    <x v="1"/>
    <x v="1"/>
    <x v="1"/>
    <s v="Konventionel"/>
    <x v="1"/>
    <s v="Halm"/>
    <n v="47.402536309570174"/>
    <n v="219.56854818592902"/>
    <n v="93.910619514131326"/>
    <n v="93.910619514131326"/>
  </r>
  <r>
    <x v="1"/>
    <x v="2"/>
    <x v="1"/>
    <s v="Konventionel"/>
    <x v="1"/>
    <s v="Halm"/>
    <n v="191.46624906280843"/>
    <n v="1010.9417950516286"/>
    <n v="777.89014124472294"/>
    <n v="777.89014124472294"/>
  </r>
  <r>
    <x v="1"/>
    <x v="3"/>
    <x v="1"/>
    <s v="Konventionel"/>
    <x v="1"/>
    <s v="Græs"/>
    <n v="562.99099727781993"/>
    <n v="33522.735941910505"/>
    <n v="0"/>
    <n v="33522.735941910505"/>
  </r>
  <r>
    <x v="1"/>
    <x v="4"/>
    <x v="1"/>
    <s v="Konventionel"/>
    <x v="1"/>
    <s v="Grøntsager"/>
    <n v="10.662439786194978"/>
    <n v="265.49475067625497"/>
    <n v="0"/>
    <n v="265.49475067625497"/>
  </r>
  <r>
    <x v="1"/>
    <x v="5"/>
    <x v="1"/>
    <s v="Konventionel"/>
    <x v="1"/>
    <s v="Kartofler"/>
    <n v="18.127123488677832"/>
    <n v="923.85028726105998"/>
    <n v="0"/>
    <n v="923.85028726105998"/>
  </r>
  <r>
    <x v="1"/>
    <x v="6"/>
    <x v="1"/>
    <s v="Konventionel"/>
    <x v="1"/>
    <s v="Roer"/>
    <n v="50.643369270114505"/>
    <n v="4937.9552651911044"/>
    <n v="0"/>
    <n v="4937.9552651911044"/>
  </r>
  <r>
    <x v="1"/>
    <x v="7"/>
    <x v="1"/>
    <s v="Konventionel"/>
    <x v="1"/>
    <s v="Majs"/>
    <n v="53.993646777040333"/>
    <n v="2883.9086616552786"/>
    <n v="0"/>
    <n v="2883.9086616552786"/>
  </r>
  <r>
    <x v="1"/>
    <x v="8"/>
    <x v="1"/>
    <s v="Konventionel"/>
    <x v="1"/>
    <s v="Frugt"/>
    <n v="11.647539532185737"/>
    <n v="118.66513275390831"/>
    <n v="0"/>
    <n v="118.66513275390831"/>
  </r>
  <r>
    <x v="1"/>
    <x v="9"/>
    <x v="1"/>
    <s v="Konventionel"/>
    <x v="1"/>
    <s v="Øvrige"/>
    <n v="83.169081452753318"/>
    <n v="2973.7215031127798"/>
    <n v="0"/>
    <n v="2973.7215031127798"/>
  </r>
  <r>
    <x v="1"/>
    <x v="10"/>
    <x v="1"/>
    <s v="Konventionel"/>
    <x v="1"/>
    <s v="Halm"/>
    <n v="603.80358732362868"/>
    <n v="10353.198462420129"/>
    <n v="2477.9157290165494"/>
    <n v="2477.9157290165494"/>
  </r>
  <r>
    <x v="1"/>
    <x v="11"/>
    <x v="1"/>
    <s v="Konventionel"/>
    <x v="1"/>
    <s v="Juletræer"/>
    <n v="18.25162816502359"/>
    <n v="1095.0976899014156"/>
    <n v="0"/>
    <n v="1095.0976899014156"/>
  </r>
  <r>
    <x v="1"/>
    <x v="12"/>
    <x v="1"/>
    <s v="Konventionel"/>
    <x v="1"/>
    <s v="Pil &amp; poppel"/>
    <n v="38.736771764982237"/>
    <n v="1133.7591736092363"/>
    <n v="0"/>
    <n v="1133.7591736092363"/>
  </r>
  <r>
    <x v="1"/>
    <x v="13"/>
    <x v="1"/>
    <s v="Konventionel"/>
    <x v="1"/>
    <s v="Græs"/>
    <n v="4383.0738282155862"/>
    <n v="72531.105709311538"/>
    <n v="0"/>
    <n v="72531.105709311538"/>
  </r>
  <r>
    <x v="1"/>
    <x v="0"/>
    <x v="2"/>
    <s v="Konventionel"/>
    <x v="1"/>
    <s v="Halm"/>
    <n v="1671.8875379951853"/>
    <n v="14063.917969615499"/>
    <n v="6613.3060326779805"/>
    <n v="6613.3060326779805"/>
  </r>
  <r>
    <x v="1"/>
    <x v="1"/>
    <x v="2"/>
    <s v="Konventionel"/>
    <x v="1"/>
    <s v="Halm"/>
    <n v="45.21051150912762"/>
    <n v="209.41508931027917"/>
    <n v="89.56793190654146"/>
    <n v="89.56793190654146"/>
  </r>
  <r>
    <x v="1"/>
    <x v="2"/>
    <x v="2"/>
    <s v="Konventionel"/>
    <x v="1"/>
    <s v="Halm"/>
    <n v="182.61231847030859"/>
    <n v="964.19304152322934"/>
    <n v="741.91834280566047"/>
    <n v="741.91834280566047"/>
  </r>
  <r>
    <x v="1"/>
    <x v="3"/>
    <x v="2"/>
    <s v="Konventionel"/>
    <x v="1"/>
    <s v="Græs"/>
    <n v="536.95673150774724"/>
    <n v="31972.551620897299"/>
    <n v="0"/>
    <n v="31972.551620897299"/>
  </r>
  <r>
    <x v="1"/>
    <x v="4"/>
    <x v="2"/>
    <s v="Konventionel"/>
    <x v="1"/>
    <s v="Grøntsager"/>
    <n v="10.169378986833362"/>
    <n v="253.21753677215071"/>
    <n v="0"/>
    <n v="253.21753677215071"/>
  </r>
  <r>
    <x v="1"/>
    <x v="5"/>
    <x v="2"/>
    <s v="Konventionel"/>
    <x v="1"/>
    <s v="Kartofler"/>
    <n v="17.288875003652265"/>
    <n v="881.12888669407448"/>
    <n v="0"/>
    <n v="881.12888669407448"/>
  </r>
  <r>
    <x v="1"/>
    <x v="6"/>
    <x v="2"/>
    <s v="Konventionel"/>
    <x v="1"/>
    <s v="Roer"/>
    <n v="48.301479361669905"/>
    <n v="4709.6105130435399"/>
    <n v="0"/>
    <n v="4709.6105130435399"/>
  </r>
  <r>
    <x v="1"/>
    <x v="7"/>
    <x v="2"/>
    <s v="Konventionel"/>
    <x v="1"/>
    <s v="Majs"/>
    <n v="51.496830741107829"/>
    <n v="2750.5487235440514"/>
    <n v="0"/>
    <n v="2750.5487235440514"/>
  </r>
  <r>
    <x v="1"/>
    <x v="8"/>
    <x v="2"/>
    <s v="Konventionel"/>
    <x v="1"/>
    <s v="Frugt"/>
    <n v="11.108924987344778"/>
    <n v="113.17772777106862"/>
    <n v="0"/>
    <n v="113.17772777106862"/>
  </r>
  <r>
    <x v="1"/>
    <x v="9"/>
    <x v="2"/>
    <s v="Konventionel"/>
    <x v="1"/>
    <s v="Øvrige"/>
    <n v="79.323112368232927"/>
    <n v="2836.2083700208591"/>
    <n v="0"/>
    <n v="2836.2083700208591"/>
  </r>
  <r>
    <x v="1"/>
    <x v="10"/>
    <x v="2"/>
    <s v="Konventionel"/>
    <x v="1"/>
    <s v="Halm"/>
    <n v="575.88203415259386"/>
    <n v="9874.4378398804711"/>
    <n v="2363.3300305649177"/>
    <n v="2363.3300305649177"/>
  </r>
  <r>
    <x v="1"/>
    <x v="11"/>
    <x v="2"/>
    <s v="Konventionel"/>
    <x v="1"/>
    <s v="Juletræer"/>
    <n v="17.407622238317295"/>
    <n v="1044.4573342990377"/>
    <n v="0"/>
    <n v="1044.4573342990377"/>
  </r>
  <r>
    <x v="1"/>
    <x v="12"/>
    <x v="2"/>
    <s v="Konventionel"/>
    <x v="1"/>
    <s v="Pil &amp; poppel"/>
    <n v="36.945475960821213"/>
    <n v="1081.3310037313527"/>
    <n v="0"/>
    <n v="1081.3310037313527"/>
  </r>
  <r>
    <x v="1"/>
    <x v="13"/>
    <x v="2"/>
    <s v="Konventionel"/>
    <x v="1"/>
    <s v="Græs"/>
    <n v="4180.3883332692003"/>
    <n v="69177.066138938724"/>
    <n v="0"/>
    <n v="69177.06613893872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273.58159712648495"/>
    <n v="1541.9168246687541"/>
    <n v="725.05882503724069"/>
    <n v="725.05882503724069"/>
  </r>
  <r>
    <x v="1"/>
    <x v="1"/>
    <x v="1"/>
    <s v="Økologisk"/>
    <x v="1"/>
    <s v="Halm"/>
    <n v="7.3980837014936114"/>
    <n v="19.532716512031495"/>
    <n v="8.3542452851010474"/>
    <n v="8.3542452851010474"/>
  </r>
  <r>
    <x v="1"/>
    <x v="2"/>
    <x v="1"/>
    <s v="Økologisk"/>
    <x v="1"/>
    <s v="Halm"/>
    <n v="29.882015749686865"/>
    <n v="86.77737373709067"/>
    <n v="66.772650852509457"/>
    <n v="66.772650852509457"/>
  </r>
  <r>
    <x v="1"/>
    <x v="3"/>
    <x v="1"/>
    <s v="Økologisk"/>
    <x v="1"/>
    <s v="Græs"/>
    <n v="87.865646973995027"/>
    <n v="4080.8602250672566"/>
    <n v="0"/>
    <n v="4080.8602250672566"/>
  </r>
  <r>
    <x v="1"/>
    <x v="4"/>
    <x v="1"/>
    <s v="Økologisk"/>
    <x v="1"/>
    <s v="Grøntsager"/>
    <n v="1.6640801978454596"/>
    <n v="23.618290248020603"/>
    <n v="0"/>
    <n v="23.618290248020603"/>
  </r>
  <r>
    <x v="1"/>
    <x v="5"/>
    <x v="1"/>
    <s v="Økologisk"/>
    <x v="1"/>
    <s v="Kartofler"/>
    <n v="2.8290886369612802"/>
    <n v="82.185294340738224"/>
    <n v="0"/>
    <n v="82.185294340738224"/>
  </r>
  <r>
    <x v="1"/>
    <x v="6"/>
    <x v="1"/>
    <s v="Økologisk"/>
    <x v="1"/>
    <s v="Roer"/>
    <n v="7.9038784410005301"/>
    <n v="439.27821694387916"/>
    <n v="0"/>
    <n v="439.27821694387916"/>
  </r>
  <r>
    <x v="1"/>
    <x v="7"/>
    <x v="1"/>
    <s v="Økologisk"/>
    <x v="1"/>
    <s v="Majs"/>
    <n v="8.4267541212721913"/>
    <n v="373.57452663407389"/>
    <n v="0"/>
    <n v="373.57452663407389"/>
  </r>
  <r>
    <x v="1"/>
    <x v="8"/>
    <x v="1"/>
    <s v="Økologisk"/>
    <x v="1"/>
    <s v="Frugt"/>
    <n v="1.8178240888382367"/>
    <n v="10.556395335737855"/>
    <n v="0"/>
    <n v="10.556395335737855"/>
  </r>
  <r>
    <x v="1"/>
    <x v="9"/>
    <x v="1"/>
    <s v="Økologisk"/>
    <x v="1"/>
    <s v="Øvrige"/>
    <n v="12.9801456602563"/>
    <n v="264.54088978558201"/>
    <n v="0"/>
    <n v="264.54088978558201"/>
  </r>
  <r>
    <x v="1"/>
    <x v="10"/>
    <x v="1"/>
    <s v="Økologisk"/>
    <x v="1"/>
    <s v="Halm"/>
    <n v="94.235241952242646"/>
    <n v="921.01574761066934"/>
    <n v="220.43423739632777"/>
    <n v="220.43423739632777"/>
  </r>
  <r>
    <x v="1"/>
    <x v="11"/>
    <x v="1"/>
    <s v="Økologisk"/>
    <x v="1"/>
    <s v="Juletræer"/>
    <n v="2.8485200026337401"/>
    <n v="97.419384090073905"/>
    <n v="0"/>
    <n v="97.419384090073905"/>
  </r>
  <r>
    <x v="1"/>
    <x v="12"/>
    <x v="1"/>
    <s v="Økologisk"/>
    <x v="1"/>
    <s v="Pil &amp; poppel"/>
    <n v="6.0456233390434706"/>
    <n v="100.85869180257887"/>
    <n v="0"/>
    <n v="100.85869180257887"/>
  </r>
  <r>
    <x v="1"/>
    <x v="13"/>
    <x v="1"/>
    <s v="Økologisk"/>
    <x v="1"/>
    <s v="Græs"/>
    <n v="684.06354544405099"/>
    <n v="11319.883550008157"/>
    <n v="0"/>
    <n v="11319.883550008157"/>
  </r>
  <r>
    <x v="1"/>
    <x v="0"/>
    <x v="2"/>
    <s v="Økologisk"/>
    <x v="1"/>
    <s v="Halm"/>
    <n v="354.6428110898878"/>
    <n v="1998.7810690150513"/>
    <n v="939.89106949271923"/>
    <n v="939.89106949271923"/>
  </r>
  <r>
    <x v="1"/>
    <x v="1"/>
    <x v="2"/>
    <s v="Økologisk"/>
    <x v="1"/>
    <s v="Halm"/>
    <n v="9.5901085019361609"/>
    <n v="25.320188071151932"/>
    <n v="10.829577221427284"/>
    <n v="10.829577221427284"/>
  </r>
  <r>
    <x v="1"/>
    <x v="2"/>
    <x v="2"/>
    <s v="Økologisk"/>
    <x v="1"/>
    <s v="Halm"/>
    <n v="38.735946342186679"/>
    <n v="112.48918817771012"/>
    <n v="86.557139993993758"/>
    <n v="86.557139993993758"/>
  </r>
  <r>
    <x v="1"/>
    <x v="3"/>
    <x v="2"/>
    <s v="Økologisk"/>
    <x v="1"/>
    <s v="Græs"/>
    <n v="113.89991274406761"/>
    <n v="5290.003995457555"/>
    <n v="0"/>
    <n v="5290.003995457555"/>
  </r>
  <r>
    <x v="1"/>
    <x v="4"/>
    <x v="2"/>
    <s v="Økologisk"/>
    <x v="1"/>
    <s v="Grøntsager"/>
    <n v="2.1571409972070765"/>
    <n v="30.61630217336004"/>
    <n v="0"/>
    <n v="30.61630217336004"/>
  </r>
  <r>
    <x v="1"/>
    <x v="5"/>
    <x v="2"/>
    <s v="Økologisk"/>
    <x v="1"/>
    <s v="Kartofler"/>
    <n v="3.6673371219868445"/>
    <n v="106.53649266391993"/>
    <n v="0"/>
    <n v="106.53649266391993"/>
  </r>
  <r>
    <x v="1"/>
    <x v="6"/>
    <x v="2"/>
    <s v="Økologisk"/>
    <x v="1"/>
    <s v="Roer"/>
    <n v="10.245768349445131"/>
    <n v="569.43472566799153"/>
    <n v="0"/>
    <n v="569.43472566799153"/>
  </r>
  <r>
    <x v="1"/>
    <x v="7"/>
    <x v="2"/>
    <s v="Økologisk"/>
    <x v="1"/>
    <s v="Majs"/>
    <n v="10.923570157204692"/>
    <n v="484.2632752663921"/>
    <n v="0"/>
    <n v="484.2632752663921"/>
  </r>
  <r>
    <x v="1"/>
    <x v="8"/>
    <x v="2"/>
    <s v="Økologisk"/>
    <x v="1"/>
    <s v="Frugt"/>
    <n v="2.3564386336791951"/>
    <n v="13.684216175956474"/>
    <n v="0"/>
    <n v="13.684216175956474"/>
  </r>
  <r>
    <x v="1"/>
    <x v="9"/>
    <x v="2"/>
    <s v="Økologisk"/>
    <x v="1"/>
    <s v="Øvrige"/>
    <n v="16.826114744776682"/>
    <n v="342.92337564797663"/>
    <n v="0"/>
    <n v="342.92337564797663"/>
  </r>
  <r>
    <x v="1"/>
    <x v="10"/>
    <x v="2"/>
    <s v="Økologisk"/>
    <x v="1"/>
    <s v="Halm"/>
    <n v="122.15679512327748"/>
    <n v="1193.9093024582751"/>
    <n v="285.7480855137581"/>
    <n v="285.7480855137581"/>
  </r>
  <r>
    <x v="1"/>
    <x v="11"/>
    <x v="2"/>
    <s v="Økologisk"/>
    <x v="1"/>
    <s v="Juletræer"/>
    <n v="3.6925259293400323"/>
    <n v="126.2843867834291"/>
    <n v="0"/>
    <n v="126.2843867834291"/>
  </r>
  <r>
    <x v="1"/>
    <x v="12"/>
    <x v="2"/>
    <s v="Økologisk"/>
    <x v="1"/>
    <s v="Pil &amp; poppel"/>
    <n v="7.8369191432044989"/>
    <n v="130.74274863297259"/>
    <n v="0"/>
    <n v="130.74274863297259"/>
  </r>
  <r>
    <x v="1"/>
    <x v="13"/>
    <x v="2"/>
    <s v="Økologisk"/>
    <x v="1"/>
    <s v="Græs"/>
    <n v="886.74904039043645"/>
    <n v="14673.923120380941"/>
    <n v="0"/>
    <n v="14673.923120380941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053.0573109296802"/>
    <n v="10334.704449463881"/>
    <n v="4859.7100345183562"/>
    <n v="4859.7100345183562"/>
  </r>
  <r>
    <x v="1"/>
    <x v="1"/>
    <x v="1"/>
    <s v="Konventionel"/>
    <x v="2"/>
    <s v="Halm"/>
    <n v="19.126993325199422"/>
    <n v="103.36227192937768"/>
    <n v="44.208585753622174"/>
    <n v="44.208585753622174"/>
  </r>
  <r>
    <x v="1"/>
    <x v="2"/>
    <x v="1"/>
    <s v="Konventionel"/>
    <x v="2"/>
    <s v="Halm"/>
    <n v="93.430886843548848"/>
    <n v="575.53426295626093"/>
    <n v="442.85678096765128"/>
    <n v="442.85678096765128"/>
  </r>
  <r>
    <x v="1"/>
    <x v="3"/>
    <x v="1"/>
    <s v="Konventionel"/>
    <x v="2"/>
    <s v="Græs"/>
    <n v="686.58489509283288"/>
    <n v="47695.679492308911"/>
    <n v="0"/>
    <n v="47695.679492308911"/>
  </r>
  <r>
    <x v="1"/>
    <x v="4"/>
    <x v="1"/>
    <s v="Konventionel"/>
    <x v="2"/>
    <s v="Grøntsager"/>
    <n v="3.2314797199590726"/>
    <n v="93.874485864811049"/>
    <n v="0"/>
    <n v="93.874485864811049"/>
  </r>
  <r>
    <x v="1"/>
    <x v="5"/>
    <x v="1"/>
    <s v="Konventionel"/>
    <x v="2"/>
    <s v="Kartofler"/>
    <n v="18.419048913328059"/>
    <n v="1095.1830046465504"/>
    <n v="0"/>
    <n v="1095.1830046465504"/>
  </r>
  <r>
    <x v="1"/>
    <x v="6"/>
    <x v="1"/>
    <s v="Konventionel"/>
    <x v="2"/>
    <s v="Roer"/>
    <n v="21.211111456389141"/>
    <n v="2412.8747324778428"/>
    <n v="0"/>
    <n v="2412.8747324778428"/>
  </r>
  <r>
    <x v="1"/>
    <x v="7"/>
    <x v="1"/>
    <s v="Konventionel"/>
    <x v="2"/>
    <s v="Majs"/>
    <n v="21.786516121482823"/>
    <n v="1357.6049655940806"/>
    <n v="0"/>
    <n v="1357.6049655940806"/>
  </r>
  <r>
    <x v="1"/>
    <x v="8"/>
    <x v="1"/>
    <s v="Konventionel"/>
    <x v="2"/>
    <s v="Frugt"/>
    <n v="7.9057923278821436"/>
    <n v="93.968247609207168"/>
    <n v="0"/>
    <n v="93.968247609207168"/>
  </r>
  <r>
    <x v="1"/>
    <x v="9"/>
    <x v="1"/>
    <s v="Konventionel"/>
    <x v="2"/>
    <s v="Øvrige"/>
    <n v="56.451191622853806"/>
    <n v="2354.8231231900932"/>
    <n v="0"/>
    <n v="2354.8231231900932"/>
  </r>
  <r>
    <x v="1"/>
    <x v="10"/>
    <x v="1"/>
    <s v="Konventionel"/>
    <x v="2"/>
    <s v="Halm"/>
    <n v="528.28027242495364"/>
    <n v="10567.932556534564"/>
    <n v="2529.3097973610966"/>
    <n v="2529.3097973610966"/>
  </r>
  <r>
    <x v="1"/>
    <x v="11"/>
    <x v="1"/>
    <s v="Konventionel"/>
    <x v="2"/>
    <s v="Juletræer"/>
    <n v="12.388331588802384"/>
    <n v="867.18321121616691"/>
    <n v="0"/>
    <n v="867.18321121616691"/>
  </r>
  <r>
    <x v="1"/>
    <x v="12"/>
    <x v="1"/>
    <s v="Konventionel"/>
    <x v="2"/>
    <s v="Pil &amp; poppel"/>
    <n v="37.789605201644072"/>
    <n v="1290.3767629829683"/>
    <n v="0"/>
    <n v="1290.3767629829683"/>
  </r>
  <r>
    <x v="1"/>
    <x v="13"/>
    <x v="1"/>
    <s v="Konventionel"/>
    <x v="2"/>
    <s v="Græs"/>
    <n v="3393.0422285443651"/>
    <n v="65506.073264277518"/>
    <n v="0"/>
    <n v="65506.073264277518"/>
  </r>
  <r>
    <x v="1"/>
    <x v="0"/>
    <x v="2"/>
    <s v="Konventionel"/>
    <x v="2"/>
    <s v="Halm"/>
    <n v="1004.3610190947816"/>
    <n v="9856.7990413961852"/>
    <n v="4634.9835589336917"/>
    <n v="4634.9835589336917"/>
  </r>
  <r>
    <x v="1"/>
    <x v="1"/>
    <x v="2"/>
    <s v="Konventionel"/>
    <x v="2"/>
    <s v="Halm"/>
    <n v="18.242508084727771"/>
    <n v="98.582513689868875"/>
    <n v="42.164258088714782"/>
    <n v="42.164258088714782"/>
  </r>
  <r>
    <x v="1"/>
    <x v="2"/>
    <x v="2"/>
    <s v="Konventionel"/>
    <x v="2"/>
    <s v="Halm"/>
    <n v="89.110383405696865"/>
    <n v="548.91996177909266"/>
    <n v="422.37785468012981"/>
    <n v="422.37785468012981"/>
  </r>
  <r>
    <x v="1"/>
    <x v="3"/>
    <x v="2"/>
    <s v="Konventionel"/>
    <x v="2"/>
    <s v="Græs"/>
    <n v="654.83530456830886"/>
    <n v="45490.098937751281"/>
    <n v="0"/>
    <n v="45490.098937751281"/>
  </r>
  <r>
    <x v="1"/>
    <x v="4"/>
    <x v="2"/>
    <s v="Konventionel"/>
    <x v="2"/>
    <s v="Grøntsager"/>
    <n v="3.0820471317528724"/>
    <n v="89.53346917742094"/>
    <n v="0"/>
    <n v="89.53346917742094"/>
  </r>
  <r>
    <x v="1"/>
    <x v="5"/>
    <x v="2"/>
    <s v="Konventionel"/>
    <x v="2"/>
    <s v="Kartofler"/>
    <n v="17.567300986700172"/>
    <n v="1044.5387038536462"/>
    <n v="0"/>
    <n v="1044.5387038536462"/>
  </r>
  <r>
    <x v="1"/>
    <x v="6"/>
    <x v="2"/>
    <s v="Konventionel"/>
    <x v="2"/>
    <s v="Roer"/>
    <n v="20.230250811006982"/>
    <n v="2301.2967101667286"/>
    <n v="0"/>
    <n v="2301.2967101667286"/>
  </r>
  <r>
    <x v="1"/>
    <x v="7"/>
    <x v="2"/>
    <s v="Konventionel"/>
    <x v="2"/>
    <s v="Majs"/>
    <n v="20.77904716788824"/>
    <n v="1294.825545219788"/>
    <n v="0"/>
    <n v="1294.825545219788"/>
  </r>
  <r>
    <x v="1"/>
    <x v="8"/>
    <x v="2"/>
    <s v="Konventionel"/>
    <x v="2"/>
    <s v="Frugt"/>
    <n v="7.5402065554945299"/>
    <n v="89.622895118608"/>
    <n v="0"/>
    <n v="89.622895118608"/>
  </r>
  <r>
    <x v="1"/>
    <x v="9"/>
    <x v="2"/>
    <s v="Konventionel"/>
    <x v="2"/>
    <s v="Øvrige"/>
    <n v="53.840731894629357"/>
    <n v="2245.9295683604932"/>
    <n v="0"/>
    <n v="2245.9295683604932"/>
  </r>
  <r>
    <x v="1"/>
    <x v="10"/>
    <x v="2"/>
    <s v="Konventionel"/>
    <x v="2"/>
    <s v="Halm"/>
    <n v="503.85112687929109"/>
    <n v="10079.242033689035"/>
    <n v="2412.3474945929534"/>
    <n v="2412.3474945929534"/>
  </r>
  <r>
    <x v="1"/>
    <x v="11"/>
    <x v="2"/>
    <s v="Konventionel"/>
    <x v="2"/>
    <s v="Juletræer"/>
    <n v="11.815460763886664"/>
    <n v="827.08225347206644"/>
    <n v="0"/>
    <n v="827.08225347206644"/>
  </r>
  <r>
    <x v="1"/>
    <x v="12"/>
    <x v="2"/>
    <s v="Konventionel"/>
    <x v="2"/>
    <s v="Pil &amp; poppel"/>
    <n v="36.042109007348387"/>
    <n v="1230.7061612265302"/>
    <n v="0"/>
    <n v="1230.7061612265302"/>
  </r>
  <r>
    <x v="1"/>
    <x v="13"/>
    <x v="2"/>
    <s v="Konventionel"/>
    <x v="2"/>
    <s v="Græs"/>
    <n v="3236.1385416752614"/>
    <n v="62476.890685582592"/>
    <n v="0"/>
    <n v="62476.890685582592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164.34998494278247"/>
    <n v="1080.6636039930729"/>
    <n v="508.16274291582124"/>
    <n v="508.16274291582124"/>
  </r>
  <r>
    <x v="1"/>
    <x v="1"/>
    <x v="1"/>
    <s v="Økologisk"/>
    <x v="2"/>
    <s v="Halm"/>
    <n v="2.9851376865918176"/>
    <n v="9.1950599132550419"/>
    <n v="3.9327753453655783"/>
    <n v="3.9327753453655783"/>
  </r>
  <r>
    <x v="1"/>
    <x v="2"/>
    <x v="1"/>
    <s v="Økologisk"/>
    <x v="2"/>
    <s v="Halm"/>
    <n v="14.581699102750399"/>
    <n v="49.402796560118354"/>
    <n v="38.014006921211696"/>
    <n v="38.014006921211696"/>
  </r>
  <r>
    <x v="1"/>
    <x v="3"/>
    <x v="1"/>
    <s v="Økologisk"/>
    <x v="2"/>
    <s v="Græs"/>
    <n v="107.15486802026872"/>
    <n v="5806.1908098729809"/>
    <n v="0"/>
    <n v="5806.1908098729809"/>
  </r>
  <r>
    <x v="1"/>
    <x v="4"/>
    <x v="1"/>
    <s v="Økologisk"/>
    <x v="2"/>
    <s v="Grøntsager"/>
    <n v="0.50433498519592468"/>
    <n v="8.3510308523667174"/>
    <n v="0"/>
    <n v="8.3510308523667174"/>
  </r>
  <r>
    <x v="1"/>
    <x v="5"/>
    <x v="1"/>
    <s v="Økologisk"/>
    <x v="2"/>
    <s v="Kartofler"/>
    <n v="2.8746492523691192"/>
    <n v="97.426973650349197"/>
    <n v="0"/>
    <n v="97.426973650349197"/>
  </r>
  <r>
    <x v="1"/>
    <x v="6"/>
    <x v="1"/>
    <s v="Økologisk"/>
    <x v="2"/>
    <s v="Roer"/>
    <n v="3.3104046781647791"/>
    <n v="214.64822042100579"/>
    <n v="0"/>
    <n v="214.64822042100579"/>
  </r>
  <r>
    <x v="1"/>
    <x v="7"/>
    <x v="1"/>
    <s v="Økologisk"/>
    <x v="2"/>
    <s v="Majs"/>
    <n v="3.4002077183817128"/>
    <n v="175.86085132348759"/>
    <n v="0"/>
    <n v="175.86085132348759"/>
  </r>
  <r>
    <x v="1"/>
    <x v="8"/>
    <x v="1"/>
    <s v="Økologisk"/>
    <x v="2"/>
    <s v="Frugt"/>
    <n v="1.2338519818081959"/>
    <n v="8.3593718537901633"/>
    <n v="0"/>
    <n v="8.3593718537901633"/>
  </r>
  <r>
    <x v="1"/>
    <x v="9"/>
    <x v="1"/>
    <s v="Økologisk"/>
    <x v="2"/>
    <s v="Øvrige"/>
    <n v="8.8103015827575319"/>
    <n v="209.48397610344239"/>
    <n v="0"/>
    <n v="209.48397610344239"/>
  </r>
  <r>
    <x v="1"/>
    <x v="10"/>
    <x v="1"/>
    <s v="Økologisk"/>
    <x v="2"/>
    <s v="Halm"/>
    <n v="82.448366216611277"/>
    <n v="940.11839332408658"/>
    <n v="225.00622995021547"/>
    <n v="225.00622995021547"/>
  </r>
  <r>
    <x v="1"/>
    <x v="11"/>
    <x v="1"/>
    <s v="Økologisk"/>
    <x v="2"/>
    <s v="Juletræer"/>
    <n v="1.9334390340905452"/>
    <n v="77.144217460212744"/>
    <n v="0"/>
    <n v="77.144217460212744"/>
  </r>
  <r>
    <x v="1"/>
    <x v="12"/>
    <x v="1"/>
    <s v="Økologisk"/>
    <x v="2"/>
    <s v="Pil &amp; poppel"/>
    <n v="5.8977996557479182"/>
    <n v="114.79132012894728"/>
    <n v="0"/>
    <n v="114.79132012894728"/>
  </r>
  <r>
    <x v="1"/>
    <x v="13"/>
    <x v="1"/>
    <s v="Økologisk"/>
    <x v="2"/>
    <s v="Græs"/>
    <n v="529.54994318322474"/>
    <n v="10223.491203095338"/>
    <n v="0"/>
    <n v="10223.491203095338"/>
  </r>
  <r>
    <x v="1"/>
    <x v="0"/>
    <x v="2"/>
    <s v="Økologisk"/>
    <x v="2"/>
    <s v="Halm"/>
    <n v="213.04627677768096"/>
    <n v="1400.8602273984279"/>
    <n v="658.72948155754602"/>
    <n v="658.72948155754602"/>
  </r>
  <r>
    <x v="1"/>
    <x v="1"/>
    <x v="2"/>
    <s v="Økologisk"/>
    <x v="2"/>
    <s v="Halm"/>
    <n v="3.8696229270634666"/>
    <n v="11.919522109775052"/>
    <n v="5.0980421143627872"/>
    <n v="5.0980421143627872"/>
  </r>
  <r>
    <x v="1"/>
    <x v="2"/>
    <x v="2"/>
    <s v="Økologisk"/>
    <x v="2"/>
    <s v="Halm"/>
    <n v="18.902202540602364"/>
    <n v="64.040662207560814"/>
    <n v="49.277416379348487"/>
    <n v="49.277416379348487"/>
  </r>
  <r>
    <x v="1"/>
    <x v="3"/>
    <x v="2"/>
    <s v="Økologisk"/>
    <x v="2"/>
    <s v="Græs"/>
    <n v="138.90445854479279"/>
    <n v="7526.5436424279396"/>
    <n v="0"/>
    <n v="7526.5436424279396"/>
  </r>
  <r>
    <x v="1"/>
    <x v="4"/>
    <x v="2"/>
    <s v="Økologisk"/>
    <x v="2"/>
    <s v="Grøntsager"/>
    <n v="0.65376757340212444"/>
    <n v="10.825410364179078"/>
    <n v="0"/>
    <n v="10.825410364179078"/>
  </r>
  <r>
    <x v="1"/>
    <x v="5"/>
    <x v="2"/>
    <s v="Økologisk"/>
    <x v="2"/>
    <s v="Kartofler"/>
    <n v="3.7263971789970061"/>
    <n v="126.29422510230449"/>
    <n v="0"/>
    <n v="126.29422510230449"/>
  </r>
  <r>
    <x v="1"/>
    <x v="6"/>
    <x v="2"/>
    <s v="Økologisk"/>
    <x v="2"/>
    <s v="Roer"/>
    <n v="4.291265323546936"/>
    <n v="278.24769313834076"/>
    <n v="0"/>
    <n v="278.24769313834076"/>
  </r>
  <r>
    <x v="1"/>
    <x v="7"/>
    <x v="2"/>
    <s v="Økologisk"/>
    <x v="2"/>
    <s v="Majs"/>
    <n v="4.4076766719762936"/>
    <n v="227.96777023415052"/>
    <n v="0"/>
    <n v="227.96777023415052"/>
  </r>
  <r>
    <x v="1"/>
    <x v="8"/>
    <x v="2"/>
    <s v="Økologisk"/>
    <x v="2"/>
    <s v="Frugt"/>
    <n v="1.5994377541958094"/>
    <n v="10.836222773431693"/>
    <n v="0"/>
    <n v="10.836222773431693"/>
  </r>
  <r>
    <x v="1"/>
    <x v="9"/>
    <x v="2"/>
    <s v="Økologisk"/>
    <x v="2"/>
    <s v="Øvrige"/>
    <n v="11.420761310981984"/>
    <n v="271.55330235631408"/>
    <n v="0"/>
    <n v="271.55330235631408"/>
  </r>
  <r>
    <x v="1"/>
    <x v="10"/>
    <x v="2"/>
    <s v="Økologisk"/>
    <x v="2"/>
    <s v="Halm"/>
    <n v="106.87751176227387"/>
    <n v="1218.6719913460379"/>
    <n v="291.6747425280571"/>
    <n v="291.6747425280571"/>
  </r>
  <r>
    <x v="1"/>
    <x v="11"/>
    <x v="2"/>
    <s v="Økologisk"/>
    <x v="2"/>
    <s v="Juletræer"/>
    <n v="2.5063098590062625"/>
    <n v="100.00176337434986"/>
    <n v="0"/>
    <n v="100.00176337434986"/>
  </r>
  <r>
    <x v="1"/>
    <x v="12"/>
    <x v="2"/>
    <s v="Økologisk"/>
    <x v="2"/>
    <s v="Pil &amp; poppel"/>
    <n v="7.6452958500435964"/>
    <n v="148.80356313011683"/>
    <n v="0"/>
    <n v="148.80356313011683"/>
  </r>
  <r>
    <x v="1"/>
    <x v="13"/>
    <x v="2"/>
    <s v="Økologisk"/>
    <x v="2"/>
    <s v="Græs"/>
    <n v="686.45363005232821"/>
    <n v="13252.673781790247"/>
    <n v="0"/>
    <n v="13252.673781790247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5381619.5037339376"/>
  </r>
  <r>
    <x v="1"/>
    <x v="0"/>
    <x v="1"/>
    <n v="224570.40950584275"/>
  </r>
  <r>
    <x v="2"/>
    <x v="0"/>
    <x v="1"/>
    <n v="370490.27594297461"/>
  </r>
  <r>
    <x v="3"/>
    <x v="0"/>
    <x v="1"/>
    <n v="28408153.283469509"/>
  </r>
  <r>
    <x v="4"/>
    <x v="0"/>
    <x v="1"/>
    <n v="217805.88377635827"/>
  </r>
  <r>
    <x v="5"/>
    <x v="0"/>
    <x v="1"/>
    <n v="1778992.2257450195"/>
  </r>
  <r>
    <x v="6"/>
    <x v="0"/>
    <x v="1"/>
    <n v="4923583.0761439931"/>
  </r>
  <r>
    <x v="7"/>
    <x v="0"/>
    <x v="1"/>
    <n v="5903489.3992296383"/>
  </r>
  <r>
    <x v="8"/>
    <x v="0"/>
    <x v="1"/>
    <n v="32105.259581147304"/>
  </r>
  <r>
    <x v="9"/>
    <x v="0"/>
    <x v="1"/>
    <n v="1025729.6203575714"/>
  </r>
  <r>
    <x v="10"/>
    <x v="0"/>
    <x v="1"/>
    <n v="1120053.9852881476"/>
  </r>
  <r>
    <x v="11"/>
    <x v="0"/>
    <x v="1"/>
    <n v="713505.92728443746"/>
  </r>
  <r>
    <x v="12"/>
    <x v="0"/>
    <x v="1"/>
    <n v="154484.73733408173"/>
  </r>
  <r>
    <x v="0"/>
    <x v="0"/>
    <x v="2"/>
    <n v="5523408.7197105791"/>
  </r>
  <r>
    <x v="1"/>
    <x v="0"/>
    <x v="2"/>
    <n v="229440.63810667559"/>
  </r>
  <r>
    <x v="2"/>
    <x v="0"/>
    <x v="2"/>
    <n v="378080.80621229054"/>
  </r>
  <r>
    <x v="3"/>
    <x v="0"/>
    <x v="2"/>
    <n v="29404263.983943939"/>
  </r>
  <r>
    <x v="4"/>
    <x v="0"/>
    <x v="2"/>
    <n v="220830.77573350482"/>
  </r>
  <r>
    <x v="5"/>
    <x v="0"/>
    <x v="2"/>
    <n v="1818589.8087592444"/>
  </r>
  <r>
    <x v="6"/>
    <x v="0"/>
    <x v="2"/>
    <n v="5024574.3595380196"/>
  </r>
  <r>
    <x v="7"/>
    <x v="0"/>
    <x v="2"/>
    <n v="6101831.6290168501"/>
  </r>
  <r>
    <x v="8"/>
    <x v="0"/>
    <x v="2"/>
    <n v="32793.097303413146"/>
  </r>
  <r>
    <x v="9"/>
    <x v="0"/>
    <x v="2"/>
    <n v="1048609.453845398"/>
  </r>
  <r>
    <x v="10"/>
    <x v="0"/>
    <x v="2"/>
    <n v="1145476.8591293055"/>
  </r>
  <r>
    <x v="11"/>
    <x v="0"/>
    <x v="2"/>
    <n v="729011.95091777691"/>
  </r>
  <r>
    <x v="12"/>
    <x v="0"/>
    <x v="2"/>
    <n v="158491.06742829576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1608239.7398434528"/>
  </r>
  <r>
    <x v="1"/>
    <x v="1"/>
    <x v="1"/>
    <n v="66320.575580958233"/>
  </r>
  <r>
    <x v="2"/>
    <x v="1"/>
    <x v="1"/>
    <n v="111531.10220983687"/>
  </r>
  <r>
    <x v="3"/>
    <x v="1"/>
    <x v="1"/>
    <n v="7915785.5258047525"/>
  </r>
  <r>
    <x v="4"/>
    <x v="1"/>
    <x v="1"/>
    <n v="66219.734583524318"/>
  </r>
  <r>
    <x v="5"/>
    <x v="1"/>
    <x v="1"/>
    <n v="515263.04540454788"/>
  </r>
  <r>
    <x v="6"/>
    <x v="1"/>
    <x v="1"/>
    <n v="1508318.1394402247"/>
  </r>
  <r>
    <x v="7"/>
    <x v="1"/>
    <x v="1"/>
    <n v="1730463.2966817433"/>
  </r>
  <r>
    <x v="8"/>
    <x v="1"/>
    <x v="1"/>
    <n v="9754.2866982633659"/>
  </r>
  <r>
    <x v="9"/>
    <x v="1"/>
    <x v="1"/>
    <n v="301497.09442768525"/>
  </r>
  <r>
    <x v="10"/>
    <x v="1"/>
    <x v="1"/>
    <n v="342757.79858178977"/>
  </r>
  <r>
    <x v="11"/>
    <x v="1"/>
    <x v="1"/>
    <n v="211505.55492892067"/>
  </r>
  <r>
    <x v="12"/>
    <x v="1"/>
    <x v="1"/>
    <n v="42074.872472772768"/>
  </r>
  <r>
    <x v="0"/>
    <x v="1"/>
    <x v="2"/>
    <n v="1683096.8033949384"/>
  </r>
  <r>
    <x v="1"/>
    <x v="1"/>
    <x v="2"/>
    <n v="69084.929808935805"/>
  </r>
  <r>
    <x v="2"/>
    <x v="1"/>
    <x v="2"/>
    <n v="116086.90219815794"/>
  </r>
  <r>
    <x v="3"/>
    <x v="1"/>
    <x v="2"/>
    <n v="8332694.7229536632"/>
  </r>
  <r>
    <x v="4"/>
    <x v="1"/>
    <x v="2"/>
    <n v="68513.709869912811"/>
  </r>
  <r>
    <x v="5"/>
    <x v="1"/>
    <x v="2"/>
    <n v="536733.47505489504"/>
  </r>
  <r>
    <x v="6"/>
    <x v="1"/>
    <x v="2"/>
    <n v="1571187.4884325294"/>
  </r>
  <r>
    <x v="7"/>
    <x v="1"/>
    <x v="2"/>
    <n v="1823285.6405542411"/>
  </r>
  <r>
    <x v="8"/>
    <x v="1"/>
    <x v="2"/>
    <n v="10163.089759541812"/>
  </r>
  <r>
    <x v="9"/>
    <x v="1"/>
    <x v="2"/>
    <n v="314116.08613367198"/>
  </r>
  <r>
    <x v="10"/>
    <x v="1"/>
    <x v="2"/>
    <n v="357304.25157150667"/>
  </r>
  <r>
    <x v="11"/>
    <x v="1"/>
    <x v="2"/>
    <n v="220334.04456617165"/>
  </r>
  <r>
    <x v="12"/>
    <x v="1"/>
    <x v="2"/>
    <n v="43858.564110476924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791858.8572342743"/>
  </r>
  <r>
    <x v="0"/>
    <x v="2"/>
    <x v="1"/>
    <s v="JB1-10"/>
    <n v="490276.74059587362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736252.1166384006"/>
  </r>
  <r>
    <x v="0"/>
    <x v="2"/>
    <x v="2"/>
    <s v="JB1-10"/>
    <n v="545883.48119174724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46177.14276572561"/>
  </r>
  <r>
    <x v="1"/>
    <x v="2"/>
    <x v="1"/>
    <s v="JB1-10"/>
    <n v="133223.25940412635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40183.88336159918"/>
  </r>
  <r>
    <x v="1"/>
    <x v="2"/>
    <x v="2"/>
    <s v="JB1-10"/>
    <n v="139216.51880825273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13567349.858292963"/>
  </r>
  <r>
    <x v="1"/>
    <s v="Vestdanmark"/>
    <x v="15"/>
    <x v="1"/>
    <n v="11685147.040202204"/>
  </r>
  <r>
    <x v="1"/>
    <s v="Vestdanmark"/>
    <x v="16"/>
    <x v="1"/>
    <n v="7508.4535219909349"/>
  </r>
  <r>
    <x v="1"/>
    <s v="Vestdanmark"/>
    <x v="17"/>
    <x v="1"/>
    <n v="1507101.1523820646"/>
  </r>
  <r>
    <x v="1"/>
    <s v="Vestdanmark"/>
    <x v="18"/>
    <x v="1"/>
    <n v="195082.24112879002"/>
  </r>
  <r>
    <x v="1"/>
    <s v="Vestdanmark"/>
    <x v="19"/>
    <x v="1"/>
    <n v="523057.13098607323"/>
  </r>
  <r>
    <x v="1"/>
    <s v="Vestdanmark"/>
    <x v="20"/>
    <x v="1"/>
    <n v="1326462.9092294232"/>
  </r>
  <r>
    <x v="1"/>
    <s v="Vestdanmark"/>
    <x v="21"/>
    <x v="1"/>
    <n v="0"/>
  </r>
  <r>
    <x v="1"/>
    <s v="Vestdanmark"/>
    <x v="22"/>
    <x v="1"/>
    <n v="56224.531227026811"/>
  </r>
  <r>
    <x v="1"/>
    <s v="Vestdanmark"/>
    <x v="0"/>
    <x v="1"/>
    <n v="2914.9101192356643"/>
  </r>
  <r>
    <x v="1"/>
    <s v="Vestdanmark"/>
    <x v="23"/>
    <x v="1"/>
    <n v="67006.096493213583"/>
  </r>
  <r>
    <x v="1"/>
    <s v="Vestdanmark"/>
    <x v="24"/>
    <x v="1"/>
    <n v="255215.75389295255"/>
  </r>
  <r>
    <x v="1"/>
    <s v="Vestdanmark"/>
    <x v="25"/>
    <x v="1"/>
    <n v="21927.581361856195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12989062.590821605"/>
  </r>
  <r>
    <x v="1"/>
    <s v="Vestdanmark"/>
    <x v="15"/>
    <x v="2"/>
    <n v="11461865.852294842"/>
  </r>
  <r>
    <x v="1"/>
    <s v="Vestdanmark"/>
    <x v="16"/>
    <x v="2"/>
    <n v="7753.9785502341792"/>
  </r>
  <r>
    <x v="1"/>
    <s v="Vestdanmark"/>
    <x v="17"/>
    <x v="2"/>
    <n v="1563200.2483061554"/>
  </r>
  <r>
    <x v="1"/>
    <s v="Vestdanmark"/>
    <x v="18"/>
    <x v="2"/>
    <n v="197484.23354298095"/>
  </r>
  <r>
    <x v="1"/>
    <s v="Vestdanmark"/>
    <x v="19"/>
    <x v="2"/>
    <n v="519697.15308066551"/>
  </r>
  <r>
    <x v="1"/>
    <s v="Vestdanmark"/>
    <x v="20"/>
    <x v="2"/>
    <n v="1388988.8638442878"/>
  </r>
  <r>
    <x v="1"/>
    <s v="Vestdanmark"/>
    <x v="21"/>
    <x v="2"/>
    <n v="0"/>
  </r>
  <r>
    <x v="1"/>
    <s v="Vestdanmark"/>
    <x v="22"/>
    <x v="2"/>
    <n v="55778.456419553964"/>
  </r>
  <r>
    <x v="1"/>
    <s v="Vestdanmark"/>
    <x v="0"/>
    <x v="2"/>
    <n v="2901.770538547059"/>
  </r>
  <r>
    <x v="1"/>
    <s v="Vestdanmark"/>
    <x v="23"/>
    <x v="2"/>
    <n v="66758.668734263701"/>
  </r>
  <r>
    <x v="1"/>
    <s v="Vestdanmark"/>
    <x v="24"/>
    <x v="2"/>
    <n v="254098.83749353027"/>
  </r>
  <r>
    <x v="1"/>
    <s v="Vestdanmark"/>
    <x v="25"/>
    <x v="2"/>
    <n v="21821.426523041016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965869.8542385614"/>
  </r>
  <r>
    <x v="1"/>
    <s v="Østdanmark"/>
    <x v="15"/>
    <x v="1"/>
    <n v="830510.25539958803"/>
  </r>
  <r>
    <x v="1"/>
    <s v="Østdanmark"/>
    <x v="16"/>
    <x v="1"/>
    <n v="630.18173263756921"/>
  </r>
  <r>
    <x v="1"/>
    <s v="Østdanmark"/>
    <x v="17"/>
    <x v="1"/>
    <n v="1268228.6485488336"/>
  </r>
  <r>
    <x v="1"/>
    <s v="Østdanmark"/>
    <x v="18"/>
    <x v="1"/>
    <n v="168912.75887120995"/>
  </r>
  <r>
    <x v="1"/>
    <s v="Østdanmark"/>
    <x v="19"/>
    <x v="1"/>
    <n v="202910.8690139266"/>
  </r>
  <r>
    <x v="1"/>
    <s v="Østdanmark"/>
    <x v="20"/>
    <x v="1"/>
    <n v="179027.55479609076"/>
  </r>
  <r>
    <x v="1"/>
    <s v="Østdanmark"/>
    <x v="21"/>
    <x v="1"/>
    <n v="0"/>
  </r>
  <r>
    <x v="1"/>
    <s v="Østdanmark"/>
    <x v="22"/>
    <x v="1"/>
    <n v="19709.468772973203"/>
  </r>
  <r>
    <x v="1"/>
    <s v="Østdanmark"/>
    <x v="0"/>
    <x v="1"/>
    <n v="871.08988076433457"/>
  </r>
  <r>
    <x v="1"/>
    <s v="Østdanmark"/>
    <x v="23"/>
    <x v="1"/>
    <n v="18670.90350678641"/>
  </r>
  <r>
    <x v="1"/>
    <s v="Østdanmark"/>
    <x v="24"/>
    <x v="1"/>
    <n v="74810.246107047482"/>
  </r>
  <r>
    <x v="1"/>
    <s v="Østdanmark"/>
    <x v="25"/>
    <x v="1"/>
    <n v="6717.418638143807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882077.6974735428"/>
  </r>
  <r>
    <x v="1"/>
    <s v="Østdanmark"/>
    <x v="15"/>
    <x v="2"/>
    <n v="814640.76605924184"/>
  </r>
  <r>
    <x v="1"/>
    <s v="Østdanmark"/>
    <x v="16"/>
    <x v="2"/>
    <n v="650.78855763169781"/>
  </r>
  <r>
    <x v="1"/>
    <s v="Østdanmark"/>
    <x v="17"/>
    <x v="2"/>
    <n v="1327477.7098236387"/>
  </r>
  <r>
    <x v="1"/>
    <s v="Østdanmark"/>
    <x v="18"/>
    <x v="2"/>
    <n v="172292.76645701908"/>
  </r>
  <r>
    <x v="1"/>
    <s v="Østdanmark"/>
    <x v="19"/>
    <x v="2"/>
    <n v="203334.8469193347"/>
  </r>
  <r>
    <x v="1"/>
    <s v="Østdanmark"/>
    <x v="20"/>
    <x v="2"/>
    <n v="188529.05350799995"/>
  </r>
  <r>
    <x v="1"/>
    <s v="Østdanmark"/>
    <x v="21"/>
    <x v="2"/>
    <n v="0"/>
  </r>
  <r>
    <x v="1"/>
    <s v="Østdanmark"/>
    <x v="22"/>
    <x v="2"/>
    <n v="20155.543580446039"/>
  </r>
  <r>
    <x v="1"/>
    <s v="Østdanmark"/>
    <x v="0"/>
    <x v="2"/>
    <n v="884.229461452941"/>
  </r>
  <r>
    <x v="1"/>
    <s v="Østdanmark"/>
    <x v="23"/>
    <x v="2"/>
    <n v="18918.331265736317"/>
  </r>
  <r>
    <x v="1"/>
    <s v="Østdanmark"/>
    <x v="24"/>
    <x v="2"/>
    <n v="75927.162506469729"/>
  </r>
  <r>
    <x v="1"/>
    <s v="Østdanmark"/>
    <x v="25"/>
    <x v="2"/>
    <n v="6823.5734769589817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5879215.2019956233"/>
  </r>
  <r>
    <x v="2"/>
    <s v="Vestdanmark"/>
    <x v="22"/>
    <x v="1"/>
    <n v="773085.89354292606"/>
  </r>
  <r>
    <x v="2"/>
    <s v="Vestdanmark"/>
    <x v="2"/>
    <x v="1"/>
    <n v="0"/>
  </r>
  <r>
    <x v="2"/>
    <s v="Vestdanmark"/>
    <x v="5"/>
    <x v="1"/>
    <n v="64498.475475191975"/>
  </r>
  <r>
    <x v="2"/>
    <s v="Vestdanmark"/>
    <x v="25"/>
    <x v="1"/>
    <n v="841167.61765562883"/>
  </r>
  <r>
    <x v="2"/>
    <s v="Vestdanmark"/>
    <x v="24"/>
    <x v="1"/>
    <n v="5657053.7864699624"/>
  </r>
  <r>
    <x v="2"/>
    <s v="Vestdanmark"/>
    <x v="28"/>
    <x v="1"/>
    <n v="214099.10609126225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2237689.909258299"/>
  </r>
  <r>
    <x v="2"/>
    <s v="Vestdanmark"/>
    <x v="29"/>
    <x v="1"/>
    <n v="1515714.1736670113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39415.735012617326"/>
  </r>
  <r>
    <x v="2"/>
    <s v="Vestdanmark"/>
    <x v="33"/>
    <x v="1"/>
    <n v="4828427.5390456226"/>
  </r>
  <r>
    <x v="2"/>
    <s v="Vestdanmark"/>
    <x v="0"/>
    <x v="2"/>
    <n v="5879215.2019956233"/>
  </r>
  <r>
    <x v="2"/>
    <s v="Vestdanmark"/>
    <x v="22"/>
    <x v="2"/>
    <n v="773085.89354292606"/>
  </r>
  <r>
    <x v="2"/>
    <s v="Vestdanmark"/>
    <x v="2"/>
    <x v="2"/>
    <n v="0"/>
  </r>
  <r>
    <x v="2"/>
    <s v="Vestdanmark"/>
    <x v="5"/>
    <x v="2"/>
    <n v="64498.475475191975"/>
  </r>
  <r>
    <x v="2"/>
    <s v="Vestdanmark"/>
    <x v="25"/>
    <x v="2"/>
    <n v="841167.61765562883"/>
  </r>
  <r>
    <x v="2"/>
    <s v="Vestdanmark"/>
    <x v="24"/>
    <x v="2"/>
    <n v="5657053.7864699624"/>
  </r>
  <r>
    <x v="2"/>
    <s v="Vestdanmark"/>
    <x v="28"/>
    <x v="2"/>
    <n v="214099.10609126225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2237689.909258299"/>
  </r>
  <r>
    <x v="2"/>
    <s v="Vestdanmark"/>
    <x v="29"/>
    <x v="2"/>
    <n v="1515714.1736670113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39415.735012617326"/>
  </r>
  <r>
    <x v="2"/>
    <s v="Vestdanmark"/>
    <x v="33"/>
    <x v="2"/>
    <n v="4828427.5390456226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721621.60770550347"/>
  </r>
  <r>
    <x v="2"/>
    <s v="Østdanmark"/>
    <x v="22"/>
    <x v="1"/>
    <n v="94889.448034412562"/>
  </r>
  <r>
    <x v="2"/>
    <s v="Østdanmark"/>
    <x v="2"/>
    <x v="1"/>
    <n v="0"/>
  </r>
  <r>
    <x v="2"/>
    <s v="Østdanmark"/>
    <x v="5"/>
    <x v="1"/>
    <n v="7916.616753740097"/>
  </r>
  <r>
    <x v="2"/>
    <s v="Østdanmark"/>
    <x v="25"/>
    <x v="1"/>
    <n v="103245.8768300271"/>
  </r>
  <r>
    <x v="2"/>
    <s v="Østdanmark"/>
    <x v="24"/>
    <x v="1"/>
    <n v="694353.26110928762"/>
  </r>
  <r>
    <x v="2"/>
    <s v="Østdanmark"/>
    <x v="28"/>
    <x v="1"/>
    <n v="26278.769501998377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502068.0760117145"/>
  </r>
  <r>
    <x v="2"/>
    <s v="Østdanmark"/>
    <x v="29"/>
    <x v="1"/>
    <n v="186040.49371289229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4837.9324606189484"/>
  </r>
  <r>
    <x v="2"/>
    <s v="Østdanmark"/>
    <x v="33"/>
    <x v="1"/>
    <n v="592646.72642582119"/>
  </r>
  <r>
    <x v="2"/>
    <s v="Østdanmark"/>
    <x v="0"/>
    <x v="2"/>
    <n v="721621.60770550335"/>
  </r>
  <r>
    <x v="2"/>
    <s v="Østdanmark"/>
    <x v="22"/>
    <x v="2"/>
    <n v="94889.448034412548"/>
  </r>
  <r>
    <x v="2"/>
    <s v="Østdanmark"/>
    <x v="2"/>
    <x v="2"/>
    <n v="0"/>
  </r>
  <r>
    <x v="2"/>
    <s v="Østdanmark"/>
    <x v="5"/>
    <x v="2"/>
    <n v="7916.616753740097"/>
  </r>
  <r>
    <x v="2"/>
    <s v="Østdanmark"/>
    <x v="25"/>
    <x v="2"/>
    <n v="103245.87683002709"/>
  </r>
  <r>
    <x v="2"/>
    <s v="Østdanmark"/>
    <x v="24"/>
    <x v="2"/>
    <n v="694353.2611092875"/>
  </r>
  <r>
    <x v="2"/>
    <s v="Østdanmark"/>
    <x v="28"/>
    <x v="2"/>
    <n v="26278.769501998373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502068.0760117143"/>
  </r>
  <r>
    <x v="2"/>
    <s v="Østdanmark"/>
    <x v="29"/>
    <x v="2"/>
    <n v="186040.49371289223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4837.9324606189475"/>
  </r>
  <r>
    <x v="2"/>
    <s v="Østdanmark"/>
    <x v="33"/>
    <x v="2"/>
    <n v="592646.72642582108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6"/>
    <x v="0"/>
    <n v="0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6"/>
    <x v="0"/>
    <n v="0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409958.4975683726"/>
  </r>
  <r>
    <x v="3"/>
    <s v="Vestdanmark"/>
    <x v="34"/>
    <x v="1"/>
    <n v="118556.88830175188"/>
  </r>
  <r>
    <x v="3"/>
    <s v="Vestdanmark"/>
    <x v="35"/>
    <x v="1"/>
    <n v="154484.73733408173"/>
  </r>
  <r>
    <x v="3"/>
    <s v="Vestdanmark"/>
    <x v="36"/>
    <x v="1"/>
    <n v="2216341.6308326661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6"/>
    <x v="1"/>
    <n v="0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670375.18499359523"/>
  </r>
  <r>
    <x v="3"/>
    <s v="Østdanmark"/>
    <x v="34"/>
    <x v="1"/>
    <n v="35689.952707147801"/>
  </r>
  <r>
    <x v="3"/>
    <s v="Østdanmark"/>
    <x v="35"/>
    <x v="1"/>
    <n v="42074.872472772768"/>
  </r>
  <r>
    <x v="3"/>
    <s v="Østdanmark"/>
    <x v="36"/>
    <x v="1"/>
    <n v="647088.73530897219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6"/>
    <x v="1"/>
    <n v="0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1282335.7597468863"/>
  </r>
  <r>
    <x v="3"/>
    <s v="Vestdanmark"/>
    <x v="34"/>
    <x v="2"/>
    <n v="120985.85798793298"/>
  </r>
  <r>
    <x v="3"/>
    <s v="Vestdanmark"/>
    <x v="35"/>
    <x v="2"/>
    <n v="158491.06742829576"/>
  </r>
  <r>
    <x v="3"/>
    <s v="Vestdanmark"/>
    <x v="36"/>
    <x v="2"/>
    <n v="2235295.9759470159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6"/>
    <x v="2"/>
    <n v="0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647837.10569919006"/>
  </r>
  <r>
    <x v="3"/>
    <s v="Østdanmark"/>
    <x v="34"/>
    <x v="2"/>
    <n v="37147.808703410541"/>
  </r>
  <r>
    <x v="3"/>
    <s v="Østdanmark"/>
    <x v="35"/>
    <x v="2"/>
    <n v="43858.564110476924"/>
  </r>
  <r>
    <x v="3"/>
    <s v="Østdanmark"/>
    <x v="36"/>
    <x v="2"/>
    <n v="624603.98534617631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6"/>
    <x v="2"/>
    <n v="0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6000958.9027446285"/>
  </r>
  <r>
    <x v="5"/>
    <s v="Vestdanmark"/>
    <x v="16"/>
    <x v="0"/>
    <n v="3107.1675348074377"/>
  </r>
  <r>
    <x v="5"/>
    <s v="Vestdanmark"/>
    <x v="20"/>
    <x v="0"/>
    <n v="730307.97492940596"/>
  </r>
  <r>
    <x v="5"/>
    <s v="Vestdanmark"/>
    <x v="37"/>
    <x v="0"/>
    <n v="7001759.6428652545"/>
  </r>
  <r>
    <x v="5"/>
    <s v="Vestdanmark"/>
    <x v="38"/>
    <x v="0"/>
    <n v="720643.40546424"/>
  </r>
  <r>
    <x v="5"/>
    <s v="Vestdanmark"/>
    <x v="14"/>
    <x v="1"/>
    <n v="1507483.3175881065"/>
  </r>
  <r>
    <x v="5"/>
    <s v="Vestdanmark"/>
    <x v="15"/>
    <x v="1"/>
    <n v="860156.65712599526"/>
  </r>
  <r>
    <x v="5"/>
    <s v="Vestdanmark"/>
    <x v="16"/>
    <x v="1"/>
    <n v="631.66355026272936"/>
  </r>
  <r>
    <x v="5"/>
    <s v="Vestdanmark"/>
    <x v="20"/>
    <x v="1"/>
    <n v="502160.95849399589"/>
  </r>
  <r>
    <x v="5"/>
    <s v="Vestdanmark"/>
    <x v="37"/>
    <x v="1"/>
    <n v="24535385.043044623"/>
  </r>
  <r>
    <x v="5"/>
    <s v="Vestdanmark"/>
    <x v="38"/>
    <x v="1"/>
    <n v="530047.10760776233"/>
  </r>
  <r>
    <x v="5"/>
    <s v="Vestdanmark"/>
    <x v="14"/>
    <x v="2"/>
    <n v="1443229.1767579557"/>
  </r>
  <r>
    <x v="5"/>
    <s v="Vestdanmark"/>
    <x v="15"/>
    <x v="2"/>
    <n v="843720.68079392554"/>
  </r>
  <r>
    <x v="5"/>
    <s v="Vestdanmark"/>
    <x v="16"/>
    <x v="2"/>
    <n v="652.318830416526"/>
  </r>
  <r>
    <x v="5"/>
    <s v="Vestdanmark"/>
    <x v="20"/>
    <x v="2"/>
    <n v="525831.49845533748"/>
  </r>
  <r>
    <x v="5"/>
    <s v="Vestdanmark"/>
    <x v="37"/>
    <x v="2"/>
    <n v="23798796.499221969"/>
  </r>
  <r>
    <x v="5"/>
    <s v="Vestdanmark"/>
    <x v="38"/>
    <x v="2"/>
    <n v="489943.23944018129"/>
  </r>
  <r>
    <x v="5"/>
    <s v="Østdanmark"/>
    <x v="14"/>
    <x v="0"/>
    <n v="1924034.2327518209"/>
  </r>
  <r>
    <x v="5"/>
    <s v="Østdanmark"/>
    <x v="15"/>
    <x v="0"/>
    <n v="422965.94308870414"/>
  </r>
  <r>
    <x v="5"/>
    <s v="Østdanmark"/>
    <x v="16"/>
    <x v="0"/>
    <n v="255.68246519256246"/>
  </r>
  <r>
    <x v="5"/>
    <s v="Østdanmark"/>
    <x v="20"/>
    <x v="0"/>
    <n v="93457.017927737121"/>
  </r>
  <r>
    <x v="5"/>
    <s v="Østdanmark"/>
    <x v="37"/>
    <x v="0"/>
    <n v="1801732.0926432305"/>
  </r>
  <r>
    <x v="5"/>
    <s v="Østdanmark"/>
    <x v="38"/>
    <x v="0"/>
    <n v="387847.14852834243"/>
  </r>
  <r>
    <x v="5"/>
    <s v="Østdanmark"/>
    <x v="14"/>
    <x v="1"/>
    <n v="218429.98380428454"/>
  </r>
  <r>
    <x v="5"/>
    <s v="Østdanmark"/>
    <x v="15"/>
    <x v="1"/>
    <n v="61134.782689136329"/>
  </r>
  <r>
    <x v="5"/>
    <s v="Østdanmark"/>
    <x v="16"/>
    <x v="1"/>
    <n v="53.01528861871612"/>
  </r>
  <r>
    <x v="5"/>
    <s v="Østdanmark"/>
    <x v="20"/>
    <x v="1"/>
    <n v="67774.717172805787"/>
  </r>
  <r>
    <x v="5"/>
    <s v="Østdanmark"/>
    <x v="37"/>
    <x v="1"/>
    <n v="3986542.8719658842"/>
  </r>
  <r>
    <x v="5"/>
    <s v="Østdanmark"/>
    <x v="38"/>
    <x v="1"/>
    <n v="325909.00963477371"/>
  </r>
  <r>
    <x v="5"/>
    <s v="Østdanmark"/>
    <x v="14"/>
    <x v="2"/>
    <n v="209119.74416372692"/>
  </r>
  <r>
    <x v="5"/>
    <s v="Østdanmark"/>
    <x v="15"/>
    <x v="2"/>
    <n v="59966.611946027508"/>
  </r>
  <r>
    <x v="5"/>
    <s v="Østdanmark"/>
    <x v="16"/>
    <x v="2"/>
    <n v="54.748878657904719"/>
  </r>
  <r>
    <x v="5"/>
    <s v="Østdanmark"/>
    <x v="20"/>
    <x v="2"/>
    <n v="71371.713113742837"/>
  </r>
  <r>
    <x v="5"/>
    <s v="Østdanmark"/>
    <x v="37"/>
    <x v="2"/>
    <n v="3938512.6960526006"/>
  </r>
  <r>
    <x v="5"/>
    <s v="Østdanmark"/>
    <x v="38"/>
    <x v="2"/>
    <n v="315916.79839441256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39"/>
    <x v="0"/>
    <n v="484833.6848947219"/>
  </r>
  <r>
    <x v="7"/>
    <s v="Vestdanmark"/>
    <x v="39"/>
    <x v="1"/>
    <n v="370490.27594297461"/>
  </r>
  <r>
    <x v="7"/>
    <s v="Vestdanmark"/>
    <x v="39"/>
    <x v="2"/>
    <n v="378080.80621229054"/>
  </r>
  <r>
    <x v="7"/>
    <s v="Østdanmark"/>
    <x v="39"/>
    <x v="0"/>
    <n v="193574.13238370849"/>
  </r>
  <r>
    <x v="7"/>
    <s v="Østdanmark"/>
    <x v="39"/>
    <x v="1"/>
    <n v="111531.10220983687"/>
  </r>
  <r>
    <x v="7"/>
    <s v="Østdanmark"/>
    <x v="39"/>
    <x v="2"/>
    <n v="116086.90219815794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0"/>
    <x v="0"/>
    <n v="0"/>
  </r>
  <r>
    <x v="3"/>
    <s v="Vestdanmark"/>
    <x v="41"/>
    <x v="0"/>
    <n v="0"/>
  </r>
  <r>
    <x v="3"/>
    <s v="Vestdanmark"/>
    <x v="40"/>
    <x v="1"/>
    <n v="0"/>
  </r>
  <r>
    <x v="3"/>
    <s v="Vestdanmark"/>
    <x v="41"/>
    <x v="1"/>
    <n v="0"/>
  </r>
  <r>
    <x v="3"/>
    <s v="Vestdanmark"/>
    <x v="40"/>
    <x v="2"/>
    <n v="0"/>
  </r>
  <r>
    <x v="3"/>
    <s v="Vestdanmark"/>
    <x v="41"/>
    <x v="2"/>
    <n v="0"/>
  </r>
  <r>
    <x v="3"/>
    <s v="Østdanmark"/>
    <x v="40"/>
    <x v="0"/>
    <n v="0"/>
  </r>
  <r>
    <x v="3"/>
    <s v="Østdanmark"/>
    <x v="41"/>
    <x v="0"/>
    <n v="0"/>
  </r>
  <r>
    <x v="3"/>
    <s v="Østdanmark"/>
    <x v="40"/>
    <x v="1"/>
    <n v="0"/>
  </r>
  <r>
    <x v="3"/>
    <s v="Østdanmark"/>
    <x v="41"/>
    <x v="1"/>
    <n v="0"/>
  </r>
  <r>
    <x v="3"/>
    <s v="Østdanmark"/>
    <x v="40"/>
    <x v="2"/>
    <n v="0"/>
  </r>
  <r>
    <x v="3"/>
    <s v="Østdanmark"/>
    <x v="41"/>
    <x v="2"/>
    <n v="0"/>
  </r>
  <r>
    <x v="9"/>
    <m/>
    <x v="42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14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J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4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39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7"/>
        <item x="38"/>
        <item x="40"/>
        <item x="41"/>
        <item x="42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0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139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4:K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10">
    <i>
      <x v="2"/>
    </i>
    <i>
      <x v="8"/>
    </i>
    <i>
      <x v="10"/>
    </i>
    <i>
      <x v="12"/>
    </i>
    <i>
      <x v="13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64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138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4">
  <location ref="A4:AD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9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28"/>
    </i>
    <i>
      <x v="30"/>
    </i>
    <i>
      <x v="31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2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136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3:K14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h="1" m="1" x="11"/>
        <item x="9"/>
        <item x="7"/>
        <item h="1" x="0"/>
        <item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1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13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13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1:I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8">
        <item x="0"/>
        <item x="3"/>
        <item x="1"/>
        <item x="2"/>
        <item x="4"/>
        <item x="5"/>
        <item x="6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33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14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chartFormats count="13">
    <chartFormat chart="3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3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3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3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3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3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3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13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13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14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5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14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42">
    <chartFormat chart="4" format="241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4" format="242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4" format="243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4" format="244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4" format="245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4" format="246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4" format="247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4" format="248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4" format="249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4" format="250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4" format="251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4" format="252" series="1">
      <pivotArea type="data" outline="0" fieldPosition="0">
        <references count="1">
          <reference field="1" count="1" selected="0">
            <x v="12"/>
          </reference>
        </references>
      </pivotArea>
    </chartFormat>
    <chartFormat chart="4" format="253" series="1">
      <pivotArea type="data" outline="0" fieldPosition="0">
        <references count="1">
          <reference field="1" count="1" selected="0">
            <x v="11"/>
          </reference>
        </references>
      </pivotArea>
    </chartFormat>
    <chartFormat chart="4" format="2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4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4" format="2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4" format="2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4" format="2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4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4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4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4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4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4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tabSelected="1" zoomScale="80" zoomScaleNormal="80" workbookViewId="0">
      <selection activeCell="B5" sqref="B5"/>
    </sheetView>
  </sheetViews>
  <sheetFormatPr defaultColWidth="9.140625" defaultRowHeight="15" x14ac:dyDescent="0.25"/>
  <cols>
    <col min="1" max="1" width="30.5703125" style="1" bestFit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337" t="s">
        <v>279</v>
      </c>
      <c r="B1" s="337"/>
      <c r="D1" s="75" t="s">
        <v>292</v>
      </c>
    </row>
    <row r="2" spans="1:6" x14ac:dyDescent="0.25">
      <c r="A2" s="6" t="s">
        <v>0</v>
      </c>
      <c r="B2" s="227" t="s">
        <v>276</v>
      </c>
    </row>
    <row r="4" spans="1:6" ht="30" customHeight="1" thickBot="1" x14ac:dyDescent="0.3">
      <c r="A4" s="336" t="s">
        <v>278</v>
      </c>
      <c r="B4" s="336"/>
      <c r="D4" s="75"/>
    </row>
    <row r="5" spans="1:6" ht="15.75" thickTop="1" x14ac:dyDescent="0.25">
      <c r="A5" s="259" t="s">
        <v>86</v>
      </c>
      <c r="B5" s="258" t="s">
        <v>312</v>
      </c>
      <c r="D5" s="215" t="s">
        <v>43</v>
      </c>
      <c r="E5" s="216"/>
      <c r="F5" s="12"/>
    </row>
    <row r="6" spans="1:6" x14ac:dyDescent="0.25">
      <c r="A6" s="209" t="s">
        <v>84</v>
      </c>
      <c r="B6" s="210" t="s">
        <v>262</v>
      </c>
      <c r="D6" s="217" t="str" cm="1">
        <f t="array" ref="D6">[1]!Jordbund1</f>
        <v>JB1-10</v>
      </c>
      <c r="E6" s="218" t="s">
        <v>44</v>
      </c>
      <c r="F6" s="12"/>
    </row>
    <row r="7" spans="1:6" x14ac:dyDescent="0.25">
      <c r="A7" s="209"/>
      <c r="B7" s="210" t="s">
        <v>2</v>
      </c>
      <c r="D7" s="217" t="str" cm="1">
        <f t="array" ref="D7">[1]!Organ6</f>
        <v>OC6</v>
      </c>
      <c r="E7" s="218" t="s">
        <v>45</v>
      </c>
      <c r="F7" s="12"/>
    </row>
    <row r="8" spans="1:6" x14ac:dyDescent="0.25">
      <c r="A8" s="225" t="s">
        <v>92</v>
      </c>
      <c r="B8" s="210" t="s">
        <v>263</v>
      </c>
      <c r="D8" s="217" t="str" cm="1">
        <f t="array" ref="D8">[1]!Organ12</f>
        <v>OC12</v>
      </c>
      <c r="E8" s="218" t="s">
        <v>46</v>
      </c>
      <c r="F8" s="12"/>
    </row>
    <row r="9" spans="1:6" x14ac:dyDescent="0.25">
      <c r="A9" s="211" t="s">
        <v>93</v>
      </c>
      <c r="B9" s="210" t="s">
        <v>264</v>
      </c>
      <c r="D9" s="217"/>
      <c r="E9" s="218"/>
      <c r="F9" s="12"/>
    </row>
    <row r="10" spans="1:6" x14ac:dyDescent="0.25">
      <c r="A10" s="209"/>
      <c r="B10" s="210"/>
      <c r="D10" s="219" t="s">
        <v>47</v>
      </c>
      <c r="E10" s="218"/>
      <c r="F10" s="12"/>
    </row>
    <row r="11" spans="1:6" x14ac:dyDescent="0.25">
      <c r="A11" s="225" t="s">
        <v>69</v>
      </c>
      <c r="B11" s="226" t="s">
        <v>265</v>
      </c>
      <c r="D11" s="217" t="str" cm="1">
        <f t="array" ref="D11">[1]!Bebyg</f>
        <v>Bebyggelse &amp; infrastruktur</v>
      </c>
      <c r="E11" s="218"/>
      <c r="F11" s="12"/>
    </row>
    <row r="12" spans="1:6" x14ac:dyDescent="0.25">
      <c r="A12" s="209" t="s">
        <v>259</v>
      </c>
      <c r="B12" s="210" t="s">
        <v>266</v>
      </c>
      <c r="D12" s="217" t="str" cm="1">
        <f t="array" ref="D12">[1]!Afgrøder</f>
        <v>Landbrugsafgrøder</v>
      </c>
      <c r="E12" s="218"/>
      <c r="F12" s="12"/>
    </row>
    <row r="13" spans="1:6" x14ac:dyDescent="0.25">
      <c r="A13" s="209"/>
      <c r="B13" s="210"/>
      <c r="D13" s="217" t="str" cm="1">
        <f t="array" ref="D13">[1]!SkovAreal</f>
        <v>Skov</v>
      </c>
      <c r="E13" s="218"/>
      <c r="F13" s="12"/>
    </row>
    <row r="14" spans="1:6" x14ac:dyDescent="0.25">
      <c r="A14" s="225" t="s">
        <v>70</v>
      </c>
      <c r="B14" s="226" t="s">
        <v>267</v>
      </c>
      <c r="D14" s="217" t="str" cm="1">
        <f t="array" ref="D14">[1]!NaturAreal</f>
        <v>Natur</v>
      </c>
      <c r="E14" s="218"/>
      <c r="F14" s="12"/>
    </row>
    <row r="15" spans="1:6" x14ac:dyDescent="0.25">
      <c r="A15" s="209" t="s">
        <v>71</v>
      </c>
      <c r="B15" s="210" t="s">
        <v>268</v>
      </c>
      <c r="D15" s="217" t="str" cm="1">
        <f t="array" ref="D15">[1]!IKareal</f>
        <v>Ikke klassificeret</v>
      </c>
      <c r="E15" s="218"/>
      <c r="F15" s="12"/>
    </row>
    <row r="16" spans="1:6" x14ac:dyDescent="0.25">
      <c r="A16" s="209" t="s">
        <v>72</v>
      </c>
      <c r="B16" s="210"/>
      <c r="D16" s="220"/>
      <c r="E16" s="218"/>
    </row>
    <row r="17" spans="1:5" x14ac:dyDescent="0.25">
      <c r="A17" s="209" t="s">
        <v>73</v>
      </c>
      <c r="B17" s="226" t="s">
        <v>275</v>
      </c>
      <c r="D17" s="221" t="s">
        <v>94</v>
      </c>
      <c r="E17" s="218"/>
    </row>
    <row r="18" spans="1:5" x14ac:dyDescent="0.25">
      <c r="A18" s="209" t="s">
        <v>74</v>
      </c>
      <c r="B18" s="338" t="s">
        <v>280</v>
      </c>
      <c r="D18" s="217" cm="1">
        <f t="array" ref="D18">[1]!År1</f>
        <v>2019</v>
      </c>
      <c r="E18" s="218"/>
    </row>
    <row r="19" spans="1:5" x14ac:dyDescent="0.25">
      <c r="A19" s="209" t="s">
        <v>260</v>
      </c>
      <c r="B19" s="338"/>
      <c r="D19" s="217" cm="1">
        <f t="array" ref="D19">[1]!År2</f>
        <v>2030</v>
      </c>
      <c r="E19" s="218"/>
    </row>
    <row r="20" spans="1:5" ht="15.75" thickBot="1" x14ac:dyDescent="0.3">
      <c r="A20" s="209" t="s">
        <v>261</v>
      </c>
      <c r="B20" s="210"/>
      <c r="D20" s="222" cm="1">
        <f t="array" ref="D20">[1]!År3</f>
        <v>2050</v>
      </c>
      <c r="E20" s="223"/>
    </row>
    <row r="21" spans="1:5" ht="15.75" thickTop="1" x14ac:dyDescent="0.25">
      <c r="A21" s="209" t="s">
        <v>75</v>
      </c>
      <c r="B21" s="210"/>
    </row>
    <row r="22" spans="1:5" x14ac:dyDescent="0.25">
      <c r="A22" s="209"/>
      <c r="B22" s="210"/>
    </row>
    <row r="23" spans="1:5" x14ac:dyDescent="0.25">
      <c r="A23" s="260" t="s">
        <v>313</v>
      </c>
      <c r="B23" s="210"/>
    </row>
    <row r="24" spans="1:5" ht="15.75" thickBot="1" x14ac:dyDescent="0.3">
      <c r="A24" s="212" t="s">
        <v>1</v>
      </c>
      <c r="B24" s="213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Q123"/>
  <sheetViews>
    <sheetView zoomScale="60" zoomScaleNormal="60" workbookViewId="0">
      <selection activeCell="T57" sqref="T57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384" width="9.140625" style="1"/>
  </cols>
  <sheetData>
    <row r="1" spans="1:17" ht="15" customHeight="1" x14ac:dyDescent="0.25">
      <c r="A1" s="257" t="s">
        <v>306</v>
      </c>
      <c r="B1" s="256"/>
      <c r="C1" s="339" t="s">
        <v>305</v>
      </c>
      <c r="D1" s="339"/>
      <c r="E1" s="339"/>
      <c r="F1" s="339"/>
      <c r="G1" s="339"/>
      <c r="H1" s="339"/>
      <c r="I1" s="339"/>
      <c r="J1" s="339"/>
      <c r="K1" s="339"/>
      <c r="L1" s="339"/>
      <c r="M1" s="339"/>
      <c r="N1" s="339"/>
      <c r="O1" s="339"/>
      <c r="P1" s="339"/>
      <c r="Q1" s="339"/>
    </row>
    <row r="2" spans="1:17" ht="15" customHeight="1" x14ac:dyDescent="0.25">
      <c r="A2" s="256"/>
      <c r="B2" s="256"/>
      <c r="C2" s="339"/>
      <c r="D2" s="339"/>
      <c r="E2" s="339"/>
      <c r="F2" s="339"/>
      <c r="G2" s="339"/>
      <c r="H2" s="339"/>
      <c r="I2" s="339"/>
      <c r="J2" s="339"/>
      <c r="K2" s="339"/>
      <c r="L2" s="339"/>
      <c r="M2" s="339"/>
      <c r="N2" s="339"/>
      <c r="O2" s="339"/>
      <c r="P2" s="339"/>
      <c r="Q2" s="339"/>
    </row>
    <row r="3" spans="1:17" x14ac:dyDescent="0.25">
      <c r="A3" s="75"/>
    </row>
    <row r="123" spans="3:3" x14ac:dyDescent="0.25">
      <c r="C123" s="182"/>
    </row>
  </sheetData>
  <mergeCells count="1">
    <mergeCell ref="C1:Q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C5" sqref="C5:D5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33" t="s">
        <v>281</v>
      </c>
      <c r="B1" s="75" t="s">
        <v>307</v>
      </c>
    </row>
    <row r="2" spans="1:18" ht="42.95" customHeight="1" x14ac:dyDescent="0.25">
      <c r="A2" s="228" t="s">
        <v>291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314</v>
      </c>
      <c r="K2" s="6"/>
      <c r="L2" s="6"/>
      <c r="M2" s="6"/>
      <c r="N2" s="6"/>
      <c r="O2" s="6"/>
      <c r="P2" s="6"/>
    </row>
    <row r="3" spans="1:18" x14ac:dyDescent="0.25">
      <c r="A3" s="2" t="s">
        <v>270</v>
      </c>
      <c r="B3" s="2" t="s">
        <v>272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176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271</v>
      </c>
      <c r="B4" s="2" t="s">
        <v>273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24" t="s">
        <v>276</v>
      </c>
      <c r="C5" s="9">
        <f>5600*11</f>
        <v>61600</v>
      </c>
      <c r="D5" s="9">
        <f>C5+11*5600</f>
        <v>123200</v>
      </c>
      <c r="E5" s="9" t="s">
        <v>277</v>
      </c>
      <c r="F5" s="110" t="s">
        <v>9</v>
      </c>
      <c r="G5" s="110" t="s">
        <v>10</v>
      </c>
      <c r="I5" s="26" t="str">
        <f>Bebyg</f>
        <v>Bebyggelse &amp; infrastruktur</v>
      </c>
      <c r="J5" s="17" t="e">
        <f t="shared" ref="J5:R5" si="0">SUM(J25,J35)</f>
        <v>#VALUE!</v>
      </c>
      <c r="K5" s="17">
        <f t="shared" si="0"/>
        <v>0</v>
      </c>
      <c r="L5" s="17">
        <f t="shared" si="0"/>
        <v>0</v>
      </c>
      <c r="M5" s="18" t="e">
        <f t="shared" si="0"/>
        <v>#VALUE!</v>
      </c>
      <c r="N5" s="18">
        <f t="shared" si="0"/>
        <v>0</v>
      </c>
      <c r="O5" s="18">
        <f t="shared" si="0"/>
        <v>0</v>
      </c>
      <c r="P5" s="18" t="e">
        <f t="shared" si="0"/>
        <v>#VALUE!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 t="e">
        <f t="shared" ref="J6:R6" si="1">SUM(J26,J36)</f>
        <v>#VALUE!</v>
      </c>
      <c r="K6" s="17">
        <f t="shared" si="1"/>
        <v>100501.99999999999</v>
      </c>
      <c r="L6" s="17">
        <f t="shared" si="1"/>
        <v>78231.999999999985</v>
      </c>
      <c r="M6" s="18" t="e">
        <f t="shared" si="1"/>
        <v>#VALUE!</v>
      </c>
      <c r="N6" s="18">
        <f t="shared" si="1"/>
        <v>93001.999999999985</v>
      </c>
      <c r="O6" s="18">
        <f t="shared" si="1"/>
        <v>70731.999999999985</v>
      </c>
      <c r="P6" s="18" t="e">
        <f t="shared" si="1"/>
        <v>#VALUE!</v>
      </c>
      <c r="Q6" s="18">
        <f t="shared" si="1"/>
        <v>93001.999999999985</v>
      </c>
      <c r="R6" s="18">
        <f t="shared" si="1"/>
        <v>70731.999999999985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 t="e">
        <f t="shared" ref="J7:R7" si="2">SUM(J27,J37)</f>
        <v>#VALUE!</v>
      </c>
      <c r="K7" s="17">
        <f t="shared" si="2"/>
        <v>0</v>
      </c>
      <c r="L7" s="17">
        <f t="shared" si="2"/>
        <v>0</v>
      </c>
      <c r="M7" s="18" t="e">
        <f t="shared" si="2"/>
        <v>#VALUE!</v>
      </c>
      <c r="N7" s="18">
        <f t="shared" si="2"/>
        <v>0</v>
      </c>
      <c r="O7" s="18">
        <f t="shared" si="2"/>
        <v>0</v>
      </c>
      <c r="P7" s="18" t="e">
        <f t="shared" si="2"/>
        <v>#VALUE!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 t="e">
        <f t="shared" ref="J8:R8" si="3">SUM(J28,J38)</f>
        <v>#VALUE!</v>
      </c>
      <c r="K8" s="17">
        <f t="shared" si="3"/>
        <v>61497.999999999993</v>
      </c>
      <c r="L8" s="17">
        <f t="shared" si="3"/>
        <v>50767.999999999993</v>
      </c>
      <c r="M8" s="18" t="e">
        <f t="shared" si="3"/>
        <v>#VALUE!</v>
      </c>
      <c r="N8" s="18">
        <f t="shared" si="3"/>
        <v>68998</v>
      </c>
      <c r="O8" s="18">
        <f t="shared" si="3"/>
        <v>58267.999999999993</v>
      </c>
      <c r="P8" s="18" t="e">
        <f t="shared" si="3"/>
        <v>#VALUE!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 t="e">
        <f t="shared" ref="J9:R9" si="4">SUM(J29,J39)</f>
        <v>#VALUE!</v>
      </c>
      <c r="K9" s="19">
        <f t="shared" si="4"/>
        <v>0</v>
      </c>
      <c r="L9" s="19">
        <f t="shared" si="4"/>
        <v>0</v>
      </c>
      <c r="M9" s="91" t="e">
        <f t="shared" si="4"/>
        <v>#VALUE!</v>
      </c>
      <c r="N9" s="91">
        <f t="shared" si="4"/>
        <v>0</v>
      </c>
      <c r="O9" s="91">
        <f t="shared" si="4"/>
        <v>0</v>
      </c>
      <c r="P9" s="91" t="e">
        <f t="shared" si="4"/>
        <v>#VALUE!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 t="e">
        <f t="shared" ref="J10:R10" si="5">SUM(J5:J9)</f>
        <v>#VALUE!</v>
      </c>
      <c r="K10" s="20">
        <f t="shared" si="5"/>
        <v>161999.99999999997</v>
      </c>
      <c r="L10" s="20">
        <f t="shared" si="5"/>
        <v>128999.99999999997</v>
      </c>
      <c r="M10" s="21" t="e">
        <f t="shared" si="5"/>
        <v>#VALUE!</v>
      </c>
      <c r="N10" s="21">
        <f t="shared" si="5"/>
        <v>162000</v>
      </c>
      <c r="O10" s="21">
        <f t="shared" si="5"/>
        <v>128999.99999999997</v>
      </c>
      <c r="P10" s="21" t="e">
        <f t="shared" si="5"/>
        <v>#VALUE!</v>
      </c>
      <c r="Q10" s="21">
        <f t="shared" si="5"/>
        <v>162000</v>
      </c>
      <c r="R10" s="21">
        <f t="shared" si="5"/>
        <v>128999.99999999997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61"/>
      <c r="J22" s="262" t="s">
        <v>308</v>
      </c>
      <c r="K22" s="262"/>
      <c r="L22" s="262"/>
      <c r="M22" s="262"/>
      <c r="N22" s="262"/>
      <c r="O22" s="262"/>
      <c r="P22" s="262"/>
      <c r="Q22" s="261"/>
      <c r="R22" s="261"/>
    </row>
    <row r="23" spans="1:18" hidden="1" x14ac:dyDescent="0.25">
      <c r="D23" s="15"/>
      <c r="E23" s="15"/>
      <c r="F23" s="15"/>
      <c r="G23" s="15"/>
      <c r="I23" s="263" t="s">
        <v>176</v>
      </c>
      <c r="J23" s="264">
        <f>År1</f>
        <v>2019</v>
      </c>
      <c r="K23" s="264">
        <f>År1</f>
        <v>2019</v>
      </c>
      <c r="L23" s="264">
        <f>År1</f>
        <v>2019</v>
      </c>
      <c r="M23" s="264">
        <f>År2</f>
        <v>2030</v>
      </c>
      <c r="N23" s="264">
        <f>År2</f>
        <v>2030</v>
      </c>
      <c r="O23" s="264">
        <f>År2</f>
        <v>2030</v>
      </c>
      <c r="P23" s="264">
        <f>År3</f>
        <v>2050</v>
      </c>
      <c r="Q23" s="264">
        <f>År3</f>
        <v>2050</v>
      </c>
      <c r="R23" s="264">
        <f>År3</f>
        <v>2050</v>
      </c>
    </row>
    <row r="24" spans="1:18" hidden="1" x14ac:dyDescent="0.25">
      <c r="D24" s="15"/>
      <c r="E24" s="15"/>
      <c r="F24" s="15"/>
      <c r="G24" s="15"/>
      <c r="I24" s="263"/>
      <c r="J24" s="264" t="str">
        <f>Jordbund1</f>
        <v>JB1-10</v>
      </c>
      <c r="K24" s="264" t="str">
        <f>Organ6</f>
        <v>OC6</v>
      </c>
      <c r="L24" s="264" t="str">
        <f>Organ12</f>
        <v>OC12</v>
      </c>
      <c r="M24" s="264" t="str">
        <f>Jordbund1</f>
        <v>JB1-10</v>
      </c>
      <c r="N24" s="264" t="str">
        <f>Organ6</f>
        <v>OC6</v>
      </c>
      <c r="O24" s="264" t="str">
        <f>Organ12</f>
        <v>OC12</v>
      </c>
      <c r="P24" s="264" t="str">
        <f>Jordbund1</f>
        <v>JB1-10</v>
      </c>
      <c r="Q24" s="264" t="str">
        <f>Organ6</f>
        <v>OC6</v>
      </c>
      <c r="R24" s="264" t="str">
        <f>Organ12</f>
        <v>OC12</v>
      </c>
    </row>
    <row r="25" spans="1:18" hidden="1" x14ac:dyDescent="0.25">
      <c r="D25" s="15"/>
      <c r="E25" s="15"/>
      <c r="F25" s="15"/>
      <c r="G25" s="15"/>
      <c r="I25" s="265" t="str">
        <f>Bebyg</f>
        <v>Bebyggelse &amp; infrastruktur</v>
      </c>
      <c r="J25" s="271" t="e">
        <f>SUMIF([1]Arealanvendelse!$B$15:$B$22,I25,[1]Arealanvendelse!$D$15:$D$22)-SUM(K25:L25)</f>
        <v>#VALUE!</v>
      </c>
      <c r="K25" s="271"/>
      <c r="L25" s="271"/>
      <c r="M25" s="274" t="e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#VALUE!</v>
      </c>
      <c r="N25" s="274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74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74" t="e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#VALUE!</v>
      </c>
      <c r="Q25" s="274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74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5" t="str">
        <f>Afgrøder</f>
        <v>Landbrugsafgrøder</v>
      </c>
      <c r="J26" s="271" t="e">
        <f>SUMIF([1]Arealanvendelse!$B$15:$B$22,I26,[1]Arealanvendelse!$D$15:$D$22)-SUM(K26:L26)</f>
        <v>#VALUE!</v>
      </c>
      <c r="K26" s="271">
        <f>[1]Jordbundstypefordeling!$D$16*[1]Jordbundstypefordeling!$F$4</f>
        <v>90723.841613092387</v>
      </c>
      <c r="L26" s="271">
        <f>[1]Jordbundstypefordeling!$D$15*[1]Jordbundstypefordeling!$F$4</f>
        <v>70620.560556759505</v>
      </c>
      <c r="M26" s="274" t="e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#VALUE!</v>
      </c>
      <c r="N26" s="274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83953.540404179206</v>
      </c>
      <c r="O26" s="274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63850.259347846317</v>
      </c>
      <c r="P26" s="274" t="e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#VALUE!</v>
      </c>
      <c r="Q26" s="274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83953.540404179206</v>
      </c>
      <c r="R26" s="274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63850.259347846317</v>
      </c>
    </row>
    <row r="27" spans="1:18" hidden="1" x14ac:dyDescent="0.25">
      <c r="D27" s="15"/>
      <c r="E27" s="15"/>
      <c r="F27" s="15"/>
      <c r="G27" s="15"/>
      <c r="I27" s="265" t="str">
        <f>SkovAreal</f>
        <v>Skov</v>
      </c>
      <c r="J27" s="271" t="e">
        <f>SUMIF([1]Arealanvendelse!$B$15:$B$22,I27,[1]Arealanvendelse!$D$15:$D$22)-SUM(K27:L27)</f>
        <v>#VALUE!</v>
      </c>
      <c r="K27" s="271"/>
      <c r="L27" s="271"/>
      <c r="M27" s="274" t="e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#VALUE!</v>
      </c>
      <c r="N27" s="274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74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74" t="e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#VALUE!</v>
      </c>
      <c r="Q27" s="274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74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5" t="str">
        <f>NaturAreal</f>
        <v>Natur</v>
      </c>
      <c r="J28" s="271" t="e">
        <f>SUMIF([1]Arealanvendelse!$B$15:$B$22,I28,[1]Arealanvendelse!$D$15:$D$22)-SUM(K28:L28)</f>
        <v>#VALUE!</v>
      </c>
      <c r="K28" s="271">
        <f>([1]Jordbundstypefordeling!$E$16-[1]Jordbundstypefordeling!$D$16)*SUM([1]Jordbundstypefordeling!$D$3:$D$5)</f>
        <v>55514.664499432409</v>
      </c>
      <c r="L28" s="271">
        <f>([1]Jordbundstypefordeling!$E$15-[1]Jordbundstypefordeling!$D$15)*SUM([1]Jordbundstypefordeling!D3:D5)</f>
        <v>45828.620236547278</v>
      </c>
      <c r="M28" s="274" t="e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#VALUE!</v>
      </c>
      <c r="N28" s="274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62284.965708345597</v>
      </c>
      <c r="O28" s="274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52598.921445460466</v>
      </c>
      <c r="P28" s="274" t="e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#VALUE!</v>
      </c>
      <c r="Q28" s="274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62284.965708345597</v>
      </c>
      <c r="R28" s="274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52598.921445460466</v>
      </c>
    </row>
    <row r="29" spans="1:18" ht="15.75" hidden="1" thickBot="1" x14ac:dyDescent="0.3">
      <c r="D29" s="15"/>
      <c r="E29" s="15"/>
      <c r="F29" s="15"/>
      <c r="G29" s="15"/>
      <c r="I29" s="266" t="str">
        <f>IKareal</f>
        <v>Ikke klassificeret</v>
      </c>
      <c r="J29" s="272" t="e">
        <f>SUMIF([1]Arealanvendelse!$B$15:$B$22,I29,[1]Arealanvendelse!$D$15:$D$22)-SUM(K29:L29)</f>
        <v>#VALUE!</v>
      </c>
      <c r="K29" s="272"/>
      <c r="L29" s="272"/>
      <c r="M29" s="275" t="e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#VALUE!</v>
      </c>
      <c r="N29" s="275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5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5" t="e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#VALUE!</v>
      </c>
      <c r="Q29" s="275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5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7" t="s">
        <v>30</v>
      </c>
      <c r="J30" s="273" t="e">
        <f t="shared" ref="J30:R30" si="6">SUM(J25:J29)</f>
        <v>#VALUE!</v>
      </c>
      <c r="K30" s="273">
        <f t="shared" si="6"/>
        <v>146238.5061125248</v>
      </c>
      <c r="L30" s="273">
        <f t="shared" si="6"/>
        <v>116449.18079330679</v>
      </c>
      <c r="M30" s="276" t="e">
        <f t="shared" si="6"/>
        <v>#VALUE!</v>
      </c>
      <c r="N30" s="276">
        <f t="shared" si="6"/>
        <v>146238.5061125248</v>
      </c>
      <c r="O30" s="276">
        <f t="shared" si="6"/>
        <v>116449.18079330679</v>
      </c>
      <c r="P30" s="276" t="e">
        <f t="shared" si="6"/>
        <v>#VALUE!</v>
      </c>
      <c r="Q30" s="276">
        <f t="shared" si="6"/>
        <v>146238.5061125248</v>
      </c>
      <c r="R30" s="276">
        <f t="shared" si="6"/>
        <v>116449.18079330679</v>
      </c>
    </row>
    <row r="31" spans="1:18" hidden="1" x14ac:dyDescent="0.25">
      <c r="I31" s="268"/>
      <c r="J31" s="269"/>
      <c r="K31" s="269"/>
      <c r="L31" s="269"/>
      <c r="M31" s="270"/>
      <c r="N31" s="269"/>
      <c r="O31" s="269"/>
      <c r="P31" s="269"/>
      <c r="Q31" s="269"/>
      <c r="R31" s="269"/>
    </row>
    <row r="32" spans="1:18" hidden="1" x14ac:dyDescent="0.25">
      <c r="I32" s="268"/>
      <c r="J32" s="262" t="s">
        <v>309</v>
      </c>
      <c r="K32" s="262"/>
      <c r="L32" s="262"/>
      <c r="M32" s="262"/>
      <c r="N32" s="262"/>
      <c r="O32" s="262"/>
      <c r="P32" s="262"/>
      <c r="Q32" s="262"/>
      <c r="R32" s="262"/>
    </row>
    <row r="33" spans="9:18" hidden="1" x14ac:dyDescent="0.25">
      <c r="I33" s="263" t="s">
        <v>176</v>
      </c>
      <c r="J33" s="264">
        <f>År1</f>
        <v>2019</v>
      </c>
      <c r="K33" s="264">
        <f>År1</f>
        <v>2019</v>
      </c>
      <c r="L33" s="264">
        <f>År1</f>
        <v>2019</v>
      </c>
      <c r="M33" s="264">
        <v>2030</v>
      </c>
      <c r="N33" s="264">
        <v>2030</v>
      </c>
      <c r="O33" s="264">
        <v>2030</v>
      </c>
      <c r="P33" s="264">
        <f>År3</f>
        <v>2050</v>
      </c>
      <c r="Q33" s="264">
        <f>År3</f>
        <v>2050</v>
      </c>
      <c r="R33" s="264">
        <f>År3</f>
        <v>2050</v>
      </c>
    </row>
    <row r="34" spans="9:18" hidden="1" x14ac:dyDescent="0.25">
      <c r="I34" s="263"/>
      <c r="J34" s="264" t="str">
        <f>Jordbund1</f>
        <v>JB1-10</v>
      </c>
      <c r="K34" s="264" t="str">
        <f>Organ6</f>
        <v>OC6</v>
      </c>
      <c r="L34" s="264" t="str">
        <f>Organ12</f>
        <v>OC12</v>
      </c>
      <c r="M34" s="264" t="str">
        <f>Jordbund1</f>
        <v>JB1-10</v>
      </c>
      <c r="N34" s="264" t="str">
        <f>Organ6</f>
        <v>OC6</v>
      </c>
      <c r="O34" s="264" t="str">
        <f>Organ12</f>
        <v>OC12</v>
      </c>
      <c r="P34" s="264" t="str">
        <f>Jordbund1</f>
        <v>JB1-10</v>
      </c>
      <c r="Q34" s="264" t="str">
        <f>Organ6</f>
        <v>OC6</v>
      </c>
      <c r="R34" s="264" t="str">
        <f>Organ12</f>
        <v>OC12</v>
      </c>
    </row>
    <row r="35" spans="9:18" hidden="1" x14ac:dyDescent="0.25">
      <c r="I35" s="265" t="str">
        <f>Bebyg</f>
        <v>Bebyggelse &amp; infrastruktur</v>
      </c>
      <c r="J35" s="271" t="e">
        <f>SUMIF([1]Arealanvendelse!$B$15:$B$22,I35,[1]Arealanvendelse!$E$15:$E$22)-SUM(K35:L35)</f>
        <v>#VALUE!</v>
      </c>
      <c r="K35" s="271"/>
      <c r="L35" s="271"/>
      <c r="M35" s="274" t="e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#VALUE!</v>
      </c>
      <c r="N35" s="274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74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74" t="e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#VALUE!</v>
      </c>
      <c r="Q35" s="274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74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5" t="str">
        <f>Afgrøder</f>
        <v>Landbrugsafgrøder</v>
      </c>
      <c r="J36" s="271" t="e">
        <f>SUMIF([1]Arealanvendelse!$B$15:$B$22,I36,[1]Arealanvendelse!$E$15:$E$22)-SUM(K36:L36)</f>
        <v>#VALUE!</v>
      </c>
      <c r="K36" s="271">
        <f>[1]Jordbundstypefordeling!$D$16*[1]Jordbundstypefordeling!$G$4</f>
        <v>9778.158386907593</v>
      </c>
      <c r="L36" s="271">
        <f>[1]Jordbundstypefordeling!$D$15*[1]Jordbundstypefordeling!$G$4</f>
        <v>7611.4394432404806</v>
      </c>
      <c r="M36" s="274" t="e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#VALUE!</v>
      </c>
      <c r="N36" s="274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9048.4595958207792</v>
      </c>
      <c r="O36" s="274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6881.7406521536668</v>
      </c>
      <c r="P36" s="274" t="e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#VALUE!</v>
      </c>
      <c r="Q36" s="274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9048.4595958207792</v>
      </c>
      <c r="R36" s="274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6881.7406521536668</v>
      </c>
    </row>
    <row r="37" spans="9:18" hidden="1" x14ac:dyDescent="0.25">
      <c r="I37" s="265" t="str">
        <f>SkovAreal</f>
        <v>Skov</v>
      </c>
      <c r="J37" s="271" t="e">
        <f>SUMIF([1]Arealanvendelse!$B$15:$B$22,I37,[1]Arealanvendelse!$E$15:$E$22)-SUM(K37:L37)</f>
        <v>#VALUE!</v>
      </c>
      <c r="K37" s="271"/>
      <c r="L37" s="271"/>
      <c r="M37" s="274" t="e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#VALUE!</v>
      </c>
      <c r="N37" s="274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74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74" t="e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#VALUE!</v>
      </c>
      <c r="Q37" s="274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74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5" t="str">
        <f>NaturAreal</f>
        <v>Natur</v>
      </c>
      <c r="J38" s="271" t="e">
        <f>SUMIF([1]Arealanvendelse!$B$15:$B$22,I38,[1]Arealanvendelse!$E$15:$E$22)-SUM(K38:L38)</f>
        <v>#VALUE!</v>
      </c>
      <c r="K38" s="271">
        <f>([1]Jordbundstypefordeling!$E$16-[1]Jordbundstypefordeling!$D$16)*[1]Jordbundstypefordeling!$G$4</f>
        <v>5983.3355005675821</v>
      </c>
      <c r="L38" s="271">
        <f>([1]Jordbundstypefordeling!$E$15-[1]Jordbundstypefordeling!$D$15)*[1]Jordbundstypefordeling!$G$4</f>
        <v>4939.3797634527136</v>
      </c>
      <c r="M38" s="274" t="e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#VALUE!</v>
      </c>
      <c r="N38" s="274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6713.0342916543959</v>
      </c>
      <c r="O38" s="274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5669.0785545395274</v>
      </c>
      <c r="P38" s="274" t="e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#VALUE!</v>
      </c>
      <c r="Q38" s="274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6713.0342916543959</v>
      </c>
      <c r="R38" s="274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5669.0785545395274</v>
      </c>
    </row>
    <row r="39" spans="9:18" ht="15.75" hidden="1" thickBot="1" x14ac:dyDescent="0.3">
      <c r="I39" s="266" t="str">
        <f>IKareal</f>
        <v>Ikke klassificeret</v>
      </c>
      <c r="J39" s="272" t="e">
        <f>SUMIF([1]Arealanvendelse!$B$15:$B$22,I39,[1]Arealanvendelse!$E$15:$E$22)-SUM(K39:L39)</f>
        <v>#VALUE!</v>
      </c>
      <c r="K39" s="272"/>
      <c r="L39" s="272"/>
      <c r="M39" s="275" t="e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#VALUE!</v>
      </c>
      <c r="N39" s="275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5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5" t="e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#VALUE!</v>
      </c>
      <c r="Q39" s="275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5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7" t="s">
        <v>30</v>
      </c>
      <c r="J40" s="273" t="e">
        <f t="shared" ref="J40:R40" si="7">SUM(J35:J39)</f>
        <v>#VALUE!</v>
      </c>
      <c r="K40" s="273">
        <f t="shared" si="7"/>
        <v>15761.493887475175</v>
      </c>
      <c r="L40" s="273">
        <f t="shared" si="7"/>
        <v>12550.819206693195</v>
      </c>
      <c r="M40" s="276" t="e">
        <f t="shared" si="7"/>
        <v>#VALUE!</v>
      </c>
      <c r="N40" s="276">
        <f t="shared" si="7"/>
        <v>15761.493887475175</v>
      </c>
      <c r="O40" s="276">
        <f t="shared" si="7"/>
        <v>12550.819206693195</v>
      </c>
      <c r="P40" s="276" t="e">
        <f t="shared" si="7"/>
        <v>#VALUE!</v>
      </c>
      <c r="Q40" s="276">
        <f t="shared" si="7"/>
        <v>15761.493887475175</v>
      </c>
      <c r="R40" s="276">
        <f t="shared" si="7"/>
        <v>12550.819206693195</v>
      </c>
    </row>
    <row r="41" spans="9:18" hidden="1" x14ac:dyDescent="0.25"/>
  </sheetData>
  <conditionalFormatting sqref="J5:R9">
    <cfRule type="cellIs" dxfId="18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85" zoomScaleNormal="85" workbookViewId="0">
      <selection activeCell="F43" sqref="F43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32" t="s">
        <v>281</v>
      </c>
    </row>
    <row r="2" spans="1:9" ht="15.75" x14ac:dyDescent="0.25">
      <c r="A2" s="229" t="s">
        <v>67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 t="s">
        <v>66</v>
      </c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 t="s">
        <v>66</v>
      </c>
      <c r="G7" s="12"/>
      <c r="I7" s="114">
        <f>C7+D$5-C$5</f>
        <v>0.17205823403117737</v>
      </c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 t="s">
        <v>66</v>
      </c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</v>
      </c>
      <c r="E11" s="3">
        <v>1</v>
      </c>
      <c r="G11" s="12"/>
      <c r="I11" s="1"/>
    </row>
    <row r="12" spans="1:9" x14ac:dyDescent="0.25">
      <c r="B12" s="2" t="s">
        <v>3</v>
      </c>
      <c r="C12" s="7">
        <v>1</v>
      </c>
      <c r="D12" s="3">
        <v>1</v>
      </c>
      <c r="E12" s="3">
        <v>1</v>
      </c>
      <c r="G12" s="12"/>
      <c r="I12" s="1"/>
    </row>
    <row r="13" spans="1:9" x14ac:dyDescent="0.25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25">
      <c r="B14" s="12"/>
      <c r="C14" s="315"/>
      <c r="D14" s="13"/>
      <c r="E14" s="13"/>
      <c r="F14" s="12"/>
      <c r="G14" s="12"/>
      <c r="H14" s="14"/>
      <c r="I14" s="14"/>
    </row>
    <row r="15" spans="1:9" x14ac:dyDescent="0.25">
      <c r="B15" s="88" t="s">
        <v>135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91</v>
      </c>
      <c r="C16" s="87">
        <v>1</v>
      </c>
      <c r="D16" s="3">
        <v>1.1499999999999999</v>
      </c>
      <c r="E16" s="3">
        <v>1.1499999999999999</v>
      </c>
      <c r="F16" s="12"/>
    </row>
    <row r="17" spans="2:11" x14ac:dyDescent="0.25">
      <c r="B17" s="2" t="s">
        <v>85</v>
      </c>
      <c r="C17" s="87">
        <v>0.59345000000000003</v>
      </c>
      <c r="D17" s="3">
        <f>C17+15%</f>
        <v>0.74345000000000006</v>
      </c>
      <c r="E17" s="3">
        <f>D17</f>
        <v>0.74345000000000006</v>
      </c>
      <c r="F17" s="12" t="s">
        <v>274</v>
      </c>
    </row>
    <row r="18" spans="2:11" x14ac:dyDescent="0.25">
      <c r="B18" s="2" t="s">
        <v>142</v>
      </c>
      <c r="C18" s="87">
        <v>1</v>
      </c>
      <c r="D18" s="3">
        <v>1.0720000000000001</v>
      </c>
      <c r="E18" s="3">
        <v>1.1499999999999999</v>
      </c>
      <c r="F18" s="12"/>
      <c r="G18" s="182"/>
    </row>
    <row r="20" spans="2:11" x14ac:dyDescent="0.25">
      <c r="B20" s="342" t="s">
        <v>334</v>
      </c>
      <c r="C20" s="25"/>
      <c r="D20" s="25"/>
      <c r="E20" s="25"/>
      <c r="F20" s="12"/>
      <c r="I20" s="1"/>
    </row>
    <row r="21" spans="2:11" ht="29.45" customHeight="1" x14ac:dyDescent="0.25">
      <c r="B21" s="342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v>0.56000000000000005</v>
      </c>
      <c r="E22" s="8">
        <v>0.56000000000000005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v>0.56999999999999995</v>
      </c>
      <c r="E23" s="8">
        <v>0.56999999999999995</v>
      </c>
      <c r="F23" s="12"/>
      <c r="I23" s="1"/>
    </row>
    <row r="24" spans="2:11" x14ac:dyDescent="0.25">
      <c r="B24" s="332" t="str">
        <f>CONCATENATE("Omlægning til permanent græs, ", Organ6,", hektar")</f>
        <v>Omlægning til permanent græs, OC6, hektar</v>
      </c>
      <c r="C24" s="333"/>
      <c r="D24" s="10">
        <f>D22*Arealanvendelse!N6-C22*Arealanvendelse!N6</f>
        <v>29217.064803275283</v>
      </c>
      <c r="E24" s="10">
        <f>E22*Arealanvendelse!Q6-C22*Arealanvendelse!Q6</f>
        <v>29217.064803275283</v>
      </c>
      <c r="F24" s="12"/>
      <c r="I24" s="1"/>
    </row>
    <row r="25" spans="2:11" x14ac:dyDescent="0.25">
      <c r="B25" s="332" t="str">
        <f>CONCATENATE("Omlægning til permanent græs, ", Organ12, ", hektar")</f>
        <v>Omlægning til permanent græs, OC12, hektar</v>
      </c>
      <c r="C25" s="333"/>
      <c r="D25" s="10">
        <f>D23*Arealanvendelse!O6-C23*Arealanvendelse!O6</f>
        <v>16321.747821639816</v>
      </c>
      <c r="E25" s="10">
        <f>E23*Arealanvendelse!R6-C23*Arealanvendelse!R6</f>
        <v>16321.747821639816</v>
      </c>
      <c r="F25" s="12"/>
      <c r="G25" s="118"/>
      <c r="I25" s="1"/>
    </row>
    <row r="26" spans="2:11" x14ac:dyDescent="0.25">
      <c r="B26" s="332" t="str">
        <f>CONCATENATE("Antal hektar som 1% svarer til, ", Organ6)</f>
        <v>Antal hektar som 1% svarer til, OC6</v>
      </c>
      <c r="C26" s="333"/>
      <c r="D26" s="10">
        <f>1%*Arealanvendelse!N6</f>
        <v>930.01999999999987</v>
      </c>
      <c r="E26" s="10">
        <f>1%*Arealanvendelse!Q6</f>
        <v>930.01999999999987</v>
      </c>
      <c r="F26" s="12"/>
      <c r="I26" s="1"/>
    </row>
    <row r="27" spans="2:11" ht="15.75" thickBot="1" x14ac:dyDescent="0.3">
      <c r="B27" s="334" t="str">
        <f>CONCATENATE("Antal hektar som 1% svarer til, ", Organ12)</f>
        <v>Antal hektar som 1% svarer til, OC12</v>
      </c>
      <c r="C27" s="335"/>
      <c r="D27" s="116">
        <f>1%*Arealanvendelse!O6</f>
        <v>707.31999999999982</v>
      </c>
      <c r="E27" s="116">
        <f>1%*Arealanvendelse!R6</f>
        <v>707.31999999999982</v>
      </c>
      <c r="F27" s="4"/>
      <c r="G27" s="12"/>
      <c r="H27" s="12"/>
      <c r="I27" s="1"/>
    </row>
    <row r="28" spans="2:11" ht="15.75" thickBot="1" x14ac:dyDescent="0.3">
      <c r="B28" s="237" t="s">
        <v>269</v>
      </c>
      <c r="C28" s="238"/>
      <c r="D28" s="236">
        <f>SUM(D24:D25)</f>
        <v>45538.812624915096</v>
      </c>
      <c r="E28" s="236">
        <f>SUM(E24:E25)</f>
        <v>45538.812624915096</v>
      </c>
      <c r="F28" s="331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340" t="s">
        <v>333</v>
      </c>
      <c r="C30" s="25"/>
      <c r="D30" s="25"/>
      <c r="E30" s="25"/>
      <c r="K30" s="12"/>
    </row>
    <row r="31" spans="2:11" x14ac:dyDescent="0.25">
      <c r="B31" s="341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8">
        <f>'[1]Afgrødefordeling - jordtype'!$Y4</f>
        <v>0.53753334285647836</v>
      </c>
      <c r="D32" s="90">
        <f>C32-13.5%</f>
        <v>0.40253334285647835</v>
      </c>
      <c r="E32" s="90">
        <f>D32</f>
        <v>0.40253334285647835</v>
      </c>
      <c r="K32" s="12"/>
    </row>
    <row r="33" spans="2:11" x14ac:dyDescent="0.25">
      <c r="B33" s="2" t="str">
        <f>[1]Afgrødefordeling!$C3</f>
        <v>Bælgsæd</v>
      </c>
      <c r="C33" s="328">
        <f>'[1]Afgrødefordeling - jordtype'!$Y5</f>
        <v>3.0976273829928767E-2</v>
      </c>
      <c r="D33" s="90">
        <f t="shared" ref="D33:E45" si="1">C33</f>
        <v>3.0976273829928767E-2</v>
      </c>
      <c r="E33" s="90">
        <f t="shared" si="1"/>
        <v>3.0976273829928767E-2</v>
      </c>
      <c r="K33" s="12"/>
    </row>
    <row r="34" spans="2:11" x14ac:dyDescent="0.25">
      <c r="B34" s="2" t="str">
        <f>[1]Afgrødefordeling!$C4</f>
        <v>Raps</v>
      </c>
      <c r="C34" s="328">
        <f>'[1]Afgrødefordeling - jordtype'!$Y6</f>
        <v>6.5329688585482673E-2</v>
      </c>
      <c r="D34" s="90">
        <f>C34-2%</f>
        <v>4.5329688585482669E-2</v>
      </c>
      <c r="E34" s="90">
        <f t="shared" si="1"/>
        <v>4.5329688585482669E-2</v>
      </c>
      <c r="K34" s="12"/>
    </row>
    <row r="35" spans="2:11" x14ac:dyDescent="0.25">
      <c r="B35" s="2" t="str">
        <f>[1]Afgrødefordeling!$C5</f>
        <v>Græs</v>
      </c>
      <c r="C35" s="328">
        <f>'[1]Afgrødefordeling - jordtype'!$Y7</f>
        <v>0.10115967422642448</v>
      </c>
      <c r="D35" s="90">
        <v>0.251</v>
      </c>
      <c r="E35" s="90">
        <f t="shared" si="1"/>
        <v>0.251</v>
      </c>
      <c r="K35" s="12"/>
    </row>
    <row r="36" spans="2:11" x14ac:dyDescent="0.25">
      <c r="B36" s="2" t="str">
        <f>[1]Afgrødefordeling!$C6</f>
        <v>Grøntsager</v>
      </c>
      <c r="C36" s="328">
        <f>'[1]Afgrødefordeling - jordtype'!$Y8</f>
        <v>5.2060865589185204E-3</v>
      </c>
      <c r="D36" s="90">
        <f t="shared" si="1"/>
        <v>5.2060865589185204E-3</v>
      </c>
      <c r="E36" s="90">
        <f t="shared" si="1"/>
        <v>5.2060865589185204E-3</v>
      </c>
      <c r="K36" s="12"/>
    </row>
    <row r="37" spans="2:11" x14ac:dyDescent="0.25">
      <c r="B37" s="2" t="str">
        <f>[1]Afgrødefordeling!$C7</f>
        <v>Kartofler</v>
      </c>
      <c r="C37" s="328">
        <f>'[1]Afgrødefordeling - jordtype'!$Y9</f>
        <v>2.189728375215861E-2</v>
      </c>
      <c r="D37" s="90">
        <f t="shared" si="1"/>
        <v>2.189728375215861E-2</v>
      </c>
      <c r="E37" s="90">
        <f t="shared" si="1"/>
        <v>2.189728375215861E-2</v>
      </c>
      <c r="K37" s="12"/>
    </row>
    <row r="38" spans="2:11" x14ac:dyDescent="0.25">
      <c r="B38" s="2" t="str">
        <f>[1]Afgrødefordeling!$C8</f>
        <v>Roer</v>
      </c>
      <c r="C38" s="328">
        <f>'[1]Afgrødefordeling - jordtype'!$Y10</f>
        <v>1.3466912404096722E-2</v>
      </c>
      <c r="D38" s="90">
        <f>C38+2%</f>
        <v>3.3466912404096723E-2</v>
      </c>
      <c r="E38" s="90">
        <f t="shared" si="1"/>
        <v>3.3466912404096723E-2</v>
      </c>
      <c r="K38" s="12"/>
    </row>
    <row r="39" spans="2:11" x14ac:dyDescent="0.25">
      <c r="B39" s="2" t="str">
        <f>[1]Afgrødefordeling!$C9</f>
        <v>Majs</v>
      </c>
      <c r="C39" s="328">
        <f>'[1]Afgrødefordeling - jordtype'!$Y11</f>
        <v>7.2759287296729286E-2</v>
      </c>
      <c r="D39" s="90">
        <f>C39-0.5%</f>
        <v>6.7759287296729281E-2</v>
      </c>
      <c r="E39" s="90">
        <f t="shared" si="1"/>
        <v>6.7759287296729281E-2</v>
      </c>
      <c r="K39" s="12"/>
    </row>
    <row r="40" spans="2:11" x14ac:dyDescent="0.25">
      <c r="B40" s="2" t="str">
        <f>[1]Afgrødefordeling!$C10</f>
        <v>Frugt</v>
      </c>
      <c r="C40" s="328">
        <f>'[1]Afgrødefordeling - jordtype'!$Y12</f>
        <v>2.0301913757470973E-3</v>
      </c>
      <c r="D40" s="90">
        <f t="shared" si="1"/>
        <v>2.0301913757470973E-3</v>
      </c>
      <c r="E40" s="90">
        <f t="shared" si="1"/>
        <v>2.0301913757470973E-3</v>
      </c>
      <c r="K40" s="12"/>
    </row>
    <row r="41" spans="2:11" x14ac:dyDescent="0.25">
      <c r="B41" s="2" t="str">
        <f>[1]Afgrødefordeling!$C11</f>
        <v>Øvrige</v>
      </c>
      <c r="C41" s="328">
        <f>'[1]Afgrødefordeling - jordtype'!$Y13</f>
        <v>2.7968670218625629E-2</v>
      </c>
      <c r="D41" s="90">
        <f>C41-1%</f>
        <v>1.7968670218625631E-2</v>
      </c>
      <c r="E41" s="90">
        <f t="shared" si="1"/>
        <v>1.7968670218625631E-2</v>
      </c>
      <c r="K41" s="12"/>
    </row>
    <row r="42" spans="2:11" x14ac:dyDescent="0.25">
      <c r="B42" s="2" t="str">
        <f>[1]Afgrødefordeling!$C12</f>
        <v>Frø</v>
      </c>
      <c r="C42" s="328">
        <f>'[1]Afgrødefordeling - jordtype'!$Y14</f>
        <v>4.0395307311065158E-2</v>
      </c>
      <c r="D42" s="90">
        <f t="shared" si="1"/>
        <v>4.0395307311065158E-2</v>
      </c>
      <c r="E42" s="90">
        <f t="shared" si="1"/>
        <v>4.0395307311065158E-2</v>
      </c>
      <c r="K42" s="12"/>
    </row>
    <row r="43" spans="2:11" x14ac:dyDescent="0.25">
      <c r="B43" s="2" t="str">
        <f>[1]Afgrødefordeling!$C13</f>
        <v>Juletræer</v>
      </c>
      <c r="C43" s="328">
        <f>'[1]Afgrødefordeling - jordtype'!$Y15</f>
        <v>7.5869349743828522E-3</v>
      </c>
      <c r="D43" s="90">
        <f t="shared" si="1"/>
        <v>7.5869349743828522E-3</v>
      </c>
      <c r="E43" s="90">
        <f t="shared" si="1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8">
        <f>'[1]Afgrødefordeling - jordtype'!$Y16</f>
        <v>2.9175094799916215E-3</v>
      </c>
      <c r="D44" s="90">
        <f t="shared" si="1"/>
        <v>2.9175094799916215E-3</v>
      </c>
      <c r="E44" s="90">
        <f t="shared" si="1"/>
        <v>2.9175094799916215E-3</v>
      </c>
      <c r="K44" s="12"/>
    </row>
    <row r="45" spans="2:11" x14ac:dyDescent="0.25">
      <c r="B45" s="2" t="str">
        <f>[1]Afgrødefordeling!$C15</f>
        <v>Permanent græs</v>
      </c>
      <c r="C45" s="328">
        <f>'[1]Afgrødefordeling - jordtype'!$Y17</f>
        <v>7.0772837129970206E-2</v>
      </c>
      <c r="D45" s="90">
        <f t="shared" si="1"/>
        <v>7.0772837129970206E-2</v>
      </c>
      <c r="E45" s="90">
        <f t="shared" si="1"/>
        <v>7.0772837129970206E-2</v>
      </c>
      <c r="K45" s="12"/>
    </row>
    <row r="46" spans="2:11" x14ac:dyDescent="0.25">
      <c r="B46" s="25" t="s">
        <v>298</v>
      </c>
      <c r="C46" s="87"/>
      <c r="D46" s="89">
        <f>SUM(D32:D45)</f>
        <v>0.9998403257735754</v>
      </c>
      <c r="E46" s="89">
        <f>SUM(E32:E45)</f>
        <v>0.9998403257735754</v>
      </c>
      <c r="K46" s="12"/>
    </row>
    <row r="47" spans="2:11" x14ac:dyDescent="0.25">
      <c r="B47" s="25" t="s">
        <v>246</v>
      </c>
      <c r="C47" s="87"/>
      <c r="D47" s="115" t="e" cm="1">
        <f t="array" ref="D47">SUMPRODUCT((D32:D45&gt;$C$32:$C$45)*(D32:D45-$C$32:$C$45))*Arealanvendelse!M6</f>
        <v>#VALUE!</v>
      </c>
      <c r="E47" s="115" t="e" cm="1">
        <f t="array" ref="E47">SUMPRODUCT((E32:E45&gt;$C$32:$C$45)*(E32:E45-$C$32:$C$45))*Arealanvendelse!P6</f>
        <v>#VALUE!</v>
      </c>
      <c r="K47" s="12"/>
    </row>
    <row r="48" spans="2:11" x14ac:dyDescent="0.25">
      <c r="B48" s="25" t="s">
        <v>245</v>
      </c>
      <c r="C48" s="109"/>
      <c r="D48" s="115" t="e">
        <f>1%*Arealanvendelse!M6</f>
        <v>#VALUE!</v>
      </c>
      <c r="E48" s="115" t="e">
        <f>1%*Arealanvendelse!P6</f>
        <v>#VALUE!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152</v>
      </c>
      <c r="C51" s="113">
        <f>786/121381</f>
        <v>6.475478040220463E-3</v>
      </c>
      <c r="D51" s="214">
        <f>C51</f>
        <v>6.475478040220463E-3</v>
      </c>
      <c r="E51" s="214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E14" sqref="E14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32" t="s">
        <v>281</v>
      </c>
    </row>
    <row r="2" spans="1:9" ht="15.75" thickBot="1" x14ac:dyDescent="0.3">
      <c r="A2" s="317"/>
      <c r="B2" s="317"/>
      <c r="C2" s="317">
        <f>År1</f>
        <v>2019</v>
      </c>
      <c r="D2" s="317">
        <f>År2</f>
        <v>2030</v>
      </c>
      <c r="E2" s="317">
        <f>År3</f>
        <v>2050</v>
      </c>
      <c r="F2" s="317" t="s">
        <v>324</v>
      </c>
    </row>
    <row r="3" spans="1:9" x14ac:dyDescent="0.25">
      <c r="A3" s="318" t="str">
        <f>'[1]Processer - data'!$D418</f>
        <v>Korn</v>
      </c>
      <c r="B3" s="12" t="s">
        <v>134</v>
      </c>
      <c r="C3" s="119">
        <f>VLOOKUP(A3,[1]Foder!$A$2:$E$16,5,FALSE)</f>
        <v>0.39994582515067378</v>
      </c>
      <c r="D3" s="316">
        <f>C3</f>
        <v>0.39994582515067378</v>
      </c>
      <c r="E3" s="316">
        <f>D3</f>
        <v>0.39994582515067378</v>
      </c>
      <c r="I3" s="246"/>
    </row>
    <row r="4" spans="1:9" x14ac:dyDescent="0.25">
      <c r="A4" s="2" t="str">
        <f>'[1]Processer - data'!$D419</f>
        <v>Halm</v>
      </c>
      <c r="B4" s="12" t="s">
        <v>134</v>
      </c>
      <c r="C4" s="119">
        <f>VLOOKUP(A4,[1]Foder!$A$2:$E$16,5,FALSE)</f>
        <v>1.1105844111871065E-2</v>
      </c>
      <c r="D4" s="316">
        <f t="shared" ref="D4:E17" si="0">C4</f>
        <v>1.1105844111871065E-2</v>
      </c>
      <c r="E4" s="316">
        <f t="shared" si="0"/>
        <v>1.1105844111871065E-2</v>
      </c>
      <c r="I4" s="246"/>
    </row>
    <row r="5" spans="1:9" x14ac:dyDescent="0.25">
      <c r="A5" s="2" t="str">
        <f>'[1]Processer - data'!$D420</f>
        <v>Kartofler</v>
      </c>
      <c r="B5" s="12" t="s">
        <v>134</v>
      </c>
      <c r="C5" s="119">
        <f>VLOOKUP(A5,[1]Foder!$A$2:$E$16,5,FALSE)</f>
        <v>0</v>
      </c>
      <c r="D5" s="316">
        <f t="shared" si="0"/>
        <v>0</v>
      </c>
      <c r="E5" s="316">
        <f t="shared" si="0"/>
        <v>0</v>
      </c>
      <c r="I5" s="246"/>
    </row>
    <row r="6" spans="1:9" x14ac:dyDescent="0.25">
      <c r="A6" s="2" t="str">
        <f>'[1]Processer - data'!$D421</f>
        <v>Bælgsæd</v>
      </c>
      <c r="B6" s="12" t="s">
        <v>134</v>
      </c>
      <c r="C6" s="119">
        <f>VLOOKUP(A6,[1]Foder!$A$2:$E$16,5,FALSE)</f>
        <v>5.2820478093045303E-3</v>
      </c>
      <c r="D6" s="316">
        <f t="shared" si="0"/>
        <v>5.2820478093045303E-3</v>
      </c>
      <c r="E6" s="316">
        <f t="shared" si="0"/>
        <v>5.2820478093045303E-3</v>
      </c>
      <c r="I6" s="246"/>
    </row>
    <row r="7" spans="1:9" x14ac:dyDescent="0.25">
      <c r="A7" s="2" t="str">
        <f>'[1]Processer - data'!$D422</f>
        <v>Roer</v>
      </c>
      <c r="B7" s="12" t="s">
        <v>134</v>
      </c>
      <c r="C7" s="119">
        <f>VLOOKUP(A7,[1]Foder!$A$2:$E$16,5,FALSE)</f>
        <v>9.683754317058306E-3</v>
      </c>
      <c r="D7" s="316">
        <f t="shared" si="0"/>
        <v>9.683754317058306E-3</v>
      </c>
      <c r="E7" s="316">
        <f t="shared" si="0"/>
        <v>9.683754317058306E-3</v>
      </c>
      <c r="I7" s="246"/>
    </row>
    <row r="8" spans="1:9" x14ac:dyDescent="0.25">
      <c r="A8" s="2" t="str">
        <f>'[1]Processer - data'!$D423</f>
        <v>Majs</v>
      </c>
      <c r="B8" s="12" t="s">
        <v>134</v>
      </c>
      <c r="C8" s="119">
        <f>VLOOKUP(A8,[1]Foder!$A$2:$E$16,5,FALSE)</f>
        <v>0.1132931536534164</v>
      </c>
      <c r="D8" s="316">
        <f t="shared" si="0"/>
        <v>0.1132931536534164</v>
      </c>
      <c r="E8" s="316">
        <f t="shared" si="0"/>
        <v>0.1132931536534164</v>
      </c>
      <c r="I8" s="246"/>
    </row>
    <row r="9" spans="1:9" x14ac:dyDescent="0.25">
      <c r="A9" s="2" t="str">
        <f>'[1]Processer - data'!$D424</f>
        <v>Rapskage</v>
      </c>
      <c r="B9" s="12" t="s">
        <v>134</v>
      </c>
      <c r="C9" s="119">
        <f>VLOOKUP(A9,[1]Foder!$A$2:$E$16,5,FALSE)</f>
        <v>1.6320173359517843E-2</v>
      </c>
      <c r="D9" s="316">
        <f t="shared" si="0"/>
        <v>1.6320173359517843E-2</v>
      </c>
      <c r="E9" s="316">
        <f t="shared" si="0"/>
        <v>1.6320173359517843E-2</v>
      </c>
      <c r="I9" s="246"/>
    </row>
    <row r="10" spans="1:9" x14ac:dyDescent="0.25">
      <c r="A10" s="2" t="str">
        <f>'[1]Processer - data'!$D425</f>
        <v>Tang</v>
      </c>
      <c r="B10" s="12" t="s">
        <v>134</v>
      </c>
      <c r="C10" s="119">
        <f>VLOOKUP(A10,[1]Foder!$A$2:$E$16,5,FALSE)</f>
        <v>0</v>
      </c>
      <c r="D10" s="316">
        <f t="shared" si="0"/>
        <v>0</v>
      </c>
      <c r="E10" s="316">
        <f t="shared" si="0"/>
        <v>0</v>
      </c>
      <c r="I10" s="246"/>
    </row>
    <row r="11" spans="1:9" x14ac:dyDescent="0.25">
      <c r="A11" s="2" t="str">
        <f>'[1]Processer - data'!$D426</f>
        <v>Muslinger</v>
      </c>
      <c r="B11" s="12" t="s">
        <v>134</v>
      </c>
      <c r="C11" s="119">
        <f>VLOOKUP(A11,[1]Foder!$A$2:$E$16,5,FALSE)</f>
        <v>0</v>
      </c>
      <c r="D11" s="316">
        <f t="shared" si="0"/>
        <v>0</v>
      </c>
      <c r="E11" s="316">
        <f t="shared" si="0"/>
        <v>0</v>
      </c>
      <c r="I11" s="246"/>
    </row>
    <row r="12" spans="1:9" x14ac:dyDescent="0.25">
      <c r="A12" s="2" t="str">
        <f>'[1]Processer - data'!$D427</f>
        <v>Græs</v>
      </c>
      <c r="B12" s="12" t="s">
        <v>134</v>
      </c>
      <c r="C12" s="119">
        <f>VLOOKUP(A12,[1]Foder!$A$2:$E$16,5,FALSE)</f>
        <v>0.15385657208640888</v>
      </c>
      <c r="D12" s="316">
        <f t="shared" si="0"/>
        <v>0.15385657208640888</v>
      </c>
      <c r="E12" s="316">
        <f t="shared" si="0"/>
        <v>0.15385657208640888</v>
      </c>
    </row>
    <row r="13" spans="1:9" x14ac:dyDescent="0.25">
      <c r="A13" s="2" t="str">
        <f>'[1]Processer - data'!$D428</f>
        <v>Mælk til foder</v>
      </c>
      <c r="B13" s="12" t="s">
        <v>134</v>
      </c>
      <c r="C13" s="119">
        <f>VLOOKUP(A13,[1]Foder!$A$2:$E$16,5,FALSE)</f>
        <v>1.1038125550213313E-2</v>
      </c>
      <c r="D13" s="316">
        <f t="shared" si="0"/>
        <v>1.1038125550213313E-2</v>
      </c>
      <c r="E13" s="316">
        <f t="shared" si="0"/>
        <v>1.1038125550213313E-2</v>
      </c>
    </row>
    <row r="14" spans="1:9" x14ac:dyDescent="0.25">
      <c r="A14" s="2" t="str">
        <f>'[1]Processer - data'!$D429</f>
        <v>Fiberfraktion</v>
      </c>
      <c r="B14" s="12" t="s">
        <v>134</v>
      </c>
      <c r="C14" s="119">
        <f>VLOOKUP(A14,[1]Foder!$A$2:$E$16,5,FALSE)</f>
        <v>0</v>
      </c>
      <c r="D14" s="119">
        <f>ROUND('[1]Processer - data'!I$469/'[1]Processer - data'!I$468*D15*'[1]Processer - data'!$H$429/'[1]Processer - data'!$H$430,4)</f>
        <v>0</v>
      </c>
      <c r="E14" s="119">
        <f>ROUND('[1]Processer - data'!J$469/'[1]Processer - data'!J$468*E15*'[1]Processer - data'!$H$429/'[1]Processer - data'!$H$430,4)</f>
        <v>0</v>
      </c>
      <c r="F14" s="1" t="s">
        <v>325</v>
      </c>
    </row>
    <row r="15" spans="1:9" x14ac:dyDescent="0.25">
      <c r="A15" s="2" t="str">
        <f>'[1]Processer - data'!$D430</f>
        <v>Græsprotein</v>
      </c>
      <c r="B15" s="12" t="s">
        <v>134</v>
      </c>
      <c r="C15" s="119">
        <f>VLOOKUP(A15,[1]Foder!$A$2:$E$16,5,FALSE)</f>
        <v>0</v>
      </c>
      <c r="D15" s="316">
        <f>C15</f>
        <v>0</v>
      </c>
      <c r="E15" s="316">
        <f t="shared" si="0"/>
        <v>0</v>
      </c>
    </row>
    <row r="16" spans="1:9" x14ac:dyDescent="0.25">
      <c r="A16" s="2" t="str">
        <f>'[1]Processer - data'!$D431</f>
        <v>Slagteriaffald til foder</v>
      </c>
      <c r="B16" s="12" t="s">
        <v>134</v>
      </c>
      <c r="C16" s="119">
        <f>VLOOKUP(A16,[1]Foder!$A$2:$E$16,5,FALSE)</f>
        <v>8.1939459605877979E-3</v>
      </c>
      <c r="D16" s="316">
        <f t="shared" si="0"/>
        <v>8.1939459605877979E-3</v>
      </c>
      <c r="E16" s="316">
        <f t="shared" si="0"/>
        <v>8.1939459605877979E-3</v>
      </c>
    </row>
    <row r="17" spans="1:6" ht="15.75" thickBot="1" x14ac:dyDescent="0.3">
      <c r="A17" s="2" t="str">
        <f>'[1]Processer - data'!$D432</f>
        <v>Import af foder</v>
      </c>
      <c r="B17" s="12" t="s">
        <v>134</v>
      </c>
      <c r="C17" s="119">
        <f>VLOOKUP(A17,[1]Foder!$A$2:$E$16,5,FALSE)</f>
        <v>0.27128055800094808</v>
      </c>
      <c r="D17" s="316">
        <f t="shared" si="0"/>
        <v>0.27128055800094808</v>
      </c>
      <c r="E17" s="316">
        <f t="shared" si="0"/>
        <v>0.27128055800094808</v>
      </c>
      <c r="F17" s="317"/>
    </row>
    <row r="18" spans="1:6" ht="15.75" thickBot="1" x14ac:dyDescent="0.3">
      <c r="A18" s="247" t="s">
        <v>30</v>
      </c>
      <c r="B18" s="247" t="s">
        <v>134</v>
      </c>
      <c r="C18" s="120">
        <f>SUM(C3:C17)</f>
        <v>1</v>
      </c>
      <c r="D18" s="120">
        <f t="shared" ref="D18:E18" si="1">SUM(D3:D17)</f>
        <v>1</v>
      </c>
      <c r="E18" s="121">
        <f t="shared" si="1"/>
        <v>1</v>
      </c>
      <c r="F18" s="320" t="s">
        <v>326</v>
      </c>
    </row>
  </sheetData>
  <conditionalFormatting sqref="C18:E18">
    <cfRule type="cellIs" dxfId="17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M53"/>
  <sheetViews>
    <sheetView zoomScale="85" zoomScaleNormal="85" workbookViewId="0">
      <selection activeCell="C15" sqref="C15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31" t="s">
        <v>281</v>
      </c>
    </row>
    <row r="2" spans="1:4" x14ac:dyDescent="0.25">
      <c r="A2" s="103" t="s">
        <v>251</v>
      </c>
    </row>
    <row r="3" spans="1:4" x14ac:dyDescent="0.25">
      <c r="A3" s="6" t="s">
        <v>184</v>
      </c>
      <c r="B3" s="1" t="s">
        <v>171</v>
      </c>
    </row>
    <row r="4" spans="1:4" x14ac:dyDescent="0.25">
      <c r="A4" s="6" t="s">
        <v>178</v>
      </c>
      <c r="B4" s="1" t="s">
        <v>172</v>
      </c>
    </row>
    <row r="5" spans="1:4" x14ac:dyDescent="0.25">
      <c r="A5" s="6" t="s">
        <v>179</v>
      </c>
      <c r="B5" s="1" t="s">
        <v>173</v>
      </c>
    </row>
    <row r="6" spans="1:4" x14ac:dyDescent="0.25">
      <c r="A6" s="6" t="s">
        <v>180</v>
      </c>
      <c r="B6" s="1" t="s">
        <v>188</v>
      </c>
    </row>
    <row r="7" spans="1:4" x14ac:dyDescent="0.25">
      <c r="A7" s="6" t="s">
        <v>181</v>
      </c>
      <c r="B7" s="1" t="s">
        <v>189</v>
      </c>
    </row>
    <row r="8" spans="1:4" x14ac:dyDescent="0.25">
      <c r="A8" s="6" t="s">
        <v>182</v>
      </c>
      <c r="B8" s="1" t="s">
        <v>190</v>
      </c>
    </row>
    <row r="9" spans="1:4" x14ac:dyDescent="0.25">
      <c r="A9" s="2" t="s">
        <v>290</v>
      </c>
      <c r="B9" s="2"/>
      <c r="C9" s="214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289</v>
      </c>
      <c r="B11" s="2"/>
      <c r="C11" s="2"/>
      <c r="D11" s="2"/>
    </row>
    <row r="12" spans="1:4" x14ac:dyDescent="0.25">
      <c r="A12" s="2" t="s">
        <v>185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178</v>
      </c>
      <c r="B13" s="7">
        <v>0</v>
      </c>
      <c r="C13" s="8">
        <v>0</v>
      </c>
      <c r="D13" s="8">
        <v>0</v>
      </c>
    </row>
    <row r="14" spans="1:4" x14ac:dyDescent="0.25">
      <c r="A14" s="2" t="s">
        <v>179</v>
      </c>
      <c r="B14" s="7">
        <v>0</v>
      </c>
      <c r="C14" s="8">
        <v>1</v>
      </c>
      <c r="D14" s="8">
        <v>1</v>
      </c>
    </row>
    <row r="15" spans="1:4" x14ac:dyDescent="0.25">
      <c r="A15" s="2" t="s">
        <v>180</v>
      </c>
      <c r="B15" s="7">
        <v>0</v>
      </c>
      <c r="C15" s="8">
        <v>0</v>
      </c>
      <c r="D15" s="8">
        <v>0</v>
      </c>
    </row>
    <row r="16" spans="1:4" x14ac:dyDescent="0.25">
      <c r="A16" s="2" t="s">
        <v>181</v>
      </c>
      <c r="B16" s="7">
        <v>0</v>
      </c>
      <c r="C16" s="8">
        <v>0</v>
      </c>
      <c r="D16" s="8">
        <v>0</v>
      </c>
    </row>
    <row r="17" spans="1:13" x14ac:dyDescent="0.25">
      <c r="A17" s="2" t="s">
        <v>182</v>
      </c>
      <c r="B17" s="7">
        <v>0</v>
      </c>
      <c r="C17" s="8">
        <v>0</v>
      </c>
      <c r="D17" s="8">
        <v>0</v>
      </c>
    </row>
    <row r="18" spans="1:13" x14ac:dyDescent="0.25">
      <c r="A18" s="184" t="s">
        <v>30</v>
      </c>
      <c r="B18" s="185"/>
      <c r="C18" s="185">
        <f>SUM(C13:C17)</f>
        <v>1</v>
      </c>
      <c r="D18" s="185">
        <f>SUM(D13:D17)</f>
        <v>1</v>
      </c>
    </row>
    <row r="19" spans="1:13" x14ac:dyDescent="0.25">
      <c r="A19" s="2"/>
      <c r="B19" s="2"/>
      <c r="C19" s="2" t="s">
        <v>23</v>
      </c>
      <c r="D19" s="2" t="s">
        <v>23</v>
      </c>
      <c r="E19" s="2" t="s">
        <v>23</v>
      </c>
      <c r="F19" s="2" t="s">
        <v>24</v>
      </c>
      <c r="G19" s="2" t="s">
        <v>24</v>
      </c>
      <c r="H19" s="2" t="s">
        <v>24</v>
      </c>
    </row>
    <row r="20" spans="1:13" x14ac:dyDescent="0.25">
      <c r="A20" s="25" t="s">
        <v>186</v>
      </c>
      <c r="B20" s="186" t="s">
        <v>187</v>
      </c>
      <c r="C20" s="186">
        <f>År1</f>
        <v>2019</v>
      </c>
      <c r="D20" s="186">
        <f>År2</f>
        <v>2030</v>
      </c>
      <c r="E20" s="186">
        <f>År3</f>
        <v>2050</v>
      </c>
      <c r="F20" s="186">
        <f>År1</f>
        <v>2019</v>
      </c>
      <c r="G20" s="186">
        <f>År2</f>
        <v>2030</v>
      </c>
      <c r="H20" s="186">
        <f>År3</f>
        <v>2050</v>
      </c>
    </row>
    <row r="21" spans="1:13" x14ac:dyDescent="0.25">
      <c r="A21" s="2" t="s">
        <v>184</v>
      </c>
      <c r="B21" s="187" t="s">
        <v>183</v>
      </c>
      <c r="C21" s="109" t="e">
        <f>Arealanvendelse!J27</f>
        <v>#VALUE!</v>
      </c>
      <c r="D21" s="109" t="e">
        <f>C21*(1-$C$9)^(D20-C20)</f>
        <v>#VALUE!</v>
      </c>
      <c r="E21" s="109" t="e">
        <f>D21*(1-$C$9)^(E20-D20)</f>
        <v>#VALUE!</v>
      </c>
      <c r="F21" s="109" t="e">
        <f>Arealanvendelse!J37</f>
        <v>#VALUE!</v>
      </c>
      <c r="G21" s="109" t="e">
        <f>F21*(1-$C$9)^(G20-F20)</f>
        <v>#VALUE!</v>
      </c>
      <c r="H21" s="109" t="e">
        <f>G21*(1-$C$9)^(H20-G20)</f>
        <v>#VALUE!</v>
      </c>
    </row>
    <row r="22" spans="1:13" x14ac:dyDescent="0.25">
      <c r="A22" s="2" t="s">
        <v>178</v>
      </c>
      <c r="B22" s="188">
        <v>10</v>
      </c>
      <c r="C22" s="109">
        <v>0</v>
      </c>
      <c r="D22" s="109" t="e">
        <f>IF(D$20-C$20+10&gt;$B22,IF(D$20-C$20&lt;=10,VLOOKUP($A22,$A$13:$D$17,MATCH(D$20,$A$12:$D$12)),VLOOKUP($A22,$A$13:$D$17,MATCH(D$20,$A$12:$D$12))/(D$20-C$20)*IF($B22=10,10,D$20-C$20-$B21)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#VALUE!</v>
      </c>
      <c r="E22" s="109" t="e">
        <f>IF(E$20-D$20+10&gt;$B22,IF(E$20-D$20&lt;=10,VLOOKUP($A22,$A$13:$D$17,MATCH(E$20,$A$12:$D$12)),VLOOKUP($A22,$A$13:$D$17,MATCH(E$20,$A$12:$D$12))/(E$20-D$20)*IF($B22=10,10,E$20-D$20-$B21)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20)</f>
        <v>#VALUE!</v>
      </c>
      <c r="F22" s="109">
        <v>0</v>
      </c>
      <c r="G22" s="109" t="e">
        <f>IF(G$20-F$20+10&gt;$B22,IF(G$20-F$20&lt;=10,VLOOKUP($A22,$A$13:$D$17,MATCH(G$20,$A$12:$D$12)),VLOOKUP($A22,$A$13:$D$17,MATCH(G$20,$A$12:$D$12))/(G$20-F$20)*IF($B22=10,10,G$20-F$20-$B21)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#VALUE!</v>
      </c>
      <c r="H22" s="109" t="e">
        <f>IF(H$20-G$20+10&gt;$B22,IF(H$20-G$20&lt;=10,VLOOKUP($A22,$A$13:$D$17,MATCH(H$20,$A$12:$D$12)),VLOOKUP($A22,$A$13:$D$17,MATCH(H$20,$A$12:$D$12))/(H$20-G$20)*IF($B22=10,10,H$20-G$20-$B21)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20)</f>
        <v>#VALUE!</v>
      </c>
    </row>
    <row r="23" spans="1:13" x14ac:dyDescent="0.25">
      <c r="A23" s="2" t="s">
        <v>178</v>
      </c>
      <c r="B23" s="188">
        <v>20</v>
      </c>
      <c r="C23" s="109">
        <v>0</v>
      </c>
      <c r="D23" s="109" t="e">
        <f>IF(D$20-C$20+10&gt;$B23,IF(D$20-C$20&lt;=10,VLOOKUP($A23,$A$13:$D$17,MATCH(D$20,$A$12:$D$12)),VLOOKUP($A23,$A$13:$D$17,MATCH(D$20,$A$12:$D$12))/(D$20-C$20)*IF($B23=10,10,D$20-C$20-$B22)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#VALUE!</v>
      </c>
      <c r="E23" s="109" t="e">
        <f>IF(E$20-D$20+10&gt;$B23,IF(E$20-D$20&lt;=10,VLOOKUP($A23,$A$13:$D$17,MATCH(E$20,$A$12:$D$12)),VLOOKUP($A23,$A$13:$D$17,MATCH(E$20,$A$12:$D$12))/(E$20-D$20)*IF($B23=10,10,E$20-D$20-$B22)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21)</f>
        <v>#VALUE!</v>
      </c>
      <c r="F23" s="109">
        <v>0</v>
      </c>
      <c r="G23" s="109" t="e">
        <f>IF(G$20-F$20+10&gt;$B23,IF(G$20-F$20&lt;=10,VLOOKUP($A23,$A$13:$D$17,MATCH(G$20,$A$12:$D$12)),VLOOKUP($A23,$A$13:$D$17,MATCH(G$20,$A$12:$D$12))/(G$20-F$20)*IF($B23=10,10,G$20-F$20-$B22)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#VALUE!</v>
      </c>
      <c r="H23" s="109" t="e">
        <f>IF(H$20-G$20+10&gt;$B23,IF(H$20-G$20&lt;=10,VLOOKUP($A23,$A$13:$D$17,MATCH(H$20,$A$12:$D$12)),VLOOKUP($A23,$A$13:$D$17,MATCH(H$20,$A$12:$D$12))/(H$20-G$20)*IF($B23=10,10,H$20-G$20-$B22)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21)</f>
        <v>#VALUE!</v>
      </c>
    </row>
    <row r="24" spans="1:13" x14ac:dyDescent="0.25">
      <c r="A24" s="2" t="s">
        <v>178</v>
      </c>
      <c r="B24" s="188">
        <v>30</v>
      </c>
      <c r="C24" s="109">
        <v>0</v>
      </c>
      <c r="D24" s="109">
        <f>IF(D$20-C$20+10&gt;$B24,IF(D$20-C$20&lt;=10,VLOOKUP($A24,$A$13:$D$17,MATCH(D$20,$A$12:$D$12)),VLOOKUP($A24,$A$13:$D$17,MATCH(D$20,$A$12:$D$12))/(D$20-C$20)*IF($B24=10,10,D$20-C$20-$B23)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4" s="109" t="e">
        <f>IF(E$20-D$20+10&gt;$B24,IF(E$20-D$20&lt;=10,VLOOKUP($A24,$A$13:$D$17,MATCH(E$20,$A$12:$D$12)),VLOOKUP($A24,$A$13:$D$17,MATCH(E$20,$A$12:$D$12))/(E$20-D$20)*IF($B24=10,10,E$20-D$20-$B23)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22)</f>
        <v>#VALUE!</v>
      </c>
      <c r="F24" s="109">
        <v>0</v>
      </c>
      <c r="G24" s="109">
        <f>IF(G$20-F$20+10&gt;$B24,IF(G$20-F$20&lt;=10,VLOOKUP($A24,$A$13:$D$17,MATCH(G$20,$A$12:$D$12)),VLOOKUP($A24,$A$13:$D$17,MATCH(G$20,$A$12:$D$12))/(G$20-F$20)*IF($B24=10,10,G$20-F$20-$B23)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4" s="109" t="e">
        <f>IF(H$20-G$20+10&gt;$B24,IF(H$20-G$20&lt;=10,VLOOKUP($A24,$A$13:$D$17,MATCH(H$20,$A$12:$D$12)),VLOOKUP($A24,$A$13:$D$17,MATCH(H$20,$A$12:$D$12))/(H$20-G$20)*IF($B24=10,10,H$20-G$20-$B23)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22)</f>
        <v>#VALUE!</v>
      </c>
    </row>
    <row r="25" spans="1:13" x14ac:dyDescent="0.25">
      <c r="A25" s="2" t="s">
        <v>178</v>
      </c>
      <c r="B25" s="189">
        <v>40</v>
      </c>
      <c r="C25" s="109">
        <v>0</v>
      </c>
      <c r="D25" s="109">
        <f>IF(D$20-C$20+10&gt;$B25,IF(D$20-C$20&lt;=10,VLOOKUP($A25,$A$13:$D$17,MATCH(D$20,$A$12:$D$12)),VLOOKUP($A25,$A$13:$D$17,MATCH(D$20,$A$12:$D$12))/(D$20-C$20)*IF($B25=10,10,D$20-C$20-$B24)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5" s="109" t="e">
        <f>IF(E$20-D$20+10&gt;$B25,IF(E$20-D$20&lt;=10,VLOOKUP($A25,$A$13:$D$17,MATCH(E$20,$A$12:$D$12)),VLOOKUP($A25,$A$13:$D$17,MATCH(E$20,$A$12:$D$12))/(E$20-D$20)*IF($B25=10,10,E$20-D$20-$B24)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23)</f>
        <v>#VALUE!</v>
      </c>
      <c r="F25" s="109">
        <v>0</v>
      </c>
      <c r="G25" s="109">
        <f>IF(G$20-F$20+10&gt;$B25,IF(G$20-F$20&lt;=10,VLOOKUP($A25,$A$13:$D$17,MATCH(G$20,$A$12:$D$12)),VLOOKUP($A25,$A$13:$D$17,MATCH(G$20,$A$12:$D$12))/(G$20-F$20)*IF($B25=10,10,G$20-F$20-$B24)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5" s="109" t="e">
        <f>IF(H$20-G$20+10&gt;$B25,IF(H$20-G$20&lt;=10,VLOOKUP($A25,$A$13:$D$17,MATCH(H$20,$A$12:$D$12)),VLOOKUP($A25,$A$13:$D$17,MATCH(H$20,$A$12:$D$12))/(H$20-G$20)*IF($B25=10,10,H$20-G$20-$B24)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23)</f>
        <v>#VALUE!</v>
      </c>
    </row>
    <row r="26" spans="1:13" x14ac:dyDescent="0.25">
      <c r="A26" s="2" t="s">
        <v>179</v>
      </c>
      <c r="B26" s="188">
        <v>10</v>
      </c>
      <c r="C26" s="109">
        <v>0</v>
      </c>
      <c r="D26" s="109" t="e">
        <f>IF(D$20-C$20+10&gt;$B26,IF(D$20-C$20&lt;=10,VLOOKUP($A26,$A$13:$D$17,MATCH(D$20,$A$12:$D$12)),VLOOKUP($A26,$A$13:$D$17,MATCH(D$20,$A$12:$D$12))/(D$20-C$20)*IF($B26=10,10,D$20-C$20-$B25)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#VALUE!</v>
      </c>
      <c r="E26" s="109" t="e">
        <f>IF(E$20-D$20+10&gt;$B26,IF(E$20-D$20&lt;=10,VLOOKUP($A26,$A$13:$D$17,MATCH(E$20,$A$12:$D$12)),VLOOKUP($A26,$A$13:$D$17,MATCH(E$20,$A$12:$D$12))/(E$20-D$20)*IF($B26=10,10,E$20-D$20-$B25)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24)</f>
        <v>#VALUE!</v>
      </c>
      <c r="F26" s="109">
        <v>0</v>
      </c>
      <c r="G26" s="109" t="e">
        <f>IF(G$20-F$20+10&gt;$B26,IF(G$20-F$20&lt;=10,VLOOKUP($A26,$A$13:$D$17,MATCH(G$20,$A$12:$D$12)),VLOOKUP($A26,$A$13:$D$17,MATCH(G$20,$A$12:$D$12))/(G$20-F$20)*IF($B26=10,10,G$20-F$20-$B25)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#VALUE!</v>
      </c>
      <c r="H26" s="109" t="e">
        <f>IF(H$20-G$20+10&gt;$B26,IF(H$20-G$20&lt;=10,VLOOKUP($A26,$A$13:$D$17,MATCH(H$20,$A$12:$D$12)),VLOOKUP($A26,$A$13:$D$17,MATCH(H$20,$A$12:$D$12))/(H$20-G$20)*IF($B26=10,10,H$20-G$20-$B25)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24)</f>
        <v>#VALUE!</v>
      </c>
      <c r="M26" s="1" t="s">
        <v>177</v>
      </c>
    </row>
    <row r="27" spans="1:13" x14ac:dyDescent="0.25">
      <c r="A27" s="2" t="s">
        <v>179</v>
      </c>
      <c r="B27" s="188">
        <v>20</v>
      </c>
      <c r="C27" s="109">
        <v>0</v>
      </c>
      <c r="D27" s="109" t="e">
        <f>IF(D$20-C$20+10&gt;$B27,IF(D$20-C$20&lt;=10,VLOOKUP($A27,$A$13:$D$17,MATCH(D$20,$A$12:$D$12)),VLOOKUP($A27,$A$13:$D$17,MATCH(D$20,$A$12:$D$12))/(D$20-C$20)*IF($B27=10,10,D$20-C$20-$B26)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#VALUE!</v>
      </c>
      <c r="E27" s="109" t="e">
        <f>IF(E$20-D$20+10&gt;$B27,IF(E$20-D$20&lt;=10,VLOOKUP($A27,$A$13:$D$17,MATCH(E$20,$A$12:$D$12)),VLOOKUP($A27,$A$13:$D$17,MATCH(E$20,$A$12:$D$12))/(E$20-D$20)*IF($B27=10,10,E$20-D$20-$B26)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25)</f>
        <v>#VALUE!</v>
      </c>
      <c r="F27" s="109">
        <v>0</v>
      </c>
      <c r="G27" s="109" t="e">
        <f>IF(G$20-F$20+10&gt;$B27,IF(G$20-F$20&lt;=10,VLOOKUP($A27,$A$13:$D$17,MATCH(G$20,$A$12:$D$12)),VLOOKUP($A27,$A$13:$D$17,MATCH(G$20,$A$12:$D$12))/(G$20-F$20)*IF($B27=10,10,G$20-F$20-$B26)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#VALUE!</v>
      </c>
      <c r="H27" s="109" t="e">
        <f>IF(H$20-G$20+10&gt;$B27,IF(H$20-G$20&lt;=10,VLOOKUP($A27,$A$13:$D$17,MATCH(H$20,$A$12:$D$12)),VLOOKUP($A27,$A$13:$D$17,MATCH(H$20,$A$12:$D$12))/(H$20-G$20)*IF($B27=10,10,H$20-G$20-$B26)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25)</f>
        <v>#VALUE!</v>
      </c>
    </row>
    <row r="28" spans="1:13" x14ac:dyDescent="0.25">
      <c r="A28" s="2" t="s">
        <v>179</v>
      </c>
      <c r="B28" s="188">
        <v>30</v>
      </c>
      <c r="C28" s="109">
        <v>0</v>
      </c>
      <c r="D28" s="109">
        <f>IF(D$20-C$20+10&gt;$B28,IF(D$20-C$20&lt;=10,VLOOKUP($A28,$A$13:$D$17,MATCH(D$20,$A$12:$D$12)),VLOOKUP($A28,$A$13:$D$17,MATCH(D$20,$A$12:$D$12))/(D$20-C$20)*IF($B28=10,10,D$20-C$20-$B27)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8" s="109" t="e">
        <f>IF(E$20-D$20+10&gt;$B28,IF(E$20-D$20&lt;=10,VLOOKUP($A28,$A$13:$D$17,MATCH(E$20,$A$12:$D$12)),VLOOKUP($A28,$A$13:$D$17,MATCH(E$20,$A$12:$D$12))/(E$20-D$20)*IF($B28=10,10,E$20-D$20-$B27)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26)</f>
        <v>#VALUE!</v>
      </c>
      <c r="F28" s="109">
        <v>0</v>
      </c>
      <c r="G28" s="109">
        <f>IF(G$20-F$20+10&gt;$B28,IF(G$20-F$20&lt;=10,VLOOKUP($A28,$A$13:$D$17,MATCH(G$20,$A$12:$D$12)),VLOOKUP($A28,$A$13:$D$17,MATCH(G$20,$A$12:$D$12))/(G$20-F$20)*IF($B28=10,10,G$20-F$20-$B27)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8" s="109" t="e">
        <f>IF(H$20-G$20+10&gt;$B28,IF(H$20-G$20&lt;=10,VLOOKUP($A28,$A$13:$D$17,MATCH(H$20,$A$12:$D$12)),VLOOKUP($A28,$A$13:$D$17,MATCH(H$20,$A$12:$D$12))/(H$20-G$20)*IF($B28=10,10,H$20-G$20-$B27)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26)</f>
        <v>#VALUE!</v>
      </c>
    </row>
    <row r="29" spans="1:13" x14ac:dyDescent="0.25">
      <c r="A29" s="2" t="s">
        <v>179</v>
      </c>
      <c r="B29" s="189">
        <v>40</v>
      </c>
      <c r="C29" s="109">
        <v>0</v>
      </c>
      <c r="D29" s="109">
        <f>IF(D$20-C$20+10&gt;$B29,IF(D$20-C$20&lt;=10,VLOOKUP($A29,$A$13:$D$17,MATCH(D$20,$A$12:$D$12)),VLOOKUP($A29,$A$13:$D$17,MATCH(D$20,$A$12:$D$12))/(D$20-C$20)*IF($B29=10,10,D$20-C$20-$B28)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9" s="109" t="e">
        <f>IF(E$20-D$20+10&gt;$B29,IF(E$20-D$20&lt;=10,VLOOKUP($A29,$A$13:$D$17,MATCH(E$20,$A$12:$D$12)),VLOOKUP($A29,$A$13:$D$17,MATCH(E$20,$A$12:$D$12))/(E$20-D$20)*IF($B29=10,10,E$20-D$20-$B28)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27)</f>
        <v>#VALUE!</v>
      </c>
      <c r="F29" s="109">
        <v>0</v>
      </c>
      <c r="G29" s="109">
        <f>IF(G$20-F$20+10&gt;$B29,IF(G$20-F$20&lt;=10,VLOOKUP($A29,$A$13:$D$17,MATCH(G$20,$A$12:$D$12)),VLOOKUP($A29,$A$13:$D$17,MATCH(G$20,$A$12:$D$12))/(G$20-F$20)*IF($B29=10,10,G$20-F$20-$B28)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9" s="109" t="e">
        <f>IF(H$20-G$20+10&gt;$B29,IF(H$20-G$20&lt;=10,VLOOKUP($A29,$A$13:$D$17,MATCH(H$20,$A$12:$D$12)),VLOOKUP($A29,$A$13:$D$17,MATCH(H$20,$A$12:$D$12))/(H$20-G$20)*IF($B29=10,10,H$20-G$20-$B28)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27)</f>
        <v>#VALUE!</v>
      </c>
    </row>
    <row r="30" spans="1:13" x14ac:dyDescent="0.25">
      <c r="A30" s="2" t="s">
        <v>180</v>
      </c>
      <c r="B30" s="188">
        <v>10</v>
      </c>
      <c r="C30" s="109">
        <v>0</v>
      </c>
      <c r="D30" s="109" t="e">
        <f>IF(D$20-C$20+10&gt;$B30,IF(D$20-C$20&lt;=10,VLOOKUP($A30,$A$13:$D$17,MATCH(D$20,$A$12:$D$12)),VLOOKUP($A30,$A$13:$D$17,MATCH(D$20,$A$12:$D$12))/(D$20-C$20)*IF($B30=10,10,D$20-C$20-$B29)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#VALUE!</v>
      </c>
      <c r="E30" s="109" t="e">
        <f>IF(E$20-D$20+10&gt;$B30,IF(E$20-D$20&lt;=10,VLOOKUP($A30,$A$13:$D$17,MATCH(E$20,$A$12:$D$12)),VLOOKUP($A30,$A$13:$D$17,MATCH(E$20,$A$12:$D$12))/(E$20-D$20)*IF($B30=10,10,E$20-D$20-$B29)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28)</f>
        <v>#VALUE!</v>
      </c>
      <c r="F30" s="109">
        <v>0</v>
      </c>
      <c r="G30" s="109" t="e">
        <f>IF(G$20-F$20+10&gt;$B30,IF(G$20-F$20&lt;=10,VLOOKUP($A30,$A$13:$D$17,MATCH(G$20,$A$12:$D$12)),VLOOKUP($A30,$A$13:$D$17,MATCH(G$20,$A$12:$D$12))/(G$20-F$20)*IF($B30=10,10,G$20-F$20-$B29)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#VALUE!</v>
      </c>
      <c r="H30" s="109" t="e">
        <f>IF(H$20-G$20+10&gt;$B30,IF(H$20-G$20&lt;=10,VLOOKUP($A30,$A$13:$D$17,MATCH(H$20,$A$12:$D$12)),VLOOKUP($A30,$A$13:$D$17,MATCH(H$20,$A$12:$D$12))/(H$20-G$20)*IF($B30=10,10,H$20-G$20-$B29)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28)</f>
        <v>#VALUE!</v>
      </c>
    </row>
    <row r="31" spans="1:13" x14ac:dyDescent="0.25">
      <c r="A31" s="2" t="s">
        <v>180</v>
      </c>
      <c r="B31" s="188">
        <v>20</v>
      </c>
      <c r="C31" s="109">
        <v>0</v>
      </c>
      <c r="D31" s="109" t="e">
        <f>IF(D$20-C$20+10&gt;$B31,IF(D$20-C$20&lt;=10,VLOOKUP($A31,$A$13:$D$17,MATCH(D$20,$A$12:$D$12)),VLOOKUP($A31,$A$13:$D$17,MATCH(D$20,$A$12:$D$12))/(D$20-C$20)*IF($B31=10,10,D$20-C$20-$B30)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#VALUE!</v>
      </c>
      <c r="E31" s="109" t="e">
        <f>IF(E$20-D$20+10&gt;$B31,IF(E$20-D$20&lt;=10,VLOOKUP($A31,$A$13:$D$17,MATCH(E$20,$A$12:$D$12)),VLOOKUP($A31,$A$13:$D$17,MATCH(E$20,$A$12:$D$12))/(E$20-D$20)*IF($B31=10,10,E$20-D$20-$B30)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29)</f>
        <v>#VALUE!</v>
      </c>
      <c r="F31" s="109">
        <v>0</v>
      </c>
      <c r="G31" s="109" t="e">
        <f>IF(G$20-F$20+10&gt;$B31,IF(G$20-F$20&lt;=10,VLOOKUP($A31,$A$13:$D$17,MATCH(G$20,$A$12:$D$12)),VLOOKUP($A31,$A$13:$D$17,MATCH(G$20,$A$12:$D$12))/(G$20-F$20)*IF($B31=10,10,G$20-F$20-$B30)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#VALUE!</v>
      </c>
      <c r="H31" s="109" t="e">
        <f>IF(H$20-G$20+10&gt;$B31,IF(H$20-G$20&lt;=10,VLOOKUP($A31,$A$13:$D$17,MATCH(H$20,$A$12:$D$12)),VLOOKUP($A31,$A$13:$D$17,MATCH(H$20,$A$12:$D$12))/(H$20-G$20)*IF($B31=10,10,H$20-G$20-$B30)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29)</f>
        <v>#VALUE!</v>
      </c>
    </row>
    <row r="32" spans="1:13" x14ac:dyDescent="0.25">
      <c r="A32" s="2" t="s">
        <v>180</v>
      </c>
      <c r="B32" s="188">
        <v>30</v>
      </c>
      <c r="C32" s="109">
        <v>0</v>
      </c>
      <c r="D32" s="109">
        <f>IF(D$20-C$20+10&gt;$B32,IF(D$20-C$20&lt;=10,VLOOKUP($A32,$A$13:$D$17,MATCH(D$20,$A$12:$D$12)),VLOOKUP($A32,$A$13:$D$17,MATCH(D$20,$A$12:$D$12))/(D$20-C$20)*IF($B32=10,10,D$20-C$20-$B31)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2" s="109" t="e">
        <f>IF(E$20-D$20+10&gt;$B32,IF(E$20-D$20&lt;=10,VLOOKUP($A32,$A$13:$D$17,MATCH(E$20,$A$12:$D$12)),VLOOKUP($A32,$A$13:$D$17,MATCH(E$20,$A$12:$D$12))/(E$20-D$20)*IF($B32=10,10,E$20-D$20-$B31)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30)</f>
        <v>#VALUE!</v>
      </c>
      <c r="F32" s="109">
        <v>0</v>
      </c>
      <c r="G32" s="109">
        <f>IF(G$20-F$20+10&gt;$B32,IF(G$20-F$20&lt;=10,VLOOKUP($A32,$A$13:$D$17,MATCH(G$20,$A$12:$D$12)),VLOOKUP($A32,$A$13:$D$17,MATCH(G$20,$A$12:$D$12))/(G$20-F$20)*IF($B32=10,10,G$20-F$20-$B31)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2" s="109" t="e">
        <f>IF(H$20-G$20+10&gt;$B32,IF(H$20-G$20&lt;=10,VLOOKUP($A32,$A$13:$D$17,MATCH(H$20,$A$12:$D$12)),VLOOKUP($A32,$A$13:$D$17,MATCH(H$20,$A$12:$D$12))/(H$20-G$20)*IF($B32=10,10,H$20-G$20-$B31)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30)</f>
        <v>#VALUE!</v>
      </c>
    </row>
    <row r="33" spans="1:8" x14ac:dyDescent="0.25">
      <c r="A33" s="2" t="s">
        <v>180</v>
      </c>
      <c r="B33" s="189">
        <v>40</v>
      </c>
      <c r="C33" s="109">
        <v>0</v>
      </c>
      <c r="D33" s="109">
        <f>IF(D$20-C$20+10&gt;$B33,IF(D$20-C$20&lt;=10,VLOOKUP($A33,$A$13:$D$17,MATCH(D$20,$A$12:$D$12)),VLOOKUP($A33,$A$13:$D$17,MATCH(D$20,$A$12:$D$12))/(D$20-C$20)*IF($B33=10,10,D$20-C$20-$B32)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3" s="109" t="e">
        <f>IF(E$20-D$20+10&gt;$B33,IF(E$20-D$20&lt;=10,VLOOKUP($A33,$A$13:$D$17,MATCH(E$20,$A$12:$D$12)),VLOOKUP($A33,$A$13:$D$17,MATCH(E$20,$A$12:$D$12))/(E$20-D$20)*IF($B33=10,10,E$20-D$20-$B32)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31)</f>
        <v>#VALUE!</v>
      </c>
      <c r="F33" s="109">
        <v>0</v>
      </c>
      <c r="G33" s="109">
        <f>IF(G$20-F$20+10&gt;$B33,IF(G$20-F$20&lt;=10,VLOOKUP($A33,$A$13:$D$17,MATCH(G$20,$A$12:$D$12)),VLOOKUP($A33,$A$13:$D$17,MATCH(G$20,$A$12:$D$12))/(G$20-F$20)*IF($B33=10,10,G$20-F$20-$B32)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3" s="109" t="e">
        <f>IF(H$20-G$20+10&gt;$B33,IF(H$20-G$20&lt;=10,VLOOKUP($A33,$A$13:$D$17,MATCH(H$20,$A$12:$D$12)),VLOOKUP($A33,$A$13:$D$17,MATCH(H$20,$A$12:$D$12))/(H$20-G$20)*IF($B33=10,10,H$20-G$20-$B32)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31)</f>
        <v>#VALUE!</v>
      </c>
    </row>
    <row r="34" spans="1:8" x14ac:dyDescent="0.25">
      <c r="A34" s="2" t="s">
        <v>181</v>
      </c>
      <c r="B34" s="188">
        <v>10</v>
      </c>
      <c r="C34" s="109">
        <v>0</v>
      </c>
      <c r="D34" s="109" t="e">
        <f>IF(D$20-C$20+10&gt;$B34,IF(D$20-C$20&lt;=10,VLOOKUP($A34,$A$13:$D$17,MATCH(D$20,$A$12:$D$12)),VLOOKUP($A34,$A$13:$D$17,MATCH(D$20,$A$12:$D$12))/(D$20-C$20)*IF($B34=10,10,D$20-C$20-$B33)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#VALUE!</v>
      </c>
      <c r="E34" s="109" t="e">
        <f>IF(E$20-D$20+10&gt;$B34,IF(E$20-D$20&lt;=10,VLOOKUP($A34,$A$13:$D$17,MATCH(E$20,$A$12:$D$12)),VLOOKUP($A34,$A$13:$D$17,MATCH(E$20,$A$12:$D$12))/(E$20-D$20)*IF($B34=10,10,E$20-D$20-$B33)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32)</f>
        <v>#VALUE!</v>
      </c>
      <c r="F34" s="109">
        <v>0</v>
      </c>
      <c r="G34" s="109" t="e">
        <f>IF(G$20-F$20+10&gt;$B34,IF(G$20-F$20&lt;=10,VLOOKUP($A34,$A$13:$D$17,MATCH(G$20,$A$12:$D$12)),VLOOKUP($A34,$A$13:$D$17,MATCH(G$20,$A$12:$D$12))/(G$20-F$20)*IF($B34=10,10,G$20-F$20-$B33)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#VALUE!</v>
      </c>
      <c r="H34" s="109" t="e">
        <f>IF(H$20-G$20+10&gt;$B34,IF(H$20-G$20&lt;=10,VLOOKUP($A34,$A$13:$D$17,MATCH(H$20,$A$12:$D$12)),VLOOKUP($A34,$A$13:$D$17,MATCH(H$20,$A$12:$D$12))/(H$20-G$20)*IF($B34=10,10,H$20-G$20-$B33)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32)</f>
        <v>#VALUE!</v>
      </c>
    </row>
    <row r="35" spans="1:8" x14ac:dyDescent="0.25">
      <c r="A35" s="2" t="s">
        <v>181</v>
      </c>
      <c r="B35" s="188">
        <v>20</v>
      </c>
      <c r="C35" s="109">
        <v>0</v>
      </c>
      <c r="D35" s="109" t="e">
        <f>IF(D$20-C$20+10&gt;$B35,IF(D$20-C$20&lt;=10,VLOOKUP($A35,$A$13:$D$17,MATCH(D$20,$A$12:$D$12)),VLOOKUP($A35,$A$13:$D$17,MATCH(D$20,$A$12:$D$12))/(D$20-C$20)*IF($B35=10,10,D$20-C$20-$B34)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#VALUE!</v>
      </c>
      <c r="E35" s="109" t="e">
        <f>IF(E$20-D$20+10&gt;$B35,IF(E$20-D$20&lt;=10,VLOOKUP($A35,$A$13:$D$17,MATCH(E$20,$A$12:$D$12)),VLOOKUP($A35,$A$13:$D$17,MATCH(E$20,$A$12:$D$12))/(E$20-D$20)*IF($B35=10,10,E$20-D$20-$B34)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33)</f>
        <v>#VALUE!</v>
      </c>
      <c r="F35" s="109">
        <v>0</v>
      </c>
      <c r="G35" s="109" t="e">
        <f>IF(G$20-F$20+10&gt;$B35,IF(G$20-F$20&lt;=10,VLOOKUP($A35,$A$13:$D$17,MATCH(G$20,$A$12:$D$12)),VLOOKUP($A35,$A$13:$D$17,MATCH(G$20,$A$12:$D$12))/(G$20-F$20)*IF($B35=10,10,G$20-F$20-$B34)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#VALUE!</v>
      </c>
      <c r="H35" s="109" t="e">
        <f>IF(H$20-G$20+10&gt;$B35,IF(H$20-G$20&lt;=10,VLOOKUP($A35,$A$13:$D$17,MATCH(H$20,$A$12:$D$12)),VLOOKUP($A35,$A$13:$D$17,MATCH(H$20,$A$12:$D$12))/(H$20-G$20)*IF($B35=10,10,H$20-G$20-$B34)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33)</f>
        <v>#VALUE!</v>
      </c>
    </row>
    <row r="36" spans="1:8" x14ac:dyDescent="0.25">
      <c r="A36" s="2" t="s">
        <v>181</v>
      </c>
      <c r="B36" s="188">
        <v>30</v>
      </c>
      <c r="C36" s="109">
        <v>0</v>
      </c>
      <c r="D36" s="109">
        <f>IF(D$20-C$20+10&gt;$B36,IF(D$20-C$20&lt;=10,VLOOKUP($A36,$A$13:$D$17,MATCH(D$20,$A$12:$D$12)),VLOOKUP($A36,$A$13:$D$17,MATCH(D$20,$A$12:$D$12))/(D$20-C$20)*IF($B36=10,10,D$20-C$20-$B35)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6" s="109" t="e">
        <f>IF(E$20-D$20+10&gt;$B36,IF(E$20-D$20&lt;=10,VLOOKUP($A36,$A$13:$D$17,MATCH(E$20,$A$12:$D$12)),VLOOKUP($A36,$A$13:$D$17,MATCH(E$20,$A$12:$D$12))/(E$20-D$20)*IF($B36=10,10,E$20-D$20-$B35)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34)</f>
        <v>#VALUE!</v>
      </c>
      <c r="F36" s="109">
        <v>0</v>
      </c>
      <c r="G36" s="109">
        <f>IF(G$20-F$20+10&gt;$B36,IF(G$20-F$20&lt;=10,VLOOKUP($A36,$A$13:$D$17,MATCH(G$20,$A$12:$D$12)),VLOOKUP($A36,$A$13:$D$17,MATCH(G$20,$A$12:$D$12))/(G$20-F$20)*IF($B36=10,10,G$20-F$20-$B35)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6" s="109" t="e">
        <f>IF(H$20-G$20+10&gt;$B36,IF(H$20-G$20&lt;=10,VLOOKUP($A36,$A$13:$D$17,MATCH(H$20,$A$12:$D$12)),VLOOKUP($A36,$A$13:$D$17,MATCH(H$20,$A$12:$D$12))/(H$20-G$20)*IF($B36=10,10,H$20-G$20-$B35)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34)</f>
        <v>#VALUE!</v>
      </c>
    </row>
    <row r="37" spans="1:8" x14ac:dyDescent="0.25">
      <c r="A37" s="2" t="s">
        <v>181</v>
      </c>
      <c r="B37" s="189">
        <v>40</v>
      </c>
      <c r="C37" s="109">
        <v>0</v>
      </c>
      <c r="D37" s="109">
        <f>IF(D$20-C$20+10&gt;$B37,IF(D$20-C$20&lt;=10,VLOOKUP($A37,$A$13:$D$17,MATCH(D$20,$A$12:$D$12)),VLOOKUP($A37,$A$13:$D$17,MATCH(D$20,$A$12:$D$12))/(D$20-C$20)*IF($B37=10,10,D$20-C$20-$B36)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7" s="109" t="e">
        <f>IF(E$20-D$20+10&gt;$B37,IF(E$20-D$20&lt;=10,VLOOKUP($A37,$A$13:$D$17,MATCH(E$20,$A$12:$D$12)),VLOOKUP($A37,$A$13:$D$17,MATCH(E$20,$A$12:$D$12))/(E$20-D$20)*IF($B37=10,10,E$20-D$20-$B36)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35)</f>
        <v>#VALUE!</v>
      </c>
      <c r="F37" s="109">
        <v>0</v>
      </c>
      <c r="G37" s="109">
        <f>IF(G$20-F$20+10&gt;$B37,IF(G$20-F$20&lt;=10,VLOOKUP($A37,$A$13:$D$17,MATCH(G$20,$A$12:$D$12)),VLOOKUP($A37,$A$13:$D$17,MATCH(G$20,$A$12:$D$12))/(G$20-F$20)*IF($B37=10,10,G$20-F$20-$B36)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7" s="109" t="e">
        <f>IF(H$20-G$20+10&gt;$B37,IF(H$20-G$20&lt;=10,VLOOKUP($A37,$A$13:$D$17,MATCH(H$20,$A$12:$D$12)),VLOOKUP($A37,$A$13:$D$17,MATCH(H$20,$A$12:$D$12))/(H$20-G$20)*IF($B37=10,10,H$20-G$20-$B36)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35)</f>
        <v>#VALUE!</v>
      </c>
    </row>
    <row r="38" spans="1:8" x14ac:dyDescent="0.25">
      <c r="A38" s="2" t="s">
        <v>182</v>
      </c>
      <c r="B38" s="188">
        <v>10</v>
      </c>
      <c r="C38" s="109">
        <v>0</v>
      </c>
      <c r="D38" s="109" t="e">
        <f>IF(D$20-C$20+10&gt;$B38,IF(D$20-C$20&lt;=10,VLOOKUP($A38,$A$13:$D$17,MATCH(D$20,$A$12:$D$12)),VLOOKUP($A38,$A$13:$D$17,MATCH(D$20,$A$12:$D$12))/(D$20-C$20)*IF($B38=10,10,D$20-C$20-$B37)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#VALUE!</v>
      </c>
      <c r="E38" s="109" t="e">
        <f>IF(E$20-D$20+10&gt;$B38,IF(E$20-D$20&lt;=10,VLOOKUP($A38,$A$13:$D$17,MATCH(E$20,$A$12:$D$12)),VLOOKUP($A38,$A$13:$D$17,MATCH(E$20,$A$12:$D$12))/(E$20-D$20)*IF($B38=10,10,E$20-D$20-$B37)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36)</f>
        <v>#VALUE!</v>
      </c>
      <c r="F38" s="109">
        <v>0</v>
      </c>
      <c r="G38" s="109" t="e">
        <f>IF(G$20-F$20+10&gt;$B38,IF(G$20-F$20&lt;=10,VLOOKUP($A38,$A$13:$D$17,MATCH(G$20,$A$12:$D$12)),VLOOKUP($A38,$A$13:$D$17,MATCH(G$20,$A$12:$D$12))/(G$20-F$20)*IF($B38=10,10,G$20-F$20-$B37)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#VALUE!</v>
      </c>
      <c r="H38" s="109" t="e">
        <f>IF(H$20-G$20+10&gt;$B38,IF(H$20-G$20&lt;=10,VLOOKUP($A38,$A$13:$D$17,MATCH(H$20,$A$12:$D$12)),VLOOKUP($A38,$A$13:$D$17,MATCH(H$20,$A$12:$D$12))/(H$20-G$20)*IF($B38=10,10,H$20-G$20-$B37)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36)</f>
        <v>#VALUE!</v>
      </c>
    </row>
    <row r="39" spans="1:8" x14ac:dyDescent="0.25">
      <c r="A39" s="2" t="s">
        <v>182</v>
      </c>
      <c r="B39" s="188">
        <v>20</v>
      </c>
      <c r="C39" s="109">
        <v>0</v>
      </c>
      <c r="D39" s="109" t="e">
        <f>IF(D$20-C$20+10&gt;$B39,IF(D$20-C$20&lt;=10,VLOOKUP($A39,$A$13:$D$17,MATCH(D$20,$A$12:$D$12)),VLOOKUP($A39,$A$13:$D$17,MATCH(D$20,$A$12:$D$12))/(D$20-C$20)*IF($B39=10,10,D$20-C$20-$B38)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#VALUE!</v>
      </c>
      <c r="E39" s="109" t="e">
        <f>IF(E$20-D$20+10&gt;$B39,IF(E$20-D$20&lt;=10,VLOOKUP($A39,$A$13:$D$17,MATCH(E$20,$A$12:$D$12)),VLOOKUP($A39,$A$13:$D$17,MATCH(E$20,$A$12:$D$12))/(E$20-D$20)*IF($B39=10,10,E$20-D$20-$B38)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37)</f>
        <v>#VALUE!</v>
      </c>
      <c r="F39" s="109">
        <v>0</v>
      </c>
      <c r="G39" s="109" t="e">
        <f>IF(G$20-F$20+10&gt;$B39,IF(G$20-F$20&lt;=10,VLOOKUP($A39,$A$13:$D$17,MATCH(G$20,$A$12:$D$12)),VLOOKUP($A39,$A$13:$D$17,MATCH(G$20,$A$12:$D$12))/(G$20-F$20)*IF($B39=10,10,G$20-F$20-$B38)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#VALUE!</v>
      </c>
      <c r="H39" s="109" t="e">
        <f>IF(H$20-G$20+10&gt;$B39,IF(H$20-G$20&lt;=10,VLOOKUP($A39,$A$13:$D$17,MATCH(H$20,$A$12:$D$12)),VLOOKUP($A39,$A$13:$D$17,MATCH(H$20,$A$12:$D$12))/(H$20-G$20)*IF($B39=10,10,H$20-G$20-$B38)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37)</f>
        <v>#VALUE!</v>
      </c>
    </row>
    <row r="40" spans="1:8" x14ac:dyDescent="0.25">
      <c r="A40" s="2" t="s">
        <v>182</v>
      </c>
      <c r="B40" s="188">
        <v>30</v>
      </c>
      <c r="C40" s="109">
        <v>0</v>
      </c>
      <c r="D40" s="109">
        <f>IF(D$20-C$20+10&gt;$B40,IF(D$20-C$20&lt;=10,VLOOKUP($A40,$A$13:$D$17,MATCH(D$20,$A$12:$D$12)),VLOOKUP($A40,$A$13:$D$17,MATCH(D$20,$A$12:$D$12))/(D$20-C$20)*IF($B40=10,10,D$20-C$20-$B39)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40" s="109" t="e">
        <f>IF(E$20-D$20+10&gt;$B40,IF(E$20-D$20&lt;=10,VLOOKUP($A40,$A$13:$D$17,MATCH(E$20,$A$12:$D$12)),VLOOKUP($A40,$A$13:$D$17,MATCH(E$20,$A$12:$D$12))/(E$20-D$20)*IF($B40=10,10,E$20-D$20-$B39)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38)</f>
        <v>#VALUE!</v>
      </c>
      <c r="F40" s="109">
        <v>0</v>
      </c>
      <c r="G40" s="109">
        <f>IF(G$20-F$20+10&gt;$B40,IF(G$20-F$20&lt;=10,VLOOKUP($A40,$A$13:$D$17,MATCH(G$20,$A$12:$D$12)),VLOOKUP($A40,$A$13:$D$17,MATCH(G$20,$A$12:$D$12))/(G$20-F$20)*IF($B40=10,10,G$20-F$20-$B39)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40" s="109" t="e">
        <f>IF(H$20-G$20+10&gt;$B40,IF(H$20-G$20&lt;=10,VLOOKUP($A40,$A$13:$D$17,MATCH(H$20,$A$12:$D$12)),VLOOKUP($A40,$A$13:$D$17,MATCH(H$20,$A$12:$D$12))/(H$20-G$20)*IF($B40=10,10,H$20-G$20-$B39)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38)</f>
        <v>#VALUE!</v>
      </c>
    </row>
    <row r="41" spans="1:8" x14ac:dyDescent="0.25">
      <c r="A41" s="2" t="s">
        <v>182</v>
      </c>
      <c r="B41" s="109">
        <v>40</v>
      </c>
      <c r="C41" s="109">
        <v>0</v>
      </c>
      <c r="D41" s="109">
        <f>IF(D$20-C$20+10&gt;$B41,IF(D$20-C$20&lt;=10,VLOOKUP($A41,$A$13:$D$17,MATCH(D$20,$A$12:$D$12)),VLOOKUP($A41,$A$13:$D$17,MATCH(D$20,$A$12:$D$12))/(D$20-C$20)*IF($B41=10,10,D$20-C$20-$B40)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41" s="109" t="e">
        <f>IF(E$20-D$20+10&gt;$B41,IF(E$20-D$20&lt;=10,VLOOKUP($A41,$A$13:$D$17,MATCH(E$20,$A$12:$D$12)),VLOOKUP($A41,$A$13:$D$17,MATCH(E$20,$A$12:$D$12))/(E$20-D$20)*IF($B41=10,10,E$20-D$20-$B40)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39)</f>
        <v>#VALUE!</v>
      </c>
      <c r="F41" s="109">
        <v>0</v>
      </c>
      <c r="G41" s="109">
        <f>IF(G$20-F$20+10&gt;$B41,IF(G$20-F$20&lt;=10,VLOOKUP($A41,$A$13:$D$17,MATCH(G$20,$A$12:$D$12)),VLOOKUP($A41,$A$13:$D$17,MATCH(G$20,$A$12:$D$12))/(G$20-F$20)*IF($B41=10,10,G$20-F$20-$B40)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41" s="109" t="e">
        <f>IF(H$20-G$20+10&gt;$B41,IF(H$20-G$20&lt;=10,VLOOKUP($A41,$A$13:$D$17,MATCH(H$20,$A$12:$D$12)),VLOOKUP($A41,$A$13:$D$17,MATCH(H$20,$A$12:$D$12))/(H$20-G$20)*IF($B41=10,10,H$20-G$20-$B40)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39)</f>
        <v>#VALUE!</v>
      </c>
    </row>
    <row r="42" spans="1:8" x14ac:dyDescent="0.25">
      <c r="B42" s="153"/>
    </row>
    <row r="43" spans="1:8" x14ac:dyDescent="0.25">
      <c r="B43" s="153"/>
    </row>
    <row r="44" spans="1:8" x14ac:dyDescent="0.25">
      <c r="B44" s="153"/>
    </row>
    <row r="46" spans="1:8" x14ac:dyDescent="0.25">
      <c r="A46" s="343" t="s">
        <v>297</v>
      </c>
      <c r="B46" s="2" t="s">
        <v>23</v>
      </c>
      <c r="C46" s="2"/>
      <c r="D46" s="2"/>
      <c r="E46" s="2" t="s">
        <v>24</v>
      </c>
      <c r="F46" s="2"/>
      <c r="G46" s="2"/>
    </row>
    <row r="47" spans="1:8" x14ac:dyDescent="0.25">
      <c r="A47" s="344"/>
      <c r="B47" s="186">
        <f>År1</f>
        <v>2019</v>
      </c>
      <c r="C47" s="186">
        <f>År2</f>
        <v>2030</v>
      </c>
      <c r="D47" s="186">
        <f>År3</f>
        <v>2050</v>
      </c>
      <c r="E47" s="186">
        <f>År1</f>
        <v>2019</v>
      </c>
      <c r="F47" s="186">
        <f>År2</f>
        <v>2030</v>
      </c>
      <c r="G47" s="186">
        <f>År3</f>
        <v>2050</v>
      </c>
    </row>
    <row r="48" spans="1:8" x14ac:dyDescent="0.25">
      <c r="A48" s="2" t="s">
        <v>184</v>
      </c>
      <c r="B48" s="109" t="e">
        <f t="shared" ref="B48:G53" si="0">SUMIF($A$21:$A$41,$A48,C$21:C$41)</f>
        <v>#VALUE!</v>
      </c>
      <c r="C48" s="109" t="e">
        <f t="shared" si="0"/>
        <v>#VALUE!</v>
      </c>
      <c r="D48" s="109" t="e">
        <f t="shared" si="0"/>
        <v>#VALUE!</v>
      </c>
      <c r="E48" s="109" t="e">
        <f t="shared" si="0"/>
        <v>#VALUE!</v>
      </c>
      <c r="F48" s="109" t="e">
        <f t="shared" si="0"/>
        <v>#VALUE!</v>
      </c>
      <c r="G48" s="109" t="e">
        <f t="shared" si="0"/>
        <v>#VALUE!</v>
      </c>
    </row>
    <row r="49" spans="1:7" x14ac:dyDescent="0.25">
      <c r="A49" s="2" t="s">
        <v>178</v>
      </c>
      <c r="B49" s="109">
        <f t="shared" si="0"/>
        <v>0</v>
      </c>
      <c r="C49" s="109" t="e">
        <f t="shared" si="0"/>
        <v>#VALUE!</v>
      </c>
      <c r="D49" s="109" t="e">
        <f t="shared" si="0"/>
        <v>#VALUE!</v>
      </c>
      <c r="E49" s="109">
        <f t="shared" si="0"/>
        <v>0</v>
      </c>
      <c r="F49" s="109" t="e">
        <f t="shared" si="0"/>
        <v>#VALUE!</v>
      </c>
      <c r="G49" s="109" t="e">
        <f t="shared" si="0"/>
        <v>#VALUE!</v>
      </c>
    </row>
    <row r="50" spans="1:7" x14ac:dyDescent="0.25">
      <c r="A50" s="2" t="s">
        <v>179</v>
      </c>
      <c r="B50" s="109">
        <f t="shared" si="0"/>
        <v>0</v>
      </c>
      <c r="C50" s="109" t="e">
        <f t="shared" si="0"/>
        <v>#VALUE!</v>
      </c>
      <c r="D50" s="109" t="e">
        <f t="shared" si="0"/>
        <v>#VALUE!</v>
      </c>
      <c r="E50" s="109">
        <f t="shared" si="0"/>
        <v>0</v>
      </c>
      <c r="F50" s="109" t="e">
        <f t="shared" si="0"/>
        <v>#VALUE!</v>
      </c>
      <c r="G50" s="109" t="e">
        <f t="shared" si="0"/>
        <v>#VALUE!</v>
      </c>
    </row>
    <row r="51" spans="1:7" x14ac:dyDescent="0.25">
      <c r="A51" s="2" t="s">
        <v>180</v>
      </c>
      <c r="B51" s="109">
        <f t="shared" si="0"/>
        <v>0</v>
      </c>
      <c r="C51" s="109" t="e">
        <f t="shared" si="0"/>
        <v>#VALUE!</v>
      </c>
      <c r="D51" s="109" t="e">
        <f t="shared" si="0"/>
        <v>#VALUE!</v>
      </c>
      <c r="E51" s="109">
        <f t="shared" si="0"/>
        <v>0</v>
      </c>
      <c r="F51" s="109" t="e">
        <f t="shared" si="0"/>
        <v>#VALUE!</v>
      </c>
      <c r="G51" s="109" t="e">
        <f t="shared" si="0"/>
        <v>#VALUE!</v>
      </c>
    </row>
    <row r="52" spans="1:7" x14ac:dyDescent="0.25">
      <c r="A52" s="2" t="s">
        <v>181</v>
      </c>
      <c r="B52" s="109">
        <f t="shared" si="0"/>
        <v>0</v>
      </c>
      <c r="C52" s="109" t="e">
        <f t="shared" si="0"/>
        <v>#VALUE!</v>
      </c>
      <c r="D52" s="109" t="e">
        <f t="shared" si="0"/>
        <v>#VALUE!</v>
      </c>
      <c r="E52" s="109">
        <f t="shared" si="0"/>
        <v>0</v>
      </c>
      <c r="F52" s="109" t="e">
        <f t="shared" si="0"/>
        <v>#VALUE!</v>
      </c>
      <c r="G52" s="109" t="e">
        <f t="shared" si="0"/>
        <v>#VALUE!</v>
      </c>
    </row>
    <row r="53" spans="1:7" x14ac:dyDescent="0.25">
      <c r="A53" s="2" t="s">
        <v>182</v>
      </c>
      <c r="B53" s="109">
        <f t="shared" si="0"/>
        <v>0</v>
      </c>
      <c r="C53" s="109" t="e">
        <f t="shared" si="0"/>
        <v>#VALUE!</v>
      </c>
      <c r="D53" s="109" t="e">
        <f t="shared" si="0"/>
        <v>#VALUE!</v>
      </c>
      <c r="E53" s="109">
        <f t="shared" si="0"/>
        <v>0</v>
      </c>
      <c r="F53" s="109" t="e">
        <f t="shared" si="0"/>
        <v>#VALUE!</v>
      </c>
      <c r="G53" s="109" t="e">
        <f t="shared" si="0"/>
        <v>#VALUE!</v>
      </c>
    </row>
  </sheetData>
  <mergeCells count="1">
    <mergeCell ref="A46:A47"/>
  </mergeCells>
  <phoneticPr fontId="10" type="noConversion"/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I6" sqref="I6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21" t="s">
        <v>281</v>
      </c>
      <c r="F1" s="75" t="s">
        <v>244</v>
      </c>
    </row>
    <row r="2" spans="1:7" s="325" customFormat="1" x14ac:dyDescent="0.25">
      <c r="A2" s="324"/>
      <c r="C2" s="345" t="s">
        <v>327</v>
      </c>
      <c r="D2" s="345"/>
      <c r="E2" s="345"/>
    </row>
    <row r="3" spans="1:7" s="12" customFormat="1" x14ac:dyDescent="0.25">
      <c r="B3" s="329"/>
      <c r="C3" s="2">
        <f>År1</f>
        <v>2019</v>
      </c>
      <c r="D3" s="2">
        <f>År2</f>
        <v>2030</v>
      </c>
      <c r="E3" s="2">
        <f>År3</f>
        <v>2050</v>
      </c>
      <c r="F3" s="330" t="s">
        <v>328</v>
      </c>
      <c r="G3" s="12" t="s">
        <v>324</v>
      </c>
    </row>
    <row r="4" spans="1:7" s="12" customFormat="1" x14ac:dyDescent="0.25">
      <c r="A4" s="108" t="s">
        <v>99</v>
      </c>
      <c r="B4" s="2" t="s">
        <v>23</v>
      </c>
      <c r="C4" s="113">
        <f>(502+3901)/10/F4</f>
        <v>4.0614334470989747E-3</v>
      </c>
      <c r="D4" s="3">
        <v>0.67</v>
      </c>
      <c r="E4" s="8">
        <v>0.9</v>
      </c>
      <c r="F4" s="326">
        <f>(9.6+43.4+265+84.7+55.6+112.4+6.1+10.5+121.4+27.4+89.4+13.5+12.6+0.4+218.5+0.9+3.9+3.4+5+0.4)*100</f>
        <v>108410.00000000003</v>
      </c>
      <c r="G4" s="346" t="s">
        <v>329</v>
      </c>
    </row>
    <row r="5" spans="1:7" s="12" customFormat="1" x14ac:dyDescent="0.25">
      <c r="A5" s="108" t="s">
        <v>99</v>
      </c>
      <c r="B5" s="2" t="s">
        <v>24</v>
      </c>
      <c r="C5" s="327">
        <f>(0.6)/F5</f>
        <v>2.2156573116691284E-5</v>
      </c>
      <c r="D5" s="3">
        <v>0.06</v>
      </c>
      <c r="E5" s="8">
        <v>0.9</v>
      </c>
      <c r="F5" s="110">
        <f>(207.3+16.1+47.4)*100</f>
        <v>27080</v>
      </c>
      <c r="G5" s="346"/>
    </row>
    <row r="6" spans="1:7" s="12" customFormat="1" x14ac:dyDescent="0.25">
      <c r="A6" s="108" t="s">
        <v>100</v>
      </c>
      <c r="B6" s="2" t="s">
        <v>23</v>
      </c>
      <c r="C6" s="113">
        <f>17/F6</f>
        <v>2.8333333333333332E-2</v>
      </c>
      <c r="D6" s="8">
        <v>0.8</v>
      </c>
      <c r="E6" s="3">
        <v>1</v>
      </c>
      <c r="F6" s="326">
        <v>600</v>
      </c>
      <c r="G6" s="347" t="s">
        <v>242</v>
      </c>
    </row>
    <row r="7" spans="1:7" s="12" customFormat="1" x14ac:dyDescent="0.25">
      <c r="A7" s="108" t="s">
        <v>100</v>
      </c>
      <c r="B7" s="2" t="s">
        <v>24</v>
      </c>
      <c r="C7" s="86">
        <f>0/F7</f>
        <v>0</v>
      </c>
      <c r="D7" s="8">
        <v>0.8</v>
      </c>
      <c r="E7" s="3">
        <v>1</v>
      </c>
      <c r="F7" s="326">
        <v>200</v>
      </c>
      <c r="G7" s="347"/>
    </row>
    <row r="8" spans="1:7" s="12" customFormat="1" x14ac:dyDescent="0.25">
      <c r="A8" s="322"/>
      <c r="C8" s="12" t="s">
        <v>243</v>
      </c>
      <c r="F8" s="323"/>
    </row>
    <row r="9" spans="1:7" x14ac:dyDescent="0.25">
      <c r="A9" s="322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4">
        <f>År1</f>
        <v>2019</v>
      </c>
      <c r="C11" s="154">
        <f>År2</f>
        <v>2030</v>
      </c>
      <c r="D11" s="154">
        <f>År3</f>
        <v>2050</v>
      </c>
      <c r="E11" s="154">
        <f>År1</f>
        <v>2019</v>
      </c>
      <c r="F11" s="154">
        <f>År2</f>
        <v>2030</v>
      </c>
      <c r="G11" s="154">
        <f>År3</f>
        <v>2050</v>
      </c>
    </row>
    <row r="12" spans="1:7" x14ac:dyDescent="0.25">
      <c r="A12" s="108" t="s">
        <v>99</v>
      </c>
      <c r="B12" s="1">
        <f>C4*$F4</f>
        <v>440.29999999999995</v>
      </c>
      <c r="C12" s="1">
        <f t="shared" ref="C12:D12" si="0">D4*$F4</f>
        <v>72634.700000000026</v>
      </c>
      <c r="D12" s="1">
        <f t="shared" si="0"/>
        <v>97569.000000000029</v>
      </c>
      <c r="E12" s="1">
        <f>C5*$F$5</f>
        <v>0.6</v>
      </c>
      <c r="F12" s="1">
        <f t="shared" ref="F12:G12" si="1">D5*$F$5</f>
        <v>1624.8</v>
      </c>
      <c r="G12" s="1">
        <f t="shared" si="1"/>
        <v>24372</v>
      </c>
    </row>
    <row r="13" spans="1:7" x14ac:dyDescent="0.25">
      <c r="A13" s="108" t="s">
        <v>100</v>
      </c>
      <c r="B13" s="1">
        <f>C6*$F6</f>
        <v>17</v>
      </c>
      <c r="C13" s="1">
        <f t="shared" ref="C13:D13" si="2">D6*$F6</f>
        <v>480</v>
      </c>
      <c r="D13" s="1">
        <f t="shared" si="2"/>
        <v>600</v>
      </c>
      <c r="E13" s="1">
        <f>C7*$F$7</f>
        <v>0</v>
      </c>
      <c r="F13" s="1">
        <f t="shared" ref="F13:G13" si="3">D7*$F$7</f>
        <v>160</v>
      </c>
      <c r="G13" s="1">
        <f t="shared" si="3"/>
        <v>200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topLeftCell="A2" zoomScale="103" workbookViewId="0">
      <selection activeCell="E41" sqref="E41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31" t="s">
        <v>281</v>
      </c>
    </row>
    <row r="2" spans="1:10" ht="15.75" x14ac:dyDescent="0.25">
      <c r="A2" s="229" t="s">
        <v>25</v>
      </c>
    </row>
    <row r="3" spans="1:10" x14ac:dyDescent="0.25">
      <c r="A3" s="6" t="s">
        <v>311</v>
      </c>
    </row>
    <row r="4" spans="1:10" x14ac:dyDescent="0.25">
      <c r="A4" s="25" t="s">
        <v>155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332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222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 t="e">
        <f>SUMIFS('Resultat-Produktion &amp; forbrug'!$N$3:$N$1000,'Resultat-Produktion &amp; forbrug'!$A$3:$A$1000,Adfærd!$G5,'Resultat-Produktion &amp; forbrug'!$D$3:$D$1000,Adfærd!H$4)</f>
        <v>#REF!</v>
      </c>
      <c r="I5" s="10" t="e">
        <f>SUMIFS('Resultat-Produktion &amp; forbrug'!$N$3:$N$1000,'Resultat-Produktion &amp; forbrug'!$A$3:$A$1000,Adfærd!$G5,'Resultat-Produktion &amp; forbrug'!$D$3:$D$1000,Adfærd!I$4)</f>
        <v>#REF!</v>
      </c>
      <c r="J5" s="10" t="e">
        <f>SUMIFS('Resultat-Produktion &amp; forbrug'!$N$3:$N$1000,'Resultat-Produktion &amp; forbrug'!$A$3:$A$1000,Adfærd!$G5,'Resultat-Produktion &amp; forbrug'!$D$3:$D$1000,Adfærd!J$4)</f>
        <v>#REF!</v>
      </c>
    </row>
    <row r="6" spans="1:10" x14ac:dyDescent="0.25">
      <c r="A6" s="2" t="s">
        <v>107</v>
      </c>
      <c r="B6" s="87">
        <v>0</v>
      </c>
      <c r="C6" s="3"/>
      <c r="D6" s="3"/>
      <c r="F6" s="25" t="str">
        <f t="shared" ref="F6:F7" si="0">A6</f>
        <v>Muslinger</v>
      </c>
      <c r="G6" s="25" t="s">
        <v>107</v>
      </c>
      <c r="H6" s="10" t="e">
        <f>SUMIFS('Resultat-Produktion &amp; forbrug'!$N$3:$N$1000,'Resultat-Produktion &amp; forbrug'!$A$3:$A$1000,Adfærd!$G6,'Resultat-Produktion &amp; forbrug'!$D$3:$D$1000,Adfærd!H$4)</f>
        <v>#REF!</v>
      </c>
      <c r="I6" s="10" t="e">
        <f>SUMIFS('Resultat-Produktion &amp; forbrug'!$N$3:$N$1000,'Resultat-Produktion &amp; forbrug'!$A$3:$A$1000,Adfærd!$G6,'Resultat-Produktion &amp; forbrug'!$D$3:$D$1000,Adfærd!I$4)</f>
        <v>#REF!</v>
      </c>
      <c r="J6" s="10" t="e">
        <f>SUMIFS('Resultat-Produktion &amp; forbrug'!$N$3:$N$1000,'Resultat-Produktion &amp; forbrug'!$A$3:$A$1000,Adfærd!$G6,'Resultat-Produktion &amp; forbrug'!$D$3:$D$1000,Adfærd!J$4)</f>
        <v>#REF!</v>
      </c>
    </row>
    <row r="7" spans="1:10" x14ac:dyDescent="0.25">
      <c r="A7" s="2" t="s">
        <v>100</v>
      </c>
      <c r="B7" s="87">
        <v>0</v>
      </c>
      <c r="C7" s="3"/>
      <c r="D7" s="3"/>
      <c r="F7" s="25" t="str">
        <f t="shared" si="0"/>
        <v>Tang</v>
      </c>
      <c r="G7" s="25" t="s">
        <v>100</v>
      </c>
      <c r="H7" s="10" t="e">
        <f>SUMIFS('Resultat-Produktion &amp; forbrug'!$N$3:$N$1000,'Resultat-Produktion &amp; forbrug'!$A$3:$A$1000,Adfærd!$G7,'Resultat-Produktion &amp; forbrug'!$D$3:$D$1000,Adfærd!H$4)</f>
        <v>#REF!</v>
      </c>
      <c r="I7" s="10" t="e">
        <f>SUMIFS('Resultat-Produktion &amp; forbrug'!$N$3:$N$1000,'Resultat-Produktion &amp; forbrug'!$A$3:$A$1000,Adfærd!$G7,'Resultat-Produktion &amp; forbrug'!$D$3:$D$1000,Adfærd!I$4)</f>
        <v>#REF!</v>
      </c>
      <c r="J7" s="10" t="e">
        <f>SUMIFS('Resultat-Produktion &amp; forbrug'!$N$3:$N$1000,'Resultat-Produktion &amp; forbrug'!$A$3:$A$1000,Adfærd!$G7,'Resultat-Produktion &amp; forbrug'!$D$3:$D$1000,Adfærd!J$4)</f>
        <v>#REF!</v>
      </c>
    </row>
    <row r="8" spans="1:10" x14ac:dyDescent="0.25">
      <c r="A8" s="2" t="s">
        <v>208</v>
      </c>
      <c r="B8" s="87">
        <v>0</v>
      </c>
      <c r="C8" s="3"/>
      <c r="D8" s="3"/>
    </row>
    <row r="9" spans="1:10" x14ac:dyDescent="0.25">
      <c r="A9" s="1" t="s">
        <v>223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330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3" t="s">
        <v>331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154</v>
      </c>
      <c r="B15" s="6"/>
      <c r="C15" s="6"/>
      <c r="D15" s="6"/>
      <c r="F15" s="1" t="s">
        <v>95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207</v>
      </c>
    </row>
    <row r="23" spans="1:9" hidden="1" x14ac:dyDescent="0.25">
      <c r="A23" s="2" t="s">
        <v>107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209</v>
      </c>
    </row>
    <row r="24" spans="1:9" hidden="1" x14ac:dyDescent="0.25">
      <c r="A24" s="2" t="s">
        <v>100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208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117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323</v>
      </c>
    </row>
    <row r="27" spans="1:9" hidden="1" x14ac:dyDescent="0.25">
      <c r="A27" s="2" t="s">
        <v>97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14" t="s">
        <v>30</v>
      </c>
      <c r="B31" s="313">
        <f>SUM(B17:B30)</f>
        <v>1267</v>
      </c>
      <c r="C31" s="313">
        <f>SUM(C17:C30)</f>
        <v>1267</v>
      </c>
      <c r="D31" s="313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153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zoomScale="85" zoomScaleNormal="85" workbookViewId="0">
      <selection activeCell="D18" sqref="D18"/>
    </sheetView>
  </sheetViews>
  <sheetFormatPr defaultColWidth="9.140625" defaultRowHeight="12" x14ac:dyDescent="0.2"/>
  <cols>
    <col min="1" max="1" width="15.85546875" style="125" customWidth="1"/>
    <col min="2" max="2" width="10.140625" style="125" bestFit="1" customWidth="1"/>
    <col min="3" max="3" width="10.140625" style="125" customWidth="1"/>
    <col min="4" max="4" width="11.85546875" style="125" bestFit="1" customWidth="1"/>
    <col min="5" max="5" width="11" style="125" customWidth="1"/>
    <col min="6" max="6" width="13.42578125" style="125" customWidth="1"/>
    <col min="7" max="7" width="24.28515625" style="125" customWidth="1"/>
    <col min="8" max="8" width="10" style="125" hidden="1" customWidth="1"/>
    <col min="9" max="12" width="9.28515625" style="125" hidden="1" customWidth="1"/>
    <col min="13" max="13" width="24.28515625" style="125" hidden="1" customWidth="1"/>
    <col min="14" max="14" width="12.7109375" style="125" hidden="1" customWidth="1"/>
    <col min="15" max="15" width="9.28515625" style="125" hidden="1" customWidth="1"/>
    <col min="16" max="16" width="9.85546875" style="125" hidden="1" customWidth="1"/>
    <col min="17" max="22" width="0" style="125" hidden="1" customWidth="1"/>
    <col min="23" max="23" width="2.5703125" style="125" hidden="1" customWidth="1"/>
    <col min="24" max="16384" width="9.140625" style="125"/>
  </cols>
  <sheetData>
    <row r="1" spans="1:29" ht="12.75" thickBot="1" x14ac:dyDescent="0.25">
      <c r="A1" s="230" t="s">
        <v>281</v>
      </c>
    </row>
    <row r="2" spans="1:29" ht="46.5" customHeight="1" x14ac:dyDescent="0.2">
      <c r="A2" s="234" t="s">
        <v>139</v>
      </c>
      <c r="B2" s="234">
        <f>År1</f>
        <v>2019</v>
      </c>
      <c r="C2" s="234">
        <f>År2</f>
        <v>2030</v>
      </c>
      <c r="D2" s="234">
        <f>År3</f>
        <v>2050</v>
      </c>
      <c r="E2" s="123"/>
      <c r="F2" s="351" t="s">
        <v>335</v>
      </c>
      <c r="G2" s="352"/>
      <c r="M2" s="124"/>
      <c r="Z2" s="122" t="s">
        <v>151</v>
      </c>
      <c r="AA2" s="123">
        <f>År1</f>
        <v>2019</v>
      </c>
      <c r="AB2" s="123">
        <f>År2</f>
        <v>2030</v>
      </c>
      <c r="AC2" s="123">
        <f>År3</f>
        <v>2050</v>
      </c>
    </row>
    <row r="3" spans="1:29" x14ac:dyDescent="0.2">
      <c r="A3" s="180" t="s">
        <v>136</v>
      </c>
      <c r="B3" s="235" t="e">
        <f>N12/SUMIFS('Resultater - Danmark'!H$3:H$482,'Resultater - Danmark'!$F$3:$F$482,$A3)</f>
        <v>#REF!</v>
      </c>
      <c r="C3" s="181">
        <v>0.9</v>
      </c>
      <c r="D3" s="181">
        <f t="shared" ref="D3:D5" si="0">C3</f>
        <v>0.9</v>
      </c>
      <c r="E3" s="158"/>
      <c r="F3" s="174" t="s">
        <v>104</v>
      </c>
      <c r="G3" s="175">
        <v>0.85</v>
      </c>
      <c r="H3" s="150"/>
      <c r="N3" s="250"/>
      <c r="Z3" s="125" t="s">
        <v>111</v>
      </c>
      <c r="AA3" s="126" t="e">
        <f>SUM(C12:C14)/SUM(C12:C15)</f>
        <v>#REF!</v>
      </c>
      <c r="AB3" s="126" t="e">
        <f>SUM(D12:D14)/SUM(D12:D15)</f>
        <v>#REF!</v>
      </c>
      <c r="AC3" s="126" t="e">
        <f>SUM(E12:E14)/SUM(E12:E15)</f>
        <v>#REF!</v>
      </c>
    </row>
    <row r="4" spans="1:29" x14ac:dyDescent="0.2">
      <c r="A4" s="180" t="s">
        <v>137</v>
      </c>
      <c r="B4" s="235" t="e">
        <f>N13/SUMIFS('Resultater - Danmark'!H$3:H$482,'Resultater - Danmark'!$F$3:$F$482,$A4)</f>
        <v>#REF!</v>
      </c>
      <c r="C4" s="181">
        <v>0.9</v>
      </c>
      <c r="D4" s="181">
        <f t="shared" si="0"/>
        <v>0.9</v>
      </c>
      <c r="E4" s="158"/>
      <c r="F4" s="174"/>
      <c r="G4" s="175"/>
      <c r="N4" s="250"/>
      <c r="Z4" s="124" t="s">
        <v>204</v>
      </c>
    </row>
    <row r="5" spans="1:29" x14ac:dyDescent="0.2">
      <c r="A5" s="180" t="s">
        <v>138</v>
      </c>
      <c r="B5" s="235">
        <v>0.5</v>
      </c>
      <c r="C5" s="181">
        <v>0.9</v>
      </c>
      <c r="D5" s="181">
        <f t="shared" si="0"/>
        <v>0.9</v>
      </c>
      <c r="E5" s="158"/>
      <c r="F5" s="174"/>
      <c r="G5" s="175"/>
      <c r="H5" s="127"/>
      <c r="N5" s="250"/>
      <c r="Z5" s="125" t="s">
        <v>136</v>
      </c>
      <c r="AA5" s="147" t="e">
        <f t="shared" ref="AA5:AC6" si="1">C12/C$29</f>
        <v>#REF!</v>
      </c>
      <c r="AB5" s="147" t="e">
        <f t="shared" si="1"/>
        <v>#REF!</v>
      </c>
      <c r="AC5" s="147" t="e">
        <f t="shared" si="1"/>
        <v>#REF!</v>
      </c>
    </row>
    <row r="6" spans="1:29" x14ac:dyDescent="0.2">
      <c r="A6" s="180" t="s">
        <v>141</v>
      </c>
      <c r="B6" s="235" t="e">
        <f>N15/SUMIFS('Resultater - Danmark'!H$3:H$482,'Resultater - Danmark'!$F$3:$F$482,$A6)</f>
        <v>#REF!</v>
      </c>
      <c r="C6" s="181" t="e">
        <f t="shared" ref="C6" si="2">B6</f>
        <v>#REF!</v>
      </c>
      <c r="D6" s="181" t="e">
        <f>C6</f>
        <v>#REF!</v>
      </c>
      <c r="E6" s="158"/>
      <c r="F6" s="174"/>
      <c r="G6" s="175"/>
      <c r="H6" s="128"/>
      <c r="Z6" s="129" t="s">
        <v>137</v>
      </c>
      <c r="AA6" s="147" t="e">
        <f t="shared" si="1"/>
        <v>#REF!</v>
      </c>
      <c r="AB6" s="147" t="e">
        <f t="shared" si="1"/>
        <v>#REF!</v>
      </c>
      <c r="AC6" s="147" t="e">
        <f t="shared" si="1"/>
        <v>#REF!</v>
      </c>
    </row>
    <row r="7" spans="1:29" x14ac:dyDescent="0.2">
      <c r="A7" s="180" t="s">
        <v>102</v>
      </c>
      <c r="B7" s="235" t="e">
        <f>N16/SUMIFS('Resultater - Danmark'!H$3:H$482,'Resultater - Danmark'!$F$3:$F$482,$A7)</f>
        <v>#REF!</v>
      </c>
      <c r="C7" s="181">
        <v>0.5</v>
      </c>
      <c r="D7" s="181">
        <f>C7</f>
        <v>0.5</v>
      </c>
      <c r="F7" s="174"/>
      <c r="G7" s="176"/>
      <c r="N7" s="159"/>
    </row>
    <row r="8" spans="1:29" ht="12.75" thickBot="1" x14ac:dyDescent="0.25">
      <c r="A8" s="180" t="s">
        <v>210</v>
      </c>
      <c r="B8" s="235">
        <v>0</v>
      </c>
      <c r="C8" s="181">
        <v>0.1</v>
      </c>
      <c r="D8" s="181">
        <v>0.2</v>
      </c>
      <c r="F8" s="177"/>
      <c r="G8" s="178"/>
      <c r="I8" s="159"/>
    </row>
    <row r="10" spans="1:29" ht="23.45" customHeight="1" x14ac:dyDescent="0.2">
      <c r="A10" s="129"/>
      <c r="B10" s="130"/>
      <c r="C10" s="349" t="s">
        <v>212</v>
      </c>
      <c r="D10" s="349"/>
      <c r="E10" s="349"/>
      <c r="F10" s="348" t="s">
        <v>336</v>
      </c>
      <c r="G10" s="348"/>
      <c r="J10" s="350" t="s">
        <v>213</v>
      </c>
      <c r="K10" s="350"/>
      <c r="L10" s="350"/>
    </row>
    <row r="11" spans="1:29" x14ac:dyDescent="0.2">
      <c r="C11" s="131">
        <f>År1</f>
        <v>2019</v>
      </c>
      <c r="D11" s="131">
        <f>År2</f>
        <v>2030</v>
      </c>
      <c r="E11" s="131">
        <f>År3</f>
        <v>2050</v>
      </c>
      <c r="F11" s="131">
        <v>2030</v>
      </c>
      <c r="G11" s="131">
        <v>2050</v>
      </c>
      <c r="H11" s="131" t="s">
        <v>106</v>
      </c>
      <c r="I11" s="131" t="s">
        <v>145</v>
      </c>
      <c r="J11" s="131">
        <f>År1</f>
        <v>2019</v>
      </c>
      <c r="K11" s="131">
        <f>År2</f>
        <v>2030</v>
      </c>
      <c r="L11" s="131">
        <f>År3</f>
        <v>2050</v>
      </c>
      <c r="M11" s="124" t="s">
        <v>216</v>
      </c>
    </row>
    <row r="12" spans="1:29" x14ac:dyDescent="0.2">
      <c r="A12" s="132" t="s">
        <v>136</v>
      </c>
      <c r="B12" s="132" t="s">
        <v>140</v>
      </c>
      <c r="C12" s="133" t="e">
        <f>SUMIFS('Resultater - Danmark'!H$3:H$482,'Resultater - Danmark'!$F$3:$F$482,$A12)*B3</f>
        <v>#REF!</v>
      </c>
      <c r="D12" s="133" t="e">
        <f>SUMIFS('Resultater - Danmark'!I$3:I$482,'Resultater - Danmark'!$F$3:$F$482,$A12)*C3</f>
        <v>#REF!</v>
      </c>
      <c r="E12" s="133" t="e">
        <f>SUMIFS('Resultater - Danmark'!J$3:J$482,'Resultater - Danmark'!$F$3:$F$482,$A12)*D3</f>
        <v>#REF!</v>
      </c>
      <c r="F12" s="243" t="e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#REF!</v>
      </c>
      <c r="G12" s="243" t="e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#REF!</v>
      </c>
      <c r="H12" s="134">
        <f>VLOOKUP(A12,[1]Biogasudbytte!$A$2:$C$18,3,FALSE)</f>
        <v>0.05</v>
      </c>
      <c r="I12" s="135">
        <f>VLOOKUP(A12,[1]Biogasudbytte!$A$2:$C$18,2,FALSE)*IFERROR(VLOOKUP(A12,$F$3:$G$8,2,FALSE),1)</f>
        <v>12</v>
      </c>
      <c r="J12" s="134" t="e">
        <f t="shared" ref="J12:J28" si="3">C12/C$29</f>
        <v>#REF!</v>
      </c>
      <c r="K12" s="134" t="e">
        <f t="shared" ref="K12:K28" si="4">D12/D$29</f>
        <v>#REF!</v>
      </c>
      <c r="L12" s="134" t="e">
        <f t="shared" ref="L12:L28" si="5">E12/E$29</f>
        <v>#REF!</v>
      </c>
      <c r="M12" s="125" t="s">
        <v>214</v>
      </c>
      <c r="N12" s="125">
        <f>S12+2/3*T12</f>
        <v>2914869.3333333335</v>
      </c>
      <c r="O12" s="152" t="e">
        <f t="shared" ref="O12:O16" si="6">N12-C12</f>
        <v>#REF!</v>
      </c>
      <c r="P12" s="141" t="e">
        <f>C12*I12</f>
        <v>#REF!</v>
      </c>
      <c r="Q12" s="125" t="e">
        <f>P12*35.9/1000000000</f>
        <v>#REF!</v>
      </c>
      <c r="S12" s="125">
        <v>2517134</v>
      </c>
      <c r="T12" s="125">
        <v>596603</v>
      </c>
      <c r="Y12" s="152"/>
      <c r="Z12" s="152"/>
      <c r="AA12" s="152"/>
    </row>
    <row r="13" spans="1:29" x14ac:dyDescent="0.2">
      <c r="A13" s="127" t="s">
        <v>137</v>
      </c>
      <c r="B13" s="127" t="s">
        <v>140</v>
      </c>
      <c r="C13" s="136" t="e">
        <f>SUMIFS('Resultater - Danmark'!H$3:H$482,'Resultater - Danmark'!$F$3:$F$482,$A13)*B4</f>
        <v>#REF!</v>
      </c>
      <c r="D13" s="136" t="e">
        <f>SUMIFS('Resultater - Danmark'!I$3:I$482,'Resultater - Danmark'!$F$3:$F$482,$A13)*C4</f>
        <v>#REF!</v>
      </c>
      <c r="E13" s="136" t="e">
        <f>SUMIFS('Resultater - Danmark'!J$3:J$482,'Resultater - Danmark'!$F$3:$F$482,$A13)*D4</f>
        <v>#REF!</v>
      </c>
      <c r="F13" s="244" t="e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#REF!</v>
      </c>
      <c r="G13" s="244" t="e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#REF!</v>
      </c>
      <c r="H13" s="137">
        <f>VLOOKUP(A13,[1]Biogasudbytte!$A$2:$C$18,3,FALSE)</f>
        <v>7.5999999999999998E-2</v>
      </c>
      <c r="I13" s="138">
        <f>VLOOKUP(A13,[1]Biogasudbytte!$A$2:$C$18,2,FALSE)*IFERROR(VLOOKUP(A13,$F$3:$G$8,2,FALSE),1)</f>
        <v>14.1</v>
      </c>
      <c r="J13" s="137" t="e">
        <f t="shared" si="3"/>
        <v>#REF!</v>
      </c>
      <c r="K13" s="137" t="e">
        <f t="shared" si="4"/>
        <v>#REF!</v>
      </c>
      <c r="L13" s="137" t="e">
        <f t="shared" si="5"/>
        <v>#REF!</v>
      </c>
      <c r="M13" s="125" t="s">
        <v>215</v>
      </c>
      <c r="N13" s="125">
        <f>S13+1/3*T13</f>
        <v>4353509.666666667</v>
      </c>
      <c r="O13" s="152" t="e">
        <f t="shared" si="6"/>
        <v>#REF!</v>
      </c>
      <c r="P13" s="141" t="e">
        <f t="shared" ref="P13:P28" si="7">C13*I13</f>
        <v>#REF!</v>
      </c>
      <c r="Q13" s="125" t="e">
        <f t="shared" ref="Q13:Q28" si="8">P13*35.9/1000000000</f>
        <v>#REF!</v>
      </c>
      <c r="S13" s="125">
        <v>4154642</v>
      </c>
      <c r="T13" s="125">
        <v>596603</v>
      </c>
    </row>
    <row r="14" spans="1:29" x14ac:dyDescent="0.2">
      <c r="A14" s="127" t="s">
        <v>138</v>
      </c>
      <c r="B14" s="127" t="s">
        <v>140</v>
      </c>
      <c r="C14" s="136" t="e">
        <f>SUMIFS('Resultater - Danmark'!H$3:H$482,'Resultater - Danmark'!$F$3:$F$482,$A14)*B5</f>
        <v>#REF!</v>
      </c>
      <c r="D14" s="136" t="e">
        <f>SUMIFS('Resultater - Danmark'!I$3:I$482,'Resultater - Danmark'!$F$3:$F$482,$A14)*C5</f>
        <v>#REF!</v>
      </c>
      <c r="E14" s="136" t="e">
        <f>SUMIFS('Resultater - Danmark'!J$3:J$482,'Resultater - Danmark'!$F$3:$F$482,$A14)*D5</f>
        <v>#REF!</v>
      </c>
      <c r="F14" s="244" t="e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#REF!</v>
      </c>
      <c r="G14" s="244" t="e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#REF!</v>
      </c>
      <c r="H14" s="137">
        <f>VLOOKUP(A14,[1]Biogasudbytte!$A$2:$C$18,3,FALSE)</f>
        <v>6.3E-2</v>
      </c>
      <c r="I14" s="138">
        <f>VLOOKUP(A14,[1]Biogasudbytte!$A$2:$C$18,2,FALSE)*IFERROR(VLOOKUP(A14,$F$3:$G$8,2,FALSE),1)</f>
        <v>13.1</v>
      </c>
      <c r="J14" s="137" t="e">
        <f t="shared" si="3"/>
        <v>#REF!</v>
      </c>
      <c r="K14" s="137" t="e">
        <f t="shared" si="4"/>
        <v>#REF!</v>
      </c>
      <c r="L14" s="137" t="e">
        <f t="shared" si="5"/>
        <v>#REF!</v>
      </c>
      <c r="M14" s="129" t="s">
        <v>146</v>
      </c>
      <c r="N14" s="130">
        <v>11417</v>
      </c>
      <c r="O14" s="152" t="e">
        <f t="shared" si="6"/>
        <v>#REF!</v>
      </c>
      <c r="P14" s="141" t="e">
        <f t="shared" si="7"/>
        <v>#REF!</v>
      </c>
      <c r="Q14" s="125" t="e">
        <f t="shared" si="8"/>
        <v>#REF!</v>
      </c>
    </row>
    <row r="15" spans="1:29" x14ac:dyDescent="0.2">
      <c r="A15" s="127" t="s">
        <v>141</v>
      </c>
      <c r="B15" s="127" t="s">
        <v>140</v>
      </c>
      <c r="C15" s="136" t="e">
        <f>SUMIFS('Resultater - Danmark'!H$3:H$482,'Resultater - Danmark'!$F$3:$F$482,$A15)*B6</f>
        <v>#REF!</v>
      </c>
      <c r="D15" s="136" t="e">
        <f>SUMIFS('Resultater - Danmark'!I$3:I$482,'Resultater - Danmark'!$F$3:$F$482,$A15)*C6</f>
        <v>#REF!</v>
      </c>
      <c r="E15" s="136" t="e">
        <f>SUMIFS('Resultater - Danmark'!J$3:J$482,'Resultater - Danmark'!$F$3:$F$482,$A15)*D6</f>
        <v>#REF!</v>
      </c>
      <c r="F15" s="244" t="e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#REF!</v>
      </c>
      <c r="G15" s="244" t="e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#REF!</v>
      </c>
      <c r="H15" s="137">
        <f>VLOOKUP(A15,[1]Biogasudbytte!$A$2:$C$18,3,FALSE)</f>
        <v>0.06</v>
      </c>
      <c r="I15" s="138">
        <f>VLOOKUP(A15,[1]Biogasudbytte!$A$2:$C$18,2,FALSE)*IFERROR(VLOOKUP(A15,$F$3:$G$8,2,FALSE),1)</f>
        <v>13.9</v>
      </c>
      <c r="J15" s="137" t="e">
        <f t="shared" si="3"/>
        <v>#REF!</v>
      </c>
      <c r="K15" s="137" t="e">
        <f t="shared" si="4"/>
        <v>#REF!</v>
      </c>
      <c r="L15" s="137" t="e">
        <f t="shared" si="5"/>
        <v>#REF!</v>
      </c>
      <c r="M15" s="139" t="s">
        <v>301</v>
      </c>
      <c r="N15" s="140">
        <f>SUM(S15:Z15)</f>
        <v>2668834</v>
      </c>
      <c r="O15" s="152" t="e">
        <f t="shared" si="6"/>
        <v>#REF!</v>
      </c>
      <c r="P15" s="141" t="e">
        <f>C15*I15</f>
        <v>#REF!</v>
      </c>
      <c r="Q15" s="125" t="e">
        <f t="shared" si="8"/>
        <v>#REF!</v>
      </c>
      <c r="S15" s="167">
        <v>2666649</v>
      </c>
      <c r="T15" s="125">
        <v>2185</v>
      </c>
      <c r="U15" s="167" t="s">
        <v>303</v>
      </c>
      <c r="V15" s="129"/>
      <c r="W15" s="129"/>
    </row>
    <row r="16" spans="1:29" x14ac:dyDescent="0.2">
      <c r="A16" s="127" t="s">
        <v>102</v>
      </c>
      <c r="B16" s="127" t="s">
        <v>140</v>
      </c>
      <c r="C16" s="136" t="e">
        <f>SUMIFS('Resultater - Danmark'!H$3:H$482,'Resultater - Danmark'!$F$3:$F$482,$A16)*B7</f>
        <v>#REF!</v>
      </c>
      <c r="D16" s="136" t="e">
        <f>SUMIFS('Resultater - Danmark'!I$3:I$482,'Resultater - Danmark'!$F$3:$F$482,$A16)*C7</f>
        <v>#REF!</v>
      </c>
      <c r="E16" s="136" t="e">
        <f>SUMIFS('Resultater - Danmark'!J$3:J$482,'Resultater - Danmark'!$F$3:$F$482,$A16)*D7</f>
        <v>#REF!</v>
      </c>
      <c r="F16" s="244" t="e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#REF!</v>
      </c>
      <c r="G16" s="244" t="e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#REF!</v>
      </c>
      <c r="H16" s="137">
        <f>VLOOKUP(A16,[1]Biogasudbytte!$A$2:$C$18,3,FALSE)</f>
        <v>0.3</v>
      </c>
      <c r="I16" s="138">
        <f>VLOOKUP(A16,[1]Biogasudbytte!$A$2:$C$18,2,FALSE)*IFERROR(VLOOKUP(A16,$F$3:$G$8,2,FALSE),1)</f>
        <v>60</v>
      </c>
      <c r="J16" s="137" t="e">
        <f t="shared" si="3"/>
        <v>#REF!</v>
      </c>
      <c r="K16" s="137" t="e">
        <f t="shared" si="4"/>
        <v>#REF!</v>
      </c>
      <c r="L16" s="137" t="e">
        <f t="shared" si="5"/>
        <v>#REF!</v>
      </c>
      <c r="M16" s="248" t="s">
        <v>157</v>
      </c>
      <c r="N16" s="249">
        <v>757087</v>
      </c>
      <c r="O16" s="152" t="e">
        <f t="shared" si="6"/>
        <v>#REF!</v>
      </c>
      <c r="P16" s="141" t="e">
        <f t="shared" si="7"/>
        <v>#REF!</v>
      </c>
      <c r="Q16" s="125" t="e">
        <f t="shared" si="8"/>
        <v>#REF!</v>
      </c>
    </row>
    <row r="17" spans="1:23" x14ac:dyDescent="0.2">
      <c r="A17" s="128" t="s">
        <v>210</v>
      </c>
      <c r="B17" s="127" t="s">
        <v>140</v>
      </c>
      <c r="C17" s="136" t="e">
        <f>SUMIFS('Resultater - Danmark'!H$3:H$482,'Resultater - Danmark'!$F$3:$F$482,$A17)*B8</f>
        <v>#REF!</v>
      </c>
      <c r="D17" s="136" t="e">
        <f>SUMIFS('Resultater - Danmark'!I$3:I$482,'Resultater - Danmark'!$F$3:$F$482,$A17)*C8</f>
        <v>#REF!</v>
      </c>
      <c r="E17" s="136" t="e">
        <f>SUMIFS('Resultater - Danmark'!J$3:J$482,'Resultater - Danmark'!$F$3:$F$482,$A17)*D8</f>
        <v>#REF!</v>
      </c>
      <c r="F17" s="244" t="e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#REF!</v>
      </c>
      <c r="G17" s="244" t="e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#REF!</v>
      </c>
      <c r="H17" s="137">
        <f>VLOOKUP(A17,[1]Biogasudbytte!$A$2:$C$18,3,FALSE)</f>
        <v>4.2763387558472386E-2</v>
      </c>
      <c r="I17" s="138">
        <f>VLOOKUP(A17,[1]Biogasudbytte!$A$2:$C$18,2,FALSE)*IFERROR(VLOOKUP(A17,$F$3:$G$8,2,FALSE),1)</f>
        <v>15.822453396634783</v>
      </c>
      <c r="J17" s="137" t="e">
        <f t="shared" si="3"/>
        <v>#REF!</v>
      </c>
      <c r="K17" s="137" t="e">
        <f t="shared" si="4"/>
        <v>#REF!</v>
      </c>
      <c r="L17" s="137" t="e">
        <f t="shared" si="5"/>
        <v>#REF!</v>
      </c>
      <c r="M17" s="125" t="s">
        <v>150</v>
      </c>
      <c r="N17" s="141"/>
      <c r="O17" s="152"/>
      <c r="P17" s="141" t="e">
        <f t="shared" si="7"/>
        <v>#REF!</v>
      </c>
      <c r="Q17" s="125" t="e">
        <f t="shared" si="8"/>
        <v>#REF!</v>
      </c>
    </row>
    <row r="18" spans="1:23" x14ac:dyDescent="0.2">
      <c r="A18" s="127" t="s">
        <v>103</v>
      </c>
      <c r="B18" s="127" t="s">
        <v>140</v>
      </c>
      <c r="C18" s="251">
        <f t="shared" ref="C18" si="9">N18</f>
        <v>729134</v>
      </c>
      <c r="D18" s="252">
        <v>363995</v>
      </c>
      <c r="E18" s="252">
        <v>369777</v>
      </c>
      <c r="F18" s="244" t="e">
        <f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#REF!</v>
      </c>
      <c r="G18" s="244" t="e">
        <f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#REF!</v>
      </c>
      <c r="H18" s="137">
        <f>VLOOKUP(A18,[1]Biogasudbytte!$A$2:$C$18,3,FALSE)</f>
        <v>0.28000000000000003</v>
      </c>
      <c r="I18" s="138">
        <f>VLOOKUP(A18,[1]Biogasudbytte!$A$2:$C$18,2,FALSE)*IFERROR(VLOOKUP(A18,$F$3:$G$8,2,FALSE),1)</f>
        <v>94.9</v>
      </c>
      <c r="J18" s="137" t="e">
        <f t="shared" si="3"/>
        <v>#REF!</v>
      </c>
      <c r="K18" s="137" t="e">
        <f t="shared" si="4"/>
        <v>#REF!</v>
      </c>
      <c r="L18" s="137" t="e">
        <f t="shared" si="5"/>
        <v>#REF!</v>
      </c>
      <c r="M18" s="161" t="s">
        <v>299</v>
      </c>
      <c r="N18" s="162">
        <f>SUM(S18:Z18)</f>
        <v>729134</v>
      </c>
      <c r="O18" s="152">
        <f>N18-C18</f>
        <v>0</v>
      </c>
      <c r="P18" s="141">
        <f>C18*I18</f>
        <v>69194816.600000009</v>
      </c>
      <c r="Q18" s="125">
        <f>P18*35.9/1000000000</f>
        <v>2.48409391594</v>
      </c>
      <c r="S18" s="125">
        <v>338470</v>
      </c>
      <c r="T18" s="125">
        <v>199809</v>
      </c>
      <c r="U18" s="125">
        <v>60011</v>
      </c>
      <c r="V18" s="125">
        <v>44821</v>
      </c>
      <c r="W18" s="125">
        <v>86023</v>
      </c>
    </row>
    <row r="19" spans="1:23" x14ac:dyDescent="0.2">
      <c r="A19" s="127" t="s">
        <v>104</v>
      </c>
      <c r="B19" s="127" t="s">
        <v>140</v>
      </c>
      <c r="C19" s="251">
        <f>N19</f>
        <v>995654</v>
      </c>
      <c r="D19" s="252">
        <v>725968</v>
      </c>
      <c r="E19" s="252">
        <v>723032</v>
      </c>
      <c r="F19" s="244" t="e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#REF!</v>
      </c>
      <c r="G19" s="244" t="e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#REF!</v>
      </c>
      <c r="H19" s="137">
        <f>VLOOKUP(A19,[1]Biogasudbytte!$A$2:$C$18,3,FALSE)</f>
        <v>0.42</v>
      </c>
      <c r="I19" s="138">
        <f>VLOOKUP(A19,[1]Biogasudbytte!$A$2:$C$18,2,FALSE)*IFERROR(VLOOKUP(A19,$F$3:$G$8,2,FALSE),1)</f>
        <v>102.595</v>
      </c>
      <c r="J19" s="137" t="e">
        <f t="shared" si="3"/>
        <v>#REF!</v>
      </c>
      <c r="K19" s="137" t="e">
        <f t="shared" si="4"/>
        <v>#REF!</v>
      </c>
      <c r="L19" s="137" t="e">
        <f t="shared" si="5"/>
        <v>#REF!</v>
      </c>
      <c r="M19" s="163" t="s">
        <v>300</v>
      </c>
      <c r="N19" s="164">
        <f>SUM(S19:Z19)</f>
        <v>995654</v>
      </c>
      <c r="O19" s="152">
        <f>N19-C19</f>
        <v>0</v>
      </c>
      <c r="P19" s="141">
        <f>C19*I19</f>
        <v>102149122.13</v>
      </c>
      <c r="Q19" s="125">
        <f>P19*35.9/1000000000</f>
        <v>3.6671534844669997</v>
      </c>
      <c r="S19" s="125">
        <v>995654</v>
      </c>
    </row>
    <row r="20" spans="1:23" x14ac:dyDescent="0.2">
      <c r="A20" s="127" t="s">
        <v>68</v>
      </c>
      <c r="B20" s="127" t="s">
        <v>140</v>
      </c>
      <c r="C20" s="251">
        <f>N20</f>
        <v>75934</v>
      </c>
      <c r="D20" s="252">
        <v>75934</v>
      </c>
      <c r="E20" s="252">
        <v>75934</v>
      </c>
      <c r="F20" s="244" t="e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#REF!</v>
      </c>
      <c r="G20" s="244" t="e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#REF!</v>
      </c>
      <c r="H20" s="137">
        <f>VLOOKUP(A20,[1]Biogasudbytte!$A$2:$C$18,3,FALSE)</f>
        <v>0.85</v>
      </c>
      <c r="I20" s="138">
        <f>VLOOKUP(A20,[1]Biogasudbytte!$A$2:$C$18,2,FALSE)*IFERROR(VLOOKUP(A20,$F$3:$G$8,2,FALSE),1)</f>
        <v>160.6</v>
      </c>
      <c r="J20" s="137" t="e">
        <f t="shared" si="3"/>
        <v>#REF!</v>
      </c>
      <c r="K20" s="137" t="e">
        <f t="shared" si="4"/>
        <v>#REF!</v>
      </c>
      <c r="L20" s="137" t="e">
        <f t="shared" si="5"/>
        <v>#REF!</v>
      </c>
      <c r="M20" s="125" t="s">
        <v>147</v>
      </c>
      <c r="N20" s="141">
        <v>75934</v>
      </c>
      <c r="O20" s="152">
        <f t="shared" ref="O20:O28" si="10">N20-C20</f>
        <v>0</v>
      </c>
      <c r="P20" s="141">
        <f t="shared" si="7"/>
        <v>12195000.4</v>
      </c>
      <c r="Q20" s="125">
        <f t="shared" si="8"/>
        <v>0.43780051436</v>
      </c>
    </row>
    <row r="21" spans="1:23" x14ac:dyDescent="0.2">
      <c r="A21" s="127" t="s">
        <v>48</v>
      </c>
      <c r="B21" s="127" t="s">
        <v>140</v>
      </c>
      <c r="C21" s="251">
        <f t="shared" ref="C21:C28" si="11">N21</f>
        <v>3786</v>
      </c>
      <c r="D21" s="252">
        <v>3786</v>
      </c>
      <c r="E21" s="252">
        <v>3786</v>
      </c>
      <c r="F21" s="244" t="e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#REF!</v>
      </c>
      <c r="G21" s="244" t="e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#REF!</v>
      </c>
      <c r="H21" s="137">
        <f>VLOOKUP(A21,[1]Biogasudbytte!$A$2:$C$18,3,FALSE)</f>
        <v>0.31</v>
      </c>
      <c r="I21" s="138">
        <f>VLOOKUP(A21,[1]Biogasudbytte!$A$2:$C$18,2,FALSE)*IFERROR(VLOOKUP(A21,$F$3:$G$8,2,FALSE),1)</f>
        <v>95.4</v>
      </c>
      <c r="J21" s="137" t="e">
        <f t="shared" si="3"/>
        <v>#REF!</v>
      </c>
      <c r="K21" s="137" t="e">
        <f t="shared" si="4"/>
        <v>#REF!</v>
      </c>
      <c r="L21" s="137" t="e">
        <f t="shared" si="5"/>
        <v>#REF!</v>
      </c>
      <c r="M21" s="125" t="s">
        <v>158</v>
      </c>
      <c r="N21" s="141">
        <v>3786</v>
      </c>
      <c r="O21" s="152">
        <f t="shared" si="10"/>
        <v>0</v>
      </c>
      <c r="P21" s="141">
        <f t="shared" si="7"/>
        <v>361184.4</v>
      </c>
      <c r="Q21" s="125">
        <f t="shared" si="8"/>
        <v>1.2966519960000001E-2</v>
      </c>
    </row>
    <row r="22" spans="1:23" x14ac:dyDescent="0.2">
      <c r="A22" s="127" t="s">
        <v>51</v>
      </c>
      <c r="B22" s="127" t="s">
        <v>140</v>
      </c>
      <c r="C22" s="251">
        <f t="shared" si="11"/>
        <v>85677</v>
      </c>
      <c r="D22" s="252">
        <v>85677</v>
      </c>
      <c r="E22" s="252">
        <v>85677</v>
      </c>
      <c r="F22" s="244" t="e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#REF!</v>
      </c>
      <c r="G22" s="244" t="e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#REF!</v>
      </c>
      <c r="H22" s="137">
        <f>VLOOKUP(A22,[1]Biogasudbytte!$A$2:$C$18,3,FALSE)</f>
        <v>0.28000000000000003</v>
      </c>
      <c r="I22" s="138">
        <f>VLOOKUP(A22,[1]Biogasudbytte!$A$2:$C$18,2,FALSE)*IFERROR(VLOOKUP(A22,$F$3:$G$8,2,FALSE),1)</f>
        <v>51.25</v>
      </c>
      <c r="J22" s="137" t="e">
        <f t="shared" si="3"/>
        <v>#REF!</v>
      </c>
      <c r="K22" s="137" t="e">
        <f t="shared" si="4"/>
        <v>#REF!</v>
      </c>
      <c r="L22" s="137" t="e">
        <f t="shared" si="5"/>
        <v>#REF!</v>
      </c>
      <c r="M22" s="165" t="s">
        <v>302</v>
      </c>
      <c r="N22" s="166">
        <f>SUM(S22:Z22)</f>
        <v>85677</v>
      </c>
      <c r="O22" s="152">
        <f t="shared" si="10"/>
        <v>0</v>
      </c>
      <c r="P22" s="141">
        <f t="shared" si="7"/>
        <v>4390946.25</v>
      </c>
      <c r="Q22" s="125">
        <f t="shared" si="8"/>
        <v>0.15763497037499999</v>
      </c>
      <c r="S22" s="125">
        <v>66010</v>
      </c>
      <c r="T22" s="125">
        <v>2139</v>
      </c>
      <c r="U22" s="125">
        <v>14273</v>
      </c>
      <c r="V22" s="125">
        <v>3255</v>
      </c>
    </row>
    <row r="23" spans="1:23" x14ac:dyDescent="0.2">
      <c r="A23" s="127" t="s">
        <v>53</v>
      </c>
      <c r="B23" s="127" t="s">
        <v>140</v>
      </c>
      <c r="C23" s="251">
        <f t="shared" si="11"/>
        <v>330026</v>
      </c>
      <c r="D23" s="252">
        <v>330026</v>
      </c>
      <c r="E23" s="252">
        <v>330026</v>
      </c>
      <c r="F23" s="244" t="e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#REF!</v>
      </c>
      <c r="G23" s="244" t="e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#REF!</v>
      </c>
      <c r="H23" s="137">
        <f>VLOOKUP(A23,[1]Biogasudbytte!$A$2:$C$18,3,FALSE)</f>
        <v>0.3</v>
      </c>
      <c r="I23" s="138">
        <f>VLOOKUP(A23,[1]Biogasudbytte!$A$2:$C$18,2,FALSE)*IFERROR(VLOOKUP(A23,$F$3:$G$8,2,FALSE),1)</f>
        <v>100</v>
      </c>
      <c r="J23" s="137" t="e">
        <f t="shared" si="3"/>
        <v>#REF!</v>
      </c>
      <c r="K23" s="137" t="e">
        <f t="shared" si="4"/>
        <v>#REF!</v>
      </c>
      <c r="L23" s="137" t="e">
        <f t="shared" si="5"/>
        <v>#REF!</v>
      </c>
      <c r="M23" s="125" t="s">
        <v>148</v>
      </c>
      <c r="N23" s="141">
        <v>330026</v>
      </c>
      <c r="O23" s="152">
        <f t="shared" si="10"/>
        <v>0</v>
      </c>
      <c r="P23" s="141">
        <f t="shared" si="7"/>
        <v>33002600</v>
      </c>
      <c r="Q23" s="125">
        <f t="shared" si="8"/>
        <v>1.1847933399999999</v>
      </c>
    </row>
    <row r="24" spans="1:23" x14ac:dyDescent="0.2">
      <c r="A24" s="127" t="s">
        <v>52</v>
      </c>
      <c r="B24" s="127" t="s">
        <v>140</v>
      </c>
      <c r="C24" s="251">
        <f t="shared" si="11"/>
        <v>28645</v>
      </c>
      <c r="D24" s="252">
        <v>28645</v>
      </c>
      <c r="E24" s="252">
        <v>28645</v>
      </c>
      <c r="F24" s="244" t="e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#REF!</v>
      </c>
      <c r="G24" s="244" t="e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#REF!</v>
      </c>
      <c r="H24" s="137">
        <f>VLOOKUP(A24,[1]Biogasudbytte!$A$2:$C$18,3,FALSE)</f>
        <v>0.2</v>
      </c>
      <c r="I24" s="138">
        <f>VLOOKUP(A24,[1]Biogasudbytte!$A$2:$C$18,2,FALSE)*IFERROR(VLOOKUP(A24,$F$3:$G$8,2,FALSE),1)</f>
        <v>75.599999999999994</v>
      </c>
      <c r="J24" s="137" t="e">
        <f t="shared" si="3"/>
        <v>#REF!</v>
      </c>
      <c r="K24" s="137" t="e">
        <f t="shared" si="4"/>
        <v>#REF!</v>
      </c>
      <c r="L24" s="137" t="e">
        <f t="shared" si="5"/>
        <v>#REF!</v>
      </c>
      <c r="M24" s="125" t="s">
        <v>149</v>
      </c>
      <c r="N24" s="141">
        <v>28645</v>
      </c>
      <c r="O24" s="152">
        <f t="shared" si="10"/>
        <v>0</v>
      </c>
      <c r="P24" s="141">
        <f t="shared" si="7"/>
        <v>2165562</v>
      </c>
      <c r="Q24" s="125">
        <f t="shared" si="8"/>
        <v>7.7743675799999995E-2</v>
      </c>
    </row>
    <row r="25" spans="1:23" x14ac:dyDescent="0.2">
      <c r="A25" s="128" t="s">
        <v>163</v>
      </c>
      <c r="B25" s="127" t="s">
        <v>140</v>
      </c>
      <c r="C25" s="251">
        <f t="shared" si="11"/>
        <v>78</v>
      </c>
      <c r="D25" s="252">
        <v>78</v>
      </c>
      <c r="E25" s="252">
        <v>78</v>
      </c>
      <c r="F25" s="244" t="e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#REF!</v>
      </c>
      <c r="G25" s="244" t="e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#REF!</v>
      </c>
      <c r="H25" s="137">
        <f>VLOOKUP(A25,[1]Biogasudbytte!$A$2:$C$18,3,FALSE)</f>
        <v>0.3</v>
      </c>
      <c r="I25" s="138">
        <f>VLOOKUP(A25,[1]Biogasudbytte!$A$2:$C$18,2,FALSE)*IFERROR(VLOOKUP(A25,$F$3:$G$8,2,FALSE),1)</f>
        <v>47.3</v>
      </c>
      <c r="J25" s="137" t="e">
        <f t="shared" si="3"/>
        <v>#REF!</v>
      </c>
      <c r="K25" s="137" t="e">
        <f t="shared" si="4"/>
        <v>#REF!</v>
      </c>
      <c r="L25" s="137" t="e">
        <f t="shared" si="5"/>
        <v>#REF!</v>
      </c>
      <c r="M25" s="125" t="s">
        <v>164</v>
      </c>
      <c r="N25" s="141">
        <v>78</v>
      </c>
      <c r="O25" s="152">
        <f t="shared" si="10"/>
        <v>0</v>
      </c>
      <c r="P25" s="141">
        <f t="shared" si="7"/>
        <v>3689.3999999999996</v>
      </c>
      <c r="Q25" s="125">
        <f t="shared" si="8"/>
        <v>1.3244945999999998E-4</v>
      </c>
    </row>
    <row r="26" spans="1:23" x14ac:dyDescent="0.2">
      <c r="A26" s="128" t="s">
        <v>159</v>
      </c>
      <c r="B26" s="128" t="s">
        <v>140</v>
      </c>
      <c r="C26" s="251">
        <f t="shared" si="11"/>
        <v>142742</v>
      </c>
      <c r="D26" s="252">
        <v>142742</v>
      </c>
      <c r="E26" s="252">
        <v>142742</v>
      </c>
      <c r="F26" s="244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44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7">
        <f>VLOOKUP(A26,[1]Biogasudbytte!$A$2:$C$18,3,FALSE)</f>
        <v>0.9</v>
      </c>
      <c r="I26" s="138">
        <f>VLOOKUP(A26,[1]Biogasudbytte!$A$2:$C$18,2,FALSE)*IFERROR(VLOOKUP(A26,$F$3:$G$8,2,FALSE),1)</f>
        <v>423.36</v>
      </c>
      <c r="J26" s="137" t="e">
        <f t="shared" si="3"/>
        <v>#REF!</v>
      </c>
      <c r="K26" s="137" t="e">
        <f t="shared" si="4"/>
        <v>#REF!</v>
      </c>
      <c r="L26" s="137" t="e">
        <f t="shared" si="5"/>
        <v>#REF!</v>
      </c>
      <c r="M26" s="125" t="s">
        <v>162</v>
      </c>
      <c r="N26" s="125">
        <v>142742</v>
      </c>
      <c r="O26" s="152">
        <f t="shared" si="10"/>
        <v>0</v>
      </c>
      <c r="P26" s="141">
        <f t="shared" si="7"/>
        <v>60431253.120000005</v>
      </c>
      <c r="Q26" s="125">
        <f t="shared" si="8"/>
        <v>2.169481987008</v>
      </c>
    </row>
    <row r="27" spans="1:23" x14ac:dyDescent="0.2">
      <c r="A27" s="127" t="s">
        <v>107</v>
      </c>
      <c r="B27" s="127" t="s">
        <v>140</v>
      </c>
      <c r="C27" s="251">
        <f t="shared" si="11"/>
        <v>0</v>
      </c>
      <c r="D27" s="252">
        <v>0</v>
      </c>
      <c r="E27" s="252">
        <v>0</v>
      </c>
      <c r="F27" s="244" t="e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#REF!</v>
      </c>
      <c r="G27" s="244" t="e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#REF!</v>
      </c>
      <c r="H27" s="137">
        <f>VLOOKUP(A27,[1]Biogasudbytte!$A$2:$C$18,3,FALSE)</f>
        <v>0.15</v>
      </c>
      <c r="I27" s="138">
        <f>VLOOKUP(A27,[1]Biogasudbytte!$A$2:$C$18,2,FALSE)*IFERROR(VLOOKUP(A27,$F$3:$G$8,2,FALSE),1)</f>
        <v>25</v>
      </c>
      <c r="J27" s="137" t="e">
        <f t="shared" si="3"/>
        <v>#REF!</v>
      </c>
      <c r="K27" s="137" t="e">
        <f t="shared" si="4"/>
        <v>#REF!</v>
      </c>
      <c r="L27" s="137" t="e">
        <f t="shared" si="5"/>
        <v>#REF!</v>
      </c>
      <c r="M27" s="125" t="s">
        <v>150</v>
      </c>
      <c r="O27" s="152">
        <f t="shared" si="10"/>
        <v>0</v>
      </c>
      <c r="P27" s="141">
        <f t="shared" si="7"/>
        <v>0</v>
      </c>
      <c r="Q27" s="125">
        <f t="shared" si="8"/>
        <v>0</v>
      </c>
    </row>
    <row r="28" spans="1:23" ht="12.75" thickBot="1" x14ac:dyDescent="0.25">
      <c r="A28" s="142" t="s">
        <v>100</v>
      </c>
      <c r="B28" s="142" t="s">
        <v>140</v>
      </c>
      <c r="C28" s="253">
        <f t="shared" si="11"/>
        <v>0</v>
      </c>
      <c r="D28" s="254">
        <v>0</v>
      </c>
      <c r="E28" s="254">
        <v>0</v>
      </c>
      <c r="F28" s="245" t="e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#REF!</v>
      </c>
      <c r="G28" s="245" t="e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#REF!</v>
      </c>
      <c r="H28" s="143">
        <f>VLOOKUP(A28,[1]Biogasudbytte!$A$2:$C$18,3,FALSE)</f>
        <v>0.15</v>
      </c>
      <c r="I28" s="144">
        <f>VLOOKUP(A28,[1]Biogasudbytte!$A$2:$C$18,2,FALSE)*IFERROR(VLOOKUP(A28,$F$3:$G$8,2,FALSE),1)</f>
        <v>25</v>
      </c>
      <c r="J28" s="143" t="e">
        <f t="shared" si="3"/>
        <v>#REF!</v>
      </c>
      <c r="K28" s="143" t="e">
        <f t="shared" si="4"/>
        <v>#REF!</v>
      </c>
      <c r="L28" s="143" t="e">
        <f t="shared" si="5"/>
        <v>#REF!</v>
      </c>
      <c r="M28" s="125" t="s">
        <v>150</v>
      </c>
      <c r="O28" s="152">
        <f t="shared" si="10"/>
        <v>0</v>
      </c>
      <c r="P28" s="141">
        <f t="shared" si="7"/>
        <v>0</v>
      </c>
      <c r="Q28" s="125">
        <f t="shared" si="8"/>
        <v>0</v>
      </c>
    </row>
    <row r="29" spans="1:23" x14ac:dyDescent="0.2">
      <c r="A29" s="125" t="s">
        <v>105</v>
      </c>
      <c r="B29" s="125" t="s">
        <v>140</v>
      </c>
      <c r="C29" s="145" t="e">
        <f>SUM(C12:C28)</f>
        <v>#REF!</v>
      </c>
      <c r="D29" s="145" t="e">
        <f>SUM(D12:D28)</f>
        <v>#REF!</v>
      </c>
      <c r="E29" s="145" t="e">
        <f>SUM(E12:E28)</f>
        <v>#REF!</v>
      </c>
      <c r="F29" s="145"/>
      <c r="G29" s="145"/>
      <c r="H29" s="146"/>
      <c r="I29" s="146"/>
      <c r="J29" s="147" t="e">
        <f>SUM(J12:J28)</f>
        <v>#REF!</v>
      </c>
      <c r="K29" s="147" t="e">
        <f>SUM(K12:K28)</f>
        <v>#REF!</v>
      </c>
      <c r="L29" s="147" t="e">
        <f>SUM(L12:L28)</f>
        <v>#REF!</v>
      </c>
      <c r="N29" s="125">
        <f>SUM(N12:N28)</f>
        <v>13097393</v>
      </c>
      <c r="P29" s="141" t="e">
        <f>SUM(P12:P28)</f>
        <v>#REF!</v>
      </c>
      <c r="Q29" s="125" t="e">
        <f>P29*35.9/1000000000</f>
        <v>#REF!</v>
      </c>
    </row>
    <row r="30" spans="1:23" x14ac:dyDescent="0.2">
      <c r="A30" s="148" t="s">
        <v>124</v>
      </c>
      <c r="C30" s="149" t="e">
        <f>SUMPRODUCT(C12:C28,$H$12:$H$28)/C29</f>
        <v>#REF!</v>
      </c>
      <c r="D30" s="149" t="e">
        <f>SUMPRODUCT(D12:D28,$H$12:$H$28)/D29</f>
        <v>#REF!</v>
      </c>
      <c r="E30" s="149" t="e">
        <f>SUMPRODUCT(E12:E28,$H$12:$H$28)/E29</f>
        <v>#REF!</v>
      </c>
      <c r="F30" s="160"/>
      <c r="G30" s="160"/>
    </row>
    <row r="31" spans="1:23" x14ac:dyDescent="0.2">
      <c r="A31" s="148" t="s">
        <v>161</v>
      </c>
      <c r="C31" s="149" t="e">
        <f>SUM(C21:C24)/C29</f>
        <v>#REF!</v>
      </c>
      <c r="D31" s="149" t="e">
        <f>SUM(D21:D24)/D29</f>
        <v>#REF!</v>
      </c>
      <c r="E31" s="149" t="e">
        <f>SUM(E21:E24)/E29</f>
        <v>#REF!</v>
      </c>
      <c r="F31" s="160"/>
      <c r="G31" s="160"/>
    </row>
    <row r="32" spans="1:23" x14ac:dyDescent="0.2">
      <c r="A32" s="125" t="s">
        <v>143</v>
      </c>
      <c r="B32" s="125" t="s">
        <v>144</v>
      </c>
      <c r="C32" s="125" t="e">
        <f>SUMPRODUCT(C12:C28,$I$12:$I$28)</f>
        <v>#REF!</v>
      </c>
      <c r="D32" s="125" t="e">
        <f>SUMPRODUCT(D12:D28,$I$12:$I$28)</f>
        <v>#REF!</v>
      </c>
      <c r="E32" s="125" t="e">
        <f>SUMPRODUCT(E12:E28,$I$12:$I$28)</f>
        <v>#REF!</v>
      </c>
    </row>
    <row r="33" spans="1:15" x14ac:dyDescent="0.2">
      <c r="A33" s="125" t="s">
        <v>143</v>
      </c>
      <c r="B33" s="125" t="s">
        <v>123</v>
      </c>
      <c r="C33" s="125" t="e">
        <f>C32*[1]Energiindhold!$C$10</f>
        <v>#REF!</v>
      </c>
      <c r="D33" s="125" t="e">
        <f>D32*[1]Energiindhold!$C$10</f>
        <v>#REF!</v>
      </c>
      <c r="E33" s="125" t="e">
        <f>E32*[1]Energiindhold!$C$10</f>
        <v>#REF!</v>
      </c>
    </row>
    <row r="34" spans="1:15" x14ac:dyDescent="0.2">
      <c r="C34" s="255"/>
    </row>
    <row r="35" spans="1:15" x14ac:dyDescent="0.2">
      <c r="A35" s="180"/>
      <c r="B35" s="180" t="s">
        <v>27</v>
      </c>
      <c r="C35" s="180" t="s">
        <v>28</v>
      </c>
    </row>
    <row r="36" spans="1:15" x14ac:dyDescent="0.2">
      <c r="A36" s="180" t="s">
        <v>159</v>
      </c>
      <c r="B36" s="181">
        <v>0.8</v>
      </c>
      <c r="C36" s="181">
        <v>0.2</v>
      </c>
    </row>
    <row r="38" spans="1:15" hidden="1" x14ac:dyDescent="0.2">
      <c r="C38" s="131">
        <f>År1</f>
        <v>2019</v>
      </c>
      <c r="D38" s="131">
        <f>År2</f>
        <v>2030</v>
      </c>
      <c r="E38" s="131">
        <f>År3</f>
        <v>2050</v>
      </c>
      <c r="F38" s="131" t="s">
        <v>106</v>
      </c>
      <c r="G38" s="131" t="s">
        <v>145</v>
      </c>
      <c r="K38" s="131">
        <f>År1</f>
        <v>2019</v>
      </c>
      <c r="L38" s="131">
        <f>År2</f>
        <v>2030</v>
      </c>
      <c r="M38" s="131">
        <f>År3</f>
        <v>2050</v>
      </c>
      <c r="N38" s="131" t="s">
        <v>106</v>
      </c>
      <c r="O38" s="131" t="s">
        <v>145</v>
      </c>
    </row>
    <row r="39" spans="1:15" hidden="1" x14ac:dyDescent="0.2">
      <c r="A39" s="132" t="str">
        <f t="shared" ref="A39:A55" si="12">A12</f>
        <v>Svinegylle</v>
      </c>
      <c r="B39" s="132" t="s">
        <v>140</v>
      </c>
      <c r="C39" s="133" t="e">
        <f>SUMIFS('Resultater - Vestdanmark'!H$3:H$482,'Resultater - Vestdanmark'!$F$3:$F$482,$A39)*B3</f>
        <v>#REF!</v>
      </c>
      <c r="D39" s="133" t="e">
        <f>SUMIFS('Resultater - Vestdanmark'!I$3:I$482,'Resultater - Vestdanmark'!$F$3:$F$482,$A39)*C3</f>
        <v>#REF!</v>
      </c>
      <c r="E39" s="133" t="e">
        <f>SUMIFS('Resultater - Vestdanmark'!J$3:J$482,'Resultater - Vestdanmark'!$F$3:$F$482,$A39)*D3</f>
        <v>#REF!</v>
      </c>
      <c r="F39" s="134">
        <f>VLOOKUP(A39,[1]Biogasudbytte!$A$2:$C$18,3,FALSE)</f>
        <v>0.05</v>
      </c>
      <c r="G39" s="135">
        <f t="shared" ref="G39:G55" si="13">I12</f>
        <v>12</v>
      </c>
      <c r="I39" s="132" t="str">
        <f>A39</f>
        <v>Svinegylle</v>
      </c>
      <c r="J39" s="132" t="s">
        <v>140</v>
      </c>
      <c r="K39" s="133" t="e">
        <f>SUMIFS('Resultater - Østdanmark'!H$3:H$482,'Resultater - Østdanmark'!$F$3:$F$482,$A39)*B3</f>
        <v>#REF!</v>
      </c>
      <c r="L39" s="133" t="e">
        <f>SUMIFS('Resultater - Østdanmark'!I$3:I$482,'Resultater - Østdanmark'!$F$3:$F$482,$A39)*C3</f>
        <v>#REF!</v>
      </c>
      <c r="M39" s="133" t="e">
        <f>SUMIFS('Resultater - Østdanmark'!J$3:J$482,'Resultater - Østdanmark'!$F$3:$F$482,$A39)*D3</f>
        <v>#REF!</v>
      </c>
      <c r="N39" s="134">
        <f>VLOOKUP(I39,[1]Biogasudbytte!$A$2:$C$18,3,FALSE)</f>
        <v>0.05</v>
      </c>
      <c r="O39" s="135">
        <f t="shared" ref="O39:O55" si="14">I12</f>
        <v>12</v>
      </c>
    </row>
    <row r="40" spans="1:15" hidden="1" x14ac:dyDescent="0.2">
      <c r="A40" s="127" t="str">
        <f t="shared" si="12"/>
        <v>Kvæggylle</v>
      </c>
      <c r="B40" s="127" t="s">
        <v>140</v>
      </c>
      <c r="C40" s="136" t="e">
        <f>SUMIFS('Resultater - Vestdanmark'!H$3:H$482,'Resultater - Vestdanmark'!$F$3:$F$482,$A40)*B4</f>
        <v>#REF!</v>
      </c>
      <c r="D40" s="136" t="e">
        <f>SUMIFS('Resultater - Vestdanmark'!I$3:I$482,'Resultater - Vestdanmark'!$F$3:$F$482,$A40)*C4</f>
        <v>#REF!</v>
      </c>
      <c r="E40" s="136" t="e">
        <f>SUMIFS('Resultater - Vestdanmark'!J$3:J$482,'Resultater - Vestdanmark'!$F$3:$F$482,$A40)*D4</f>
        <v>#REF!</v>
      </c>
      <c r="F40" s="137">
        <f>VLOOKUP(A40,[1]Biogasudbytte!$A$2:$C$18,3,FALSE)</f>
        <v>7.5999999999999998E-2</v>
      </c>
      <c r="G40" s="138">
        <f t="shared" si="13"/>
        <v>14.1</v>
      </c>
      <c r="I40" s="127" t="str">
        <f t="shared" ref="I40:I55" si="15">A40</f>
        <v>Kvæggylle</v>
      </c>
      <c r="J40" s="127" t="s">
        <v>140</v>
      </c>
      <c r="K40" s="136" t="e">
        <f>SUMIFS('Resultater - Østdanmark'!H$3:H$482,'Resultater - Østdanmark'!$F$3:$F$482,$A40)*B4</f>
        <v>#REF!</v>
      </c>
      <c r="L40" s="136" t="e">
        <f>SUMIFS('Resultater - Østdanmark'!I$3:I$482,'Resultater - Østdanmark'!$F$3:$F$482,$A40)*C4</f>
        <v>#REF!</v>
      </c>
      <c r="M40" s="136" t="e">
        <f>SUMIFS('Resultater - Østdanmark'!J$3:J$482,'Resultater - Østdanmark'!$F$3:$F$482,$A40)*D4</f>
        <v>#REF!</v>
      </c>
      <c r="N40" s="137">
        <f>VLOOKUP(I40,[1]Biogasudbytte!$A$2:$C$18,3,FALSE)</f>
        <v>7.5999999999999998E-2</v>
      </c>
      <c r="O40" s="138">
        <f t="shared" si="14"/>
        <v>14.1</v>
      </c>
    </row>
    <row r="41" spans="1:15" hidden="1" x14ac:dyDescent="0.2">
      <c r="A41" s="127" t="str">
        <f t="shared" si="12"/>
        <v>Fjerkrægylle</v>
      </c>
      <c r="B41" s="127" t="s">
        <v>140</v>
      </c>
      <c r="C41" s="136" t="e">
        <f>SUMIFS('Resultater - Vestdanmark'!H$3:H$482,'Resultater - Vestdanmark'!$F$3:$F$482,$A41)*B5</f>
        <v>#REF!</v>
      </c>
      <c r="D41" s="136" t="e">
        <f>SUMIFS('Resultater - Vestdanmark'!I$3:I$482,'Resultater - Vestdanmark'!$F$3:$F$482,$A41)*C5</f>
        <v>#REF!</v>
      </c>
      <c r="E41" s="136" t="e">
        <f>SUMIFS('Resultater - Vestdanmark'!J$3:J$482,'Resultater - Vestdanmark'!$F$3:$F$482,$A41)*D5</f>
        <v>#REF!</v>
      </c>
      <c r="F41" s="137">
        <f>VLOOKUP(A41,[1]Biogasudbytte!$A$2:$C$18,3,FALSE)</f>
        <v>6.3E-2</v>
      </c>
      <c r="G41" s="138">
        <f t="shared" si="13"/>
        <v>13.1</v>
      </c>
      <c r="I41" s="127" t="str">
        <f t="shared" si="15"/>
        <v>Fjerkrægylle</v>
      </c>
      <c r="J41" s="127" t="s">
        <v>140</v>
      </c>
      <c r="K41" s="136" t="e">
        <f>SUMIFS('Resultater - Østdanmark'!H$3:H$482,'Resultater - Østdanmark'!$F$3:$F$482,$A41)*B5</f>
        <v>#REF!</v>
      </c>
      <c r="L41" s="136" t="e">
        <f>SUMIFS('Resultater - Østdanmark'!I$3:I$482,'Resultater - Østdanmark'!$F$3:$F$482,$A41)*C5</f>
        <v>#REF!</v>
      </c>
      <c r="M41" s="136" t="e">
        <f>SUMIFS('Resultater - Østdanmark'!J$3:J$482,'Resultater - Østdanmark'!$F$3:$F$482,$A41)*D5</f>
        <v>#REF!</v>
      </c>
      <c r="N41" s="137">
        <f>VLOOKUP(I41,[1]Biogasudbytte!$A$2:$C$18,3,FALSE)</f>
        <v>6.3E-2</v>
      </c>
      <c r="O41" s="138">
        <f t="shared" si="14"/>
        <v>13.1</v>
      </c>
    </row>
    <row r="42" spans="1:15" hidden="1" x14ac:dyDescent="0.2">
      <c r="A42" s="127" t="str">
        <f t="shared" si="12"/>
        <v>Spildevandsslam</v>
      </c>
      <c r="B42" s="127" t="s">
        <v>140</v>
      </c>
      <c r="C42" s="136" t="e">
        <f>SUMIFS('Resultater - Vestdanmark'!H$3:H$482,'Resultater - Vestdanmark'!$F$3:$F$482,$A42)*B6</f>
        <v>#REF!</v>
      </c>
      <c r="D42" s="136" t="e">
        <f>SUMIFS('Resultater - Vestdanmark'!I$3:I$482,'Resultater - Vestdanmark'!$F$3:$F$482,$A42)*C6</f>
        <v>#REF!</v>
      </c>
      <c r="E42" s="136" t="e">
        <f>SUMIFS('Resultater - Vestdanmark'!J$3:J$482,'Resultater - Vestdanmark'!$F$3:$F$482,$A42)*D6</f>
        <v>#REF!</v>
      </c>
      <c r="F42" s="137">
        <f>VLOOKUP(A42,[1]Biogasudbytte!$A$2:$C$18,3,FALSE)</f>
        <v>0.06</v>
      </c>
      <c r="G42" s="138">
        <f t="shared" si="13"/>
        <v>13.9</v>
      </c>
      <c r="I42" s="127" t="str">
        <f t="shared" si="15"/>
        <v>Spildevandsslam</v>
      </c>
      <c r="J42" s="127" t="s">
        <v>140</v>
      </c>
      <c r="K42" s="136" t="e">
        <f>SUMIFS('Resultater - Østdanmark'!H$3:H$482,'Resultater - Østdanmark'!$F$3:$F$482,$A42)*B6</f>
        <v>#REF!</v>
      </c>
      <c r="L42" s="136" t="e">
        <f>SUMIFS('Resultater - Østdanmark'!I$3:I$482,'Resultater - Østdanmark'!$F$3:$F$482,$A42)*C6</f>
        <v>#REF!</v>
      </c>
      <c r="M42" s="136" t="e">
        <f>SUMIFS('Resultater - Østdanmark'!J$3:J$482,'Resultater - Østdanmark'!$F$3:$F$482,$A42)*D6</f>
        <v>#REF!</v>
      </c>
      <c r="N42" s="137">
        <f>VLOOKUP(I42,[1]Biogasudbytte!$A$2:$C$18,3,FALSE)</f>
        <v>0.06</v>
      </c>
      <c r="O42" s="138">
        <f t="shared" si="14"/>
        <v>13.9</v>
      </c>
    </row>
    <row r="43" spans="1:15" hidden="1" x14ac:dyDescent="0.2">
      <c r="A43" s="127" t="str">
        <f t="shared" si="12"/>
        <v>Dybstrøelse</v>
      </c>
      <c r="B43" s="127" t="s">
        <v>140</v>
      </c>
      <c r="C43" s="136" t="e">
        <f>SUMIFS('Resultater - Vestdanmark'!H$3:H$482,'Resultater - Vestdanmark'!$F$3:$F$482,$A43)*B7</f>
        <v>#REF!</v>
      </c>
      <c r="D43" s="136" t="e">
        <f>SUMIFS('Resultater - Vestdanmark'!I$3:I$482,'Resultater - Vestdanmark'!$F$3:$F$482,$A43)*C7</f>
        <v>#REF!</v>
      </c>
      <c r="E43" s="136" t="e">
        <f>SUMIFS('Resultater - Vestdanmark'!J$3:J$482,'Resultater - Vestdanmark'!$F$3:$F$482,$A43)*D7</f>
        <v>#REF!</v>
      </c>
      <c r="F43" s="137">
        <f>VLOOKUP(A43,[1]Biogasudbytte!$A$2:$C$18,3,FALSE)</f>
        <v>0.3</v>
      </c>
      <c r="G43" s="138">
        <f t="shared" si="13"/>
        <v>60</v>
      </c>
      <c r="I43" s="127" t="str">
        <f t="shared" si="15"/>
        <v>Dybstrøelse</v>
      </c>
      <c r="J43" s="127" t="s">
        <v>140</v>
      </c>
      <c r="K43" s="136" t="e">
        <f>SUMIFS('Resultater - Østdanmark'!H$3:H$482,'Resultater - Østdanmark'!$F$3:$F$482,$A43)*B7</f>
        <v>#REF!</v>
      </c>
      <c r="L43" s="136" t="e">
        <f>SUMIFS('Resultater - Østdanmark'!I$3:I$482,'Resultater - Østdanmark'!$F$3:$F$482,$A43)*C7</f>
        <v>#REF!</v>
      </c>
      <c r="M43" s="136" t="e">
        <f>SUMIFS('Resultater - Østdanmark'!J$3:J$482,'Resultater - Østdanmark'!$F$3:$F$482,$A43)*D7</f>
        <v>#REF!</v>
      </c>
      <c r="N43" s="137">
        <f>VLOOKUP(I43,[1]Biogasudbytte!$A$2:$C$18,3,FALSE)</f>
        <v>0.3</v>
      </c>
      <c r="O43" s="138">
        <f t="shared" si="14"/>
        <v>60</v>
      </c>
    </row>
    <row r="44" spans="1:15" hidden="1" x14ac:dyDescent="0.2">
      <c r="A44" s="128" t="str">
        <f t="shared" si="12"/>
        <v>Brun saft</v>
      </c>
      <c r="B44" s="127" t="s">
        <v>140</v>
      </c>
      <c r="C44" s="136" t="e">
        <f>SUMIFS('Resultater - Vestdanmark'!H$3:H$482,'Resultater - Vestdanmark'!$F$3:$F$482,$A44)*B8</f>
        <v>#REF!</v>
      </c>
      <c r="D44" s="136" t="e">
        <f>SUMIFS('Resultater - Vestdanmark'!I$3:I$482,'Resultater - Vestdanmark'!$F$3:$F$482,$A44)*C8</f>
        <v>#REF!</v>
      </c>
      <c r="E44" s="136" t="e">
        <f>SUMIFS('Resultater - Vestdanmark'!J$3:J$482,'Resultater - Vestdanmark'!$F$3:$F$482,$A44)*D8</f>
        <v>#REF!</v>
      </c>
      <c r="F44" s="137">
        <f>VLOOKUP(A44,[1]Biogasudbytte!$A$2:$C$18,3,FALSE)</f>
        <v>4.2763387558472386E-2</v>
      </c>
      <c r="G44" s="138">
        <f t="shared" si="13"/>
        <v>15.822453396634783</v>
      </c>
      <c r="I44" s="128" t="str">
        <f t="shared" si="15"/>
        <v>Brun saft</v>
      </c>
      <c r="J44" s="127" t="s">
        <v>140</v>
      </c>
      <c r="K44" s="136" t="e">
        <f>SUMIFS('Resultater - Østdanmark'!H$3:H$482,'Resultater - Østdanmark'!$F$3:$F$482,$A44)*B8</f>
        <v>#REF!</v>
      </c>
      <c r="L44" s="136" t="e">
        <f>SUMIFS('Resultater - Østdanmark'!I$3:I$482,'Resultater - Østdanmark'!$F$3:$F$482,$A44)*C8</f>
        <v>#REF!</v>
      </c>
      <c r="M44" s="136" t="e">
        <f>SUMIFS('Resultater - Østdanmark'!J$3:J$482,'Resultater - Østdanmark'!$F$3:$F$482,$A44)*D8</f>
        <v>#REF!</v>
      </c>
      <c r="N44" s="137">
        <f>VLOOKUP(I44,[1]Biogasudbytte!$A$2:$C$18,3,FALSE)</f>
        <v>4.2763387558472386E-2</v>
      </c>
      <c r="O44" s="138">
        <f t="shared" si="14"/>
        <v>15.822453396634783</v>
      </c>
    </row>
    <row r="45" spans="1:15" hidden="1" x14ac:dyDescent="0.2">
      <c r="A45" s="127" t="str">
        <f t="shared" si="12"/>
        <v>Bioaffald</v>
      </c>
      <c r="B45" s="127" t="s">
        <v>140</v>
      </c>
      <c r="C45" s="136" t="e">
        <f>SUMIFS('Resultater - Vestdanmark'!H$3:H$482,'Resultater - Vestdanmark'!$F$3:$F$482,$A45)/SUMIFS('Resultater - Danmark'!H$3:H$482,'Resultater - Danmark'!$F$3:$F$482,$A45)*C18</f>
        <v>#REF!</v>
      </c>
      <c r="D45" s="136" t="e">
        <f>SUMIFS('Resultater - Vestdanmark'!I$3:I$482,'Resultater - Vestdanmark'!$F$3:$F$482,$A45)/SUMIFS('Resultater - Danmark'!I$3:I$482,'Resultater - Danmark'!$F$3:$F$482,$A45)*D18</f>
        <v>#REF!</v>
      </c>
      <c r="E45" s="136" t="e">
        <f>SUMIFS('Resultater - Vestdanmark'!J$3:J$482,'Resultater - Vestdanmark'!$F$3:$F$482,$A45)/SUMIFS('Resultater - Danmark'!J$3:J$482,'Resultater - Danmark'!$F$3:$F$482,$A45)*E18</f>
        <v>#REF!</v>
      </c>
      <c r="F45" s="137">
        <f>VLOOKUP(A45,[1]Biogasudbytte!$A$2:$C$18,3,FALSE)</f>
        <v>0.28000000000000003</v>
      </c>
      <c r="G45" s="138">
        <f t="shared" si="13"/>
        <v>94.9</v>
      </c>
      <c r="I45" s="127" t="str">
        <f t="shared" si="15"/>
        <v>Bioaffald</v>
      </c>
      <c r="J45" s="127" t="s">
        <v>140</v>
      </c>
      <c r="K45" s="136" t="e">
        <f>SUMIFS('Resultater - Østdanmark'!H$3:H$482,'Resultater - Østdanmark'!$F$3:$F$482,$A45)/SUMIFS('Resultater - Danmark'!H$3:H$482,'Resultater - Danmark'!$F$3:$F$482,$A45)*C18</f>
        <v>#REF!</v>
      </c>
      <c r="L45" s="136" t="e">
        <f>SUMIFS('Resultater - Østdanmark'!I$3:I$482,'Resultater - Østdanmark'!$F$3:$F$482,$A45)/SUMIFS('Resultater - Danmark'!I$3:I$482,'Resultater - Danmark'!$F$3:$F$482,$A45)*D18</f>
        <v>#REF!</v>
      </c>
      <c r="M45" s="136" t="e">
        <f>SUMIFS('Resultater - Østdanmark'!J$3:J$482,'Resultater - Østdanmark'!$F$3:$F$482,$A45)/SUMIFS('Resultater - Danmark'!J$3:J$482,'Resultater - Danmark'!$F$3:$F$482,$A45)*E18</f>
        <v>#REF!</v>
      </c>
      <c r="N45" s="137">
        <f>VLOOKUP(I45,[1]Biogasudbytte!$A$2:$C$18,3,FALSE)</f>
        <v>0.28000000000000003</v>
      </c>
      <c r="O45" s="138">
        <f t="shared" si="14"/>
        <v>94.9</v>
      </c>
    </row>
    <row r="46" spans="1:15" hidden="1" x14ac:dyDescent="0.2">
      <c r="A46" s="127" t="str">
        <f t="shared" si="12"/>
        <v>Industriaffald</v>
      </c>
      <c r="B46" s="127" t="s">
        <v>140</v>
      </c>
      <c r="C46" s="136" t="e">
        <f>SUMIFS('Resultater - Vestdanmark'!H$3:H$482,'Resultater - Vestdanmark'!$F$3:$F$482,$A46)/SUMIFS('Resultater - Danmark'!H$3:H$482,'Resultater - Danmark'!$F$3:$F$482,$A46)*C19</f>
        <v>#REF!</v>
      </c>
      <c r="D46" s="136" t="e">
        <f>SUMIFS('Resultater - Vestdanmark'!I$3:I$482,'Resultater - Vestdanmark'!$F$3:$F$482,$A46)/SUMIFS('Resultater - Danmark'!I$3:I$482,'Resultater - Danmark'!$F$3:$F$482,$A46)*D19</f>
        <v>#REF!</v>
      </c>
      <c r="E46" s="136" t="e">
        <f>SUMIFS('Resultater - Vestdanmark'!J$3:J$482,'Resultater - Vestdanmark'!$F$3:$F$482,$A46)/SUMIFS('Resultater - Danmark'!J$3:J$482,'Resultater - Danmark'!$F$3:$F$482,$A46)*E19</f>
        <v>#REF!</v>
      </c>
      <c r="F46" s="137">
        <f>VLOOKUP(A46,[1]Biogasudbytte!$A$2:$C$18,3,FALSE)</f>
        <v>0.42</v>
      </c>
      <c r="G46" s="138">
        <f t="shared" si="13"/>
        <v>102.595</v>
      </c>
      <c r="I46" s="127" t="str">
        <f t="shared" si="15"/>
        <v>Industriaffald</v>
      </c>
      <c r="J46" s="127" t="s">
        <v>140</v>
      </c>
      <c r="K46" s="136" t="e">
        <f>SUMIFS('Resultater - Østdanmark'!H$3:H$482,'Resultater - Østdanmark'!$F$3:$F$482,$A46)/SUMIFS('Resultater - Danmark'!H$3:H$482,'Resultater - Danmark'!$F$3:$F$482,$A46)*C19</f>
        <v>#REF!</v>
      </c>
      <c r="L46" s="136" t="e">
        <f>SUMIFS('Resultater - Østdanmark'!I$3:I$482,'Resultater - Østdanmark'!$F$3:$F$482,$A46)/SUMIFS('Resultater - Danmark'!I$3:I$482,'Resultater - Danmark'!$F$3:$F$482,$A46)*D19</f>
        <v>#REF!</v>
      </c>
      <c r="M46" s="136" t="e">
        <f>SUMIFS('Resultater - Østdanmark'!J$3:J$482,'Resultater - Østdanmark'!$F$3:$F$482,$A46)/SUMIFS('Resultater - Danmark'!J$3:J$482,'Resultater - Danmark'!$F$3:$F$482,$A46)*E19</f>
        <v>#REF!</v>
      </c>
      <c r="N46" s="137">
        <f>VLOOKUP(I46,[1]Biogasudbytte!$A$2:$C$18,3,FALSE)</f>
        <v>0.42</v>
      </c>
      <c r="O46" s="138">
        <f t="shared" si="14"/>
        <v>102.595</v>
      </c>
    </row>
    <row r="47" spans="1:15" hidden="1" x14ac:dyDescent="0.2">
      <c r="A47" s="127" t="str">
        <f t="shared" si="12"/>
        <v>Halm</v>
      </c>
      <c r="B47" s="127" t="s">
        <v>140</v>
      </c>
      <c r="C47" s="136" t="e">
        <f>SUMIFS('Resultater - Vestdanmark'!H$3:H$482,'Resultater - Vestdanmark'!$F$3:$F$482,$A47)/SUMIFS('Resultater - Danmark'!H$3:H$482,'Resultater - Danmark'!$F$3:$F$482,$A47)*C20</f>
        <v>#REF!</v>
      </c>
      <c r="D47" s="136" t="e">
        <f>SUMIFS('Resultater - Vestdanmark'!I$3:I$482,'Resultater - Vestdanmark'!$F$3:$F$482,$A47)/SUMIFS('Resultater - Danmark'!I$3:I$482,'Resultater - Danmark'!$F$3:$F$482,$A47)*D20</f>
        <v>#REF!</v>
      </c>
      <c r="E47" s="136" t="e">
        <f>SUMIFS('Resultater - Vestdanmark'!J$3:J$482,'Resultater - Vestdanmark'!$F$3:$F$482,$A47)/SUMIFS('Resultater - Danmark'!J$3:J$482,'Resultater - Danmark'!$F$3:$F$482,$A47)*E20</f>
        <v>#REF!</v>
      </c>
      <c r="F47" s="137">
        <f>VLOOKUP(A47,[1]Biogasudbytte!$A$2:$C$18,3,FALSE)</f>
        <v>0.85</v>
      </c>
      <c r="G47" s="138">
        <f t="shared" si="13"/>
        <v>160.6</v>
      </c>
      <c r="I47" s="127" t="str">
        <f t="shared" si="15"/>
        <v>Halm</v>
      </c>
      <c r="J47" s="127" t="s">
        <v>140</v>
      </c>
      <c r="K47" s="136" t="e">
        <f>SUMIFS('Resultater - Østdanmark'!H$3:H$482,'Resultater - Østdanmark'!$F$3:$F$482,$A47)/SUMIFS('Resultater - Danmark'!H$3:H$482,'Resultater - Danmark'!$F$3:$F$482,$A47)*C20</f>
        <v>#REF!</v>
      </c>
      <c r="L47" s="136" t="e">
        <f>SUMIFS('Resultater - Østdanmark'!I$3:I$482,'Resultater - Østdanmark'!$F$3:$F$482,$A47)/SUMIFS('Resultater - Danmark'!I$3:I$482,'Resultater - Danmark'!$F$3:$F$482,$A47)*D20</f>
        <v>#REF!</v>
      </c>
      <c r="M47" s="136" t="e">
        <f>SUMIFS('Resultater - Østdanmark'!J$3:J$482,'Resultater - Østdanmark'!$F$3:$F$482,$A47)/SUMIFS('Resultater - Danmark'!J$3:J$482,'Resultater - Danmark'!$F$3:$F$482,$A47)*E20</f>
        <v>#REF!</v>
      </c>
      <c r="N47" s="137">
        <f>VLOOKUP(I47,[1]Biogasudbytte!$A$2:$C$18,3,FALSE)</f>
        <v>0.85</v>
      </c>
      <c r="O47" s="138">
        <f t="shared" si="14"/>
        <v>160.6</v>
      </c>
    </row>
    <row r="48" spans="1:15" hidden="1" x14ac:dyDescent="0.2">
      <c r="A48" s="127" t="str">
        <f t="shared" si="12"/>
        <v>Korn</v>
      </c>
      <c r="B48" s="127" t="s">
        <v>140</v>
      </c>
      <c r="C48" s="136" t="e">
        <f>SUMIFS('Resultater - Vestdanmark'!H$3:H$482,'Resultater - Vestdanmark'!$F$3:$F$482,$A48)/SUMIFS('Resultater - Danmark'!H$3:H$482,'Resultater - Danmark'!$F$3:$F$482,$A48)*C21</f>
        <v>#REF!</v>
      </c>
      <c r="D48" s="136" t="e">
        <f>SUMIFS('Resultater - Vestdanmark'!I$3:I$482,'Resultater - Vestdanmark'!$F$3:$F$482,$A48)/SUMIFS('Resultater - Danmark'!I$3:I$482,'Resultater - Danmark'!$F$3:$F$482,$A48)*D21</f>
        <v>#REF!</v>
      </c>
      <c r="E48" s="136" t="e">
        <f>SUMIFS('Resultater - Vestdanmark'!J$3:J$482,'Resultater - Vestdanmark'!$F$3:$F$482,$A48)/SUMIFS('Resultater - Danmark'!J$3:J$482,'Resultater - Danmark'!$F$3:$F$482,$A48)*E21</f>
        <v>#REF!</v>
      </c>
      <c r="F48" s="137">
        <f>VLOOKUP(A48,[1]Biogasudbytte!$A$2:$C$18,3,FALSE)</f>
        <v>0.31</v>
      </c>
      <c r="G48" s="138">
        <f t="shared" si="13"/>
        <v>95.4</v>
      </c>
      <c r="I48" s="127" t="str">
        <f t="shared" si="15"/>
        <v>Korn</v>
      </c>
      <c r="J48" s="127" t="s">
        <v>140</v>
      </c>
      <c r="K48" s="136" t="e">
        <f>SUMIFS('Resultater - Østdanmark'!H$3:H$482,'Resultater - Østdanmark'!$F$3:$F$482,$A48)/SUMIFS('Resultater - Danmark'!H$3:H$482,'Resultater - Danmark'!$F$3:$F$482,$A48)*C21</f>
        <v>#REF!</v>
      </c>
      <c r="L48" s="136" t="e">
        <f>SUMIFS('Resultater - Østdanmark'!I$3:I$482,'Resultater - Østdanmark'!$F$3:$F$482,$A48)/SUMIFS('Resultater - Danmark'!I$3:I$482,'Resultater - Danmark'!$F$3:$F$482,$A48)*D21</f>
        <v>#REF!</v>
      </c>
      <c r="M48" s="136" t="e">
        <f>SUMIFS('Resultater - Østdanmark'!J$3:J$482,'Resultater - Østdanmark'!$F$3:$F$482,$A48)/SUMIFS('Resultater - Danmark'!J$3:J$482,'Resultater - Danmark'!$F$3:$F$482,$A48)*E21</f>
        <v>#REF!</v>
      </c>
      <c r="N48" s="137">
        <f>VLOOKUP(I48,[1]Biogasudbytte!$A$2:$C$18,3,FALSE)</f>
        <v>0.31</v>
      </c>
      <c r="O48" s="138">
        <f t="shared" si="14"/>
        <v>95.4</v>
      </c>
    </row>
    <row r="49" spans="1:15" hidden="1" x14ac:dyDescent="0.2">
      <c r="A49" s="127" t="str">
        <f t="shared" si="12"/>
        <v>Græs</v>
      </c>
      <c r="B49" s="127" t="s">
        <v>140</v>
      </c>
      <c r="C49" s="136" t="e">
        <f>SUMIFS('Resultater - Vestdanmark'!H$3:H$482,'Resultater - Vestdanmark'!$F$3:$F$482,$A49)/SUMIFS('Resultater - Danmark'!H$3:H$482,'Resultater - Danmark'!$F$3:$F$482,$A49)*C22</f>
        <v>#REF!</v>
      </c>
      <c r="D49" s="136" t="e">
        <f>SUMIFS('Resultater - Vestdanmark'!I$3:I$482,'Resultater - Vestdanmark'!$F$3:$F$482,$A49)/SUMIFS('Resultater - Danmark'!I$3:I$482,'Resultater - Danmark'!$F$3:$F$482,$A49)*D22</f>
        <v>#REF!</v>
      </c>
      <c r="E49" s="136" t="e">
        <f>SUMIFS('Resultater - Vestdanmark'!J$3:J$482,'Resultater - Vestdanmark'!$F$3:$F$482,$A49)/SUMIFS('Resultater - Danmark'!J$3:J$482,'Resultater - Danmark'!$F$3:$F$482,$A49)*E22</f>
        <v>#REF!</v>
      </c>
      <c r="F49" s="137">
        <f>VLOOKUP(A49,[1]Biogasudbytte!$A$2:$C$18,3,FALSE)</f>
        <v>0.28000000000000003</v>
      </c>
      <c r="G49" s="138">
        <f t="shared" si="13"/>
        <v>51.25</v>
      </c>
      <c r="I49" s="127" t="str">
        <f t="shared" si="15"/>
        <v>Græs</v>
      </c>
      <c r="J49" s="127" t="s">
        <v>140</v>
      </c>
      <c r="K49" s="136" t="e">
        <f>SUMIFS('Resultater - Østdanmark'!H$3:H$482,'Resultater - Østdanmark'!$F$3:$F$482,$A49)/SUMIFS('Resultater - Danmark'!H$3:H$482,'Resultater - Danmark'!$F$3:$F$482,$A49)*C22</f>
        <v>#REF!</v>
      </c>
      <c r="L49" s="136" t="e">
        <f>SUMIFS('Resultater - Østdanmark'!I$3:I$482,'Resultater - Østdanmark'!$F$3:$F$482,$A49)/SUMIFS('Resultater - Danmark'!I$3:I$482,'Resultater - Danmark'!$F$3:$F$482,$A49)*D22</f>
        <v>#REF!</v>
      </c>
      <c r="M49" s="136" t="e">
        <f>SUMIFS('Resultater - Østdanmark'!J$3:J$482,'Resultater - Østdanmark'!$F$3:$F$482,$A49)/SUMIFS('Resultater - Danmark'!J$3:J$482,'Resultater - Danmark'!$F$3:$F$482,$A49)*E22</f>
        <v>#REF!</v>
      </c>
      <c r="N49" s="137">
        <f>VLOOKUP(I49,[1]Biogasudbytte!$A$2:$C$18,3,FALSE)</f>
        <v>0.28000000000000003</v>
      </c>
      <c r="O49" s="138">
        <f t="shared" si="14"/>
        <v>51.25</v>
      </c>
    </row>
    <row r="50" spans="1:15" hidden="1" x14ac:dyDescent="0.2">
      <c r="A50" s="127" t="str">
        <f t="shared" si="12"/>
        <v>Majs</v>
      </c>
      <c r="B50" s="127" t="s">
        <v>140</v>
      </c>
      <c r="C50" s="136" t="e">
        <f>SUMIFS('Resultater - Vestdanmark'!H$3:H$482,'Resultater - Vestdanmark'!$F$3:$F$482,$A50)/SUMIFS('Resultater - Danmark'!H$3:H$482,'Resultater - Danmark'!$F$3:$F$482,$A50)*C23</f>
        <v>#REF!</v>
      </c>
      <c r="D50" s="136" t="e">
        <f>SUMIFS('Resultater - Vestdanmark'!I$3:I$482,'Resultater - Vestdanmark'!$F$3:$F$482,$A50)/SUMIFS('Resultater - Danmark'!I$3:I$482,'Resultater - Danmark'!$F$3:$F$482,$A50)*D23</f>
        <v>#REF!</v>
      </c>
      <c r="E50" s="136" t="e">
        <f>SUMIFS('Resultater - Vestdanmark'!J$3:J$482,'Resultater - Vestdanmark'!$F$3:$F$482,$A50)/SUMIFS('Resultater - Danmark'!J$3:J$482,'Resultater - Danmark'!$F$3:$F$482,$A50)*E23</f>
        <v>#REF!</v>
      </c>
      <c r="F50" s="137">
        <f>VLOOKUP(A50,[1]Biogasudbytte!$A$2:$C$18,3,FALSE)</f>
        <v>0.3</v>
      </c>
      <c r="G50" s="138">
        <f t="shared" si="13"/>
        <v>100</v>
      </c>
      <c r="I50" s="127" t="str">
        <f t="shared" si="15"/>
        <v>Majs</v>
      </c>
      <c r="J50" s="127" t="s">
        <v>140</v>
      </c>
      <c r="K50" s="136" t="e">
        <f>SUMIFS('Resultater - Østdanmark'!H$3:H$482,'Resultater - Østdanmark'!$F$3:$F$482,$A50)/SUMIFS('Resultater - Danmark'!H$3:H$482,'Resultater - Danmark'!$F$3:$F$482,$A50)*C23</f>
        <v>#REF!</v>
      </c>
      <c r="L50" s="136" t="e">
        <f>SUMIFS('Resultater - Østdanmark'!I$3:I$482,'Resultater - Østdanmark'!$F$3:$F$482,$A50)/SUMIFS('Resultater - Danmark'!I$3:I$482,'Resultater - Danmark'!$F$3:$F$482,$A50)*D23</f>
        <v>#REF!</v>
      </c>
      <c r="M50" s="136" t="e">
        <f>SUMIFS('Resultater - Østdanmark'!J$3:J$482,'Resultater - Østdanmark'!$F$3:$F$482,$A50)/SUMIFS('Resultater - Danmark'!J$3:J$482,'Resultater - Danmark'!$F$3:$F$482,$A50)*E23</f>
        <v>#REF!</v>
      </c>
      <c r="N50" s="137">
        <f>VLOOKUP(I50,[1]Biogasudbytte!$A$2:$C$18,3,FALSE)</f>
        <v>0.3</v>
      </c>
      <c r="O50" s="138">
        <f t="shared" si="14"/>
        <v>100</v>
      </c>
    </row>
    <row r="51" spans="1:15" hidden="1" x14ac:dyDescent="0.2">
      <c r="A51" s="127" t="str">
        <f t="shared" si="12"/>
        <v>Roer</v>
      </c>
      <c r="B51" s="127" t="s">
        <v>140</v>
      </c>
      <c r="C51" s="136" t="e">
        <f>SUMIFS('Resultater - Vestdanmark'!H$3:H$482,'Resultater - Vestdanmark'!$F$3:$F$482,$A51)/SUMIFS('Resultater - Danmark'!H$3:H$482,'Resultater - Danmark'!$F$3:$F$482,$A51)*C24</f>
        <v>#REF!</v>
      </c>
      <c r="D51" s="136" t="e">
        <f>SUMIFS('Resultater - Vestdanmark'!I$3:I$482,'Resultater - Vestdanmark'!$F$3:$F$482,$A51)/SUMIFS('Resultater - Danmark'!I$3:I$482,'Resultater - Danmark'!$F$3:$F$482,$A51)*D24</f>
        <v>#REF!</v>
      </c>
      <c r="E51" s="136" t="e">
        <f>SUMIFS('Resultater - Vestdanmark'!J$3:J$482,'Resultater - Vestdanmark'!$F$3:$F$482,$A51)/SUMIFS('Resultater - Danmark'!J$3:J$482,'Resultater - Danmark'!$F$3:$F$482,$A51)*E24</f>
        <v>#REF!</v>
      </c>
      <c r="F51" s="137">
        <f>VLOOKUP(A51,[1]Biogasudbytte!$A$2:$C$18,3,FALSE)</f>
        <v>0.2</v>
      </c>
      <c r="G51" s="138">
        <f t="shared" si="13"/>
        <v>75.599999999999994</v>
      </c>
      <c r="I51" s="127" t="str">
        <f t="shared" si="15"/>
        <v>Roer</v>
      </c>
      <c r="J51" s="127" t="s">
        <v>140</v>
      </c>
      <c r="K51" s="136" t="e">
        <f>SUMIFS('Resultater - Østdanmark'!H$3:H$482,'Resultater - Østdanmark'!$F$3:$F$482,$A51)/SUMIFS('Resultater - Danmark'!H$3:H$482,'Resultater - Danmark'!$F$3:$F$482,$A51)*C24</f>
        <v>#REF!</v>
      </c>
      <c r="L51" s="136" t="e">
        <f>SUMIFS('Resultater - Østdanmark'!I$3:I$482,'Resultater - Østdanmark'!$F$3:$F$482,$A51)/SUMIFS('Resultater - Danmark'!I$3:I$482,'Resultater - Danmark'!$F$3:$F$482,$A51)*D24</f>
        <v>#REF!</v>
      </c>
      <c r="M51" s="136" t="e">
        <f>SUMIFS('Resultater - Østdanmark'!J$3:J$482,'Resultater - Østdanmark'!$F$3:$F$482,$A51)/SUMIFS('Resultater - Danmark'!J$3:J$482,'Resultater - Danmark'!$F$3:$F$482,$A51)*E24</f>
        <v>#REF!</v>
      </c>
      <c r="N51" s="137">
        <f>VLOOKUP(I51,[1]Biogasudbytte!$A$2:$C$18,3,FALSE)</f>
        <v>0.2</v>
      </c>
      <c r="O51" s="138">
        <f t="shared" si="14"/>
        <v>75.599999999999994</v>
      </c>
    </row>
    <row r="52" spans="1:15" hidden="1" x14ac:dyDescent="0.2">
      <c r="A52" s="127" t="str">
        <f t="shared" si="12"/>
        <v>Have/parkaffald</v>
      </c>
      <c r="B52" s="127" t="s">
        <v>140</v>
      </c>
      <c r="C52" s="136" t="e">
        <f>SUMIFS('Resultater - Vestdanmark'!H$3:H$482,'Resultater - Vestdanmark'!$F$3:$F$482,$A52)/SUMIFS('Resultater - Danmark'!H$3:H$482,'Resultater - Danmark'!$F$3:$F$482,$A52)*C25</f>
        <v>#REF!</v>
      </c>
      <c r="D52" s="136" t="e">
        <f>SUMIFS('Resultater - Vestdanmark'!I$3:I$482,'Resultater - Vestdanmark'!$F$3:$F$482,$A52)/SUMIFS('Resultater - Danmark'!I$3:I$482,'Resultater - Danmark'!$F$3:$F$482,$A52)*D25</f>
        <v>#REF!</v>
      </c>
      <c r="E52" s="136" t="e">
        <f>SUMIFS('Resultater - Vestdanmark'!J$3:J$482,'Resultater - Vestdanmark'!$F$3:$F$482,$A52)/SUMIFS('Resultater - Danmark'!J$3:J$482,'Resultater - Danmark'!$F$3:$F$482,$A52)*E25</f>
        <v>#REF!</v>
      </c>
      <c r="F52" s="137">
        <f>VLOOKUP(A52,[1]Biogasudbytte!$A$2:$C$18,3,FALSE)</f>
        <v>0.3</v>
      </c>
      <c r="G52" s="138">
        <f t="shared" si="13"/>
        <v>47.3</v>
      </c>
      <c r="I52" s="127" t="str">
        <f t="shared" si="15"/>
        <v>Have/parkaffald</v>
      </c>
      <c r="J52" s="127" t="s">
        <v>140</v>
      </c>
      <c r="K52" s="136" t="e">
        <f>SUMIFS('Resultater - Østdanmark'!H$3:H$482,'Resultater - Østdanmark'!$F$3:$F$482,$A52)/SUMIFS('Resultater - Danmark'!H$3:H$482,'Resultater - Danmark'!$F$3:$F$482,$A52)*C25</f>
        <v>#REF!</v>
      </c>
      <c r="L52" s="136" t="e">
        <f>SUMIFS('Resultater - Østdanmark'!I$3:I$482,'Resultater - Østdanmark'!$F$3:$F$482,$A52)/SUMIFS('Resultater - Danmark'!I$3:I$482,'Resultater - Danmark'!$F$3:$F$482,$A52)*D25</f>
        <v>#REF!</v>
      </c>
      <c r="M52" s="136" t="e">
        <f>SUMIFS('Resultater - Østdanmark'!J$3:J$482,'Resultater - Østdanmark'!$F$3:$F$482,$A52)/SUMIFS('Resultater - Danmark'!J$3:J$482,'Resultater - Danmark'!$F$3:$F$482,$A52)*E25</f>
        <v>#REF!</v>
      </c>
      <c r="N52" s="137">
        <f>VLOOKUP(I52,[1]Biogasudbytte!$A$2:$C$18,3,FALSE)</f>
        <v>0.3</v>
      </c>
      <c r="O52" s="138">
        <f t="shared" si="14"/>
        <v>47.3</v>
      </c>
    </row>
    <row r="53" spans="1:15" hidden="1" x14ac:dyDescent="0.2">
      <c r="A53" s="128" t="str">
        <f t="shared" si="12"/>
        <v>Glycerin</v>
      </c>
      <c r="B53" s="128" t="s">
        <v>140</v>
      </c>
      <c r="C53" s="136">
        <f>C26*$B$36</f>
        <v>114193.60000000001</v>
      </c>
      <c r="D53" s="136">
        <f>D26*$B$36</f>
        <v>114193.60000000001</v>
      </c>
      <c r="E53" s="136">
        <f>E26*$B$36</f>
        <v>114193.60000000001</v>
      </c>
      <c r="F53" s="137">
        <f>VLOOKUP(A53,[1]Biogasudbytte!$A$2:$C$18,3,FALSE)</f>
        <v>0.9</v>
      </c>
      <c r="G53" s="138">
        <f t="shared" si="13"/>
        <v>423.36</v>
      </c>
      <c r="I53" s="128" t="str">
        <f t="shared" si="15"/>
        <v>Glycerin</v>
      </c>
      <c r="J53" s="128" t="s">
        <v>140</v>
      </c>
      <c r="K53" s="136">
        <f>C26*$C$36</f>
        <v>28548.400000000001</v>
      </c>
      <c r="L53" s="136">
        <f>D26*$C$36</f>
        <v>28548.400000000001</v>
      </c>
      <c r="M53" s="136">
        <f>E26*$C$36</f>
        <v>28548.400000000001</v>
      </c>
      <c r="N53" s="137">
        <f>VLOOKUP(I53,[1]Biogasudbytte!$A$2:$C$18,3,FALSE)</f>
        <v>0.9</v>
      </c>
      <c r="O53" s="138">
        <f t="shared" si="14"/>
        <v>423.36</v>
      </c>
    </row>
    <row r="54" spans="1:15" hidden="1" x14ac:dyDescent="0.2">
      <c r="A54" s="127" t="str">
        <f t="shared" si="12"/>
        <v>Muslinger</v>
      </c>
      <c r="B54" s="127" t="s">
        <v>140</v>
      </c>
      <c r="C54" s="136" t="e">
        <f>SUMIFS('Resultater - Vestdanmark'!H$3:H$482,'Resultater - Vestdanmark'!$F$3:$F$482,$A54)/SUMIFS('Resultater - Danmark'!H$3:H$482,'Resultater - Danmark'!$F$3:$F$482,$A54)*C27</f>
        <v>#REF!</v>
      </c>
      <c r="D54" s="136" t="e">
        <f>SUMIFS('Resultater - Vestdanmark'!I$3:I$482,'Resultater - Vestdanmark'!$F$3:$F$482,$A54)/SUMIFS('Resultater - Danmark'!I$3:I$482,'Resultater - Danmark'!$F$3:$F$482,$A54)*D27</f>
        <v>#REF!</v>
      </c>
      <c r="E54" s="136" t="e">
        <f>SUMIFS('Resultater - Vestdanmark'!J$3:J$482,'Resultater - Vestdanmark'!$F$3:$F$482,$A54)/SUMIFS('Resultater - Danmark'!J$3:J$482,'Resultater - Danmark'!$F$3:$F$482,$A54)*E27</f>
        <v>#REF!</v>
      </c>
      <c r="F54" s="137">
        <f>VLOOKUP(A54,[1]Biogasudbytte!$A$2:$C$18,3,FALSE)</f>
        <v>0.15</v>
      </c>
      <c r="G54" s="138">
        <f t="shared" si="13"/>
        <v>25</v>
      </c>
      <c r="I54" s="127" t="str">
        <f t="shared" si="15"/>
        <v>Muslinger</v>
      </c>
      <c r="J54" s="127" t="s">
        <v>140</v>
      </c>
      <c r="K54" s="136" t="e">
        <f>SUMIFS('Resultater - Østdanmark'!H$3:H$482,'Resultater - Østdanmark'!$F$3:$F$482,$A54)/SUMIFS('Resultater - Danmark'!H$3:H$482,'Resultater - Danmark'!$F$3:$F$482,$A54)*C27</f>
        <v>#REF!</v>
      </c>
      <c r="L54" s="136" t="e">
        <f>SUMIFS('Resultater - Østdanmark'!I$3:I$482,'Resultater - Østdanmark'!$F$3:$F$482,$A54)/SUMIFS('Resultater - Danmark'!I$3:I$482,'Resultater - Danmark'!$F$3:$F$482,$A54)*D27</f>
        <v>#REF!</v>
      </c>
      <c r="M54" s="136" t="e">
        <f>SUMIFS('Resultater - Østdanmark'!J$3:J$482,'Resultater - Østdanmark'!$F$3:$F$482,$A54)/SUMIFS('Resultater - Danmark'!J$3:J$482,'Resultater - Danmark'!$F$3:$F$482,$A54)*E27</f>
        <v>#REF!</v>
      </c>
      <c r="N54" s="137">
        <f>VLOOKUP(I54,[1]Biogasudbytte!$A$2:$C$18,3,FALSE)</f>
        <v>0.15</v>
      </c>
      <c r="O54" s="138">
        <f t="shared" si="14"/>
        <v>25</v>
      </c>
    </row>
    <row r="55" spans="1:15" ht="12.75" hidden="1" thickBot="1" x14ac:dyDescent="0.25">
      <c r="A55" s="142" t="str">
        <f t="shared" si="12"/>
        <v>Tang</v>
      </c>
      <c r="B55" s="142" t="s">
        <v>140</v>
      </c>
      <c r="C55" s="179" t="e">
        <f>SUMIFS('Resultater - Vestdanmark'!H$3:H$482,'Resultater - Vestdanmark'!$F$3:$F$482,$A55)/SUMIFS('Resultater - Danmark'!H$3:H$482,'Resultater - Danmark'!$F$3:$F$482,$A55)*C28</f>
        <v>#REF!</v>
      </c>
      <c r="D55" s="179" t="e">
        <f>SUMIFS('Resultater - Vestdanmark'!I$3:I$482,'Resultater - Vestdanmark'!$F$3:$F$482,$A55)/SUMIFS('Resultater - Danmark'!I$3:I$482,'Resultater - Danmark'!$F$3:$F$482,$A55)*D28</f>
        <v>#REF!</v>
      </c>
      <c r="E55" s="179" t="e">
        <f>SUMIFS('Resultater - Vestdanmark'!J$3:J$482,'Resultater - Vestdanmark'!$F$3:$F$482,$A55)/SUMIFS('Resultater - Danmark'!J$3:J$482,'Resultater - Danmark'!$F$3:$F$482,$A55)*E28</f>
        <v>#REF!</v>
      </c>
      <c r="F55" s="143">
        <f>VLOOKUP(A55,[1]Biogasudbytte!$A$2:$C$18,3,FALSE)</f>
        <v>0.15</v>
      </c>
      <c r="G55" s="144">
        <f t="shared" si="13"/>
        <v>25</v>
      </c>
      <c r="I55" s="142" t="str">
        <f t="shared" si="15"/>
        <v>Tang</v>
      </c>
      <c r="J55" s="142" t="s">
        <v>140</v>
      </c>
      <c r="K55" s="179" t="e">
        <f>SUMIFS('Resultater - Østdanmark'!H$3:H$482,'Resultater - Østdanmark'!$F$3:$F$482,$A55)/SUMIFS('Resultater - Danmark'!H$3:H$482,'Resultater - Danmark'!$F$3:$F$482,$A55)*C28</f>
        <v>#REF!</v>
      </c>
      <c r="L55" s="179" t="e">
        <f>SUMIFS('Resultater - Østdanmark'!I$3:I$482,'Resultater - Østdanmark'!$F$3:$F$482,$A55)/SUMIFS('Resultater - Danmark'!I$3:I$482,'Resultater - Danmark'!$F$3:$F$482,$A55)*D28</f>
        <v>#REF!</v>
      </c>
      <c r="M55" s="179" t="e">
        <f>SUMIFS('Resultater - Østdanmark'!J$3:J$482,'Resultater - Østdanmark'!$F$3:$F$482,$A55)/SUMIFS('Resultater - Danmark'!J$3:J$482,'Resultater - Danmark'!$F$3:$F$482,$A55)*E28</f>
        <v>#REF!</v>
      </c>
      <c r="N55" s="143">
        <f>VLOOKUP(I55,[1]Biogasudbytte!$A$2:$C$18,3,FALSE)</f>
        <v>0.15</v>
      </c>
      <c r="O55" s="144">
        <f t="shared" si="14"/>
        <v>25</v>
      </c>
    </row>
    <row r="56" spans="1:15" hidden="1" x14ac:dyDescent="0.2">
      <c r="A56" s="125" t="s">
        <v>105</v>
      </c>
      <c r="B56" s="125" t="s">
        <v>140</v>
      </c>
      <c r="C56" s="145" t="e">
        <f>SUM(C39:C55)</f>
        <v>#REF!</v>
      </c>
      <c r="D56" s="145" t="e">
        <f>SUM(D39:D55)</f>
        <v>#REF!</v>
      </c>
      <c r="E56" s="145" t="e">
        <f>SUM(E39:E55)</f>
        <v>#REF!</v>
      </c>
      <c r="F56" s="146"/>
      <c r="G56" s="146"/>
      <c r="I56" s="125" t="s">
        <v>105</v>
      </c>
      <c r="J56" s="125" t="s">
        <v>140</v>
      </c>
      <c r="K56" s="145" t="e">
        <f>SUM(K39:K55)</f>
        <v>#REF!</v>
      </c>
      <c r="L56" s="145" t="e">
        <f>SUM(L39:L55)</f>
        <v>#REF!</v>
      </c>
      <c r="M56" s="145" t="e">
        <f>SUM(M39:M55)</f>
        <v>#REF!</v>
      </c>
      <c r="N56" s="146"/>
      <c r="O56" s="146"/>
    </row>
    <row r="57" spans="1:15" hidden="1" x14ac:dyDescent="0.2">
      <c r="A57" s="148" t="s">
        <v>124</v>
      </c>
      <c r="C57" s="149" t="e">
        <f>SUMPRODUCT(C39:C55,$F$39:$F$55)/C56</f>
        <v>#REF!</v>
      </c>
      <c r="D57" s="149" t="e">
        <f>SUMPRODUCT(D39:D55,$F$39:$F$55)/D56</f>
        <v>#REF!</v>
      </c>
      <c r="E57" s="149" t="e">
        <f>SUMPRODUCT(E39:E55,$F$39:$F$55)/E56</f>
        <v>#REF!</v>
      </c>
      <c r="I57" s="148" t="s">
        <v>124</v>
      </c>
      <c r="K57" s="149" t="e">
        <f>SUMPRODUCT(K39:K55,$N$39:$N$55)/K56</f>
        <v>#REF!</v>
      </c>
      <c r="L57" s="149" t="e">
        <f>SUMPRODUCT(L39:L55,$N$39:$N$55)/L56</f>
        <v>#REF!</v>
      </c>
      <c r="M57" s="149" t="e">
        <f>SUMPRODUCT(M39:M55,$N$39:$N$55)/M56</f>
        <v>#REF!</v>
      </c>
    </row>
    <row r="58" spans="1:15" hidden="1" x14ac:dyDescent="0.2">
      <c r="A58" s="148" t="s">
        <v>161</v>
      </c>
      <c r="C58" s="149" t="e">
        <f>SUM(C48:C51)/C56</f>
        <v>#REF!</v>
      </c>
      <c r="D58" s="149" t="e">
        <f>SUM(D48:D51)/D56</f>
        <v>#REF!</v>
      </c>
      <c r="E58" s="149" t="e">
        <f>SUM(E48:E51)/E56</f>
        <v>#REF!</v>
      </c>
      <c r="I58" s="148" t="s">
        <v>161</v>
      </c>
      <c r="K58" s="149" t="e">
        <f>SUM(K48:K51)/K56</f>
        <v>#REF!</v>
      </c>
      <c r="L58" s="149" t="e">
        <f>SUM(L48:L51)/L56</f>
        <v>#REF!</v>
      </c>
      <c r="M58" s="149" t="e">
        <f>SUM(M48:M51)/M56</f>
        <v>#REF!</v>
      </c>
    </row>
    <row r="59" spans="1:15" hidden="1" x14ac:dyDescent="0.2">
      <c r="A59" s="125" t="s">
        <v>143</v>
      </c>
      <c r="B59" s="125" t="s">
        <v>144</v>
      </c>
      <c r="C59" s="125" t="e">
        <f>SUMPRODUCT(C39:C55,$I$12:$I$28)</f>
        <v>#REF!</v>
      </c>
      <c r="D59" s="125" t="e">
        <f>SUMPRODUCT(D39:D55,$I$12:$I$28)</f>
        <v>#REF!</v>
      </c>
      <c r="E59" s="125" t="e">
        <f>SUMPRODUCT(E39:E55,$I$12:$I$28)</f>
        <v>#REF!</v>
      </c>
      <c r="I59" s="125" t="s">
        <v>143</v>
      </c>
      <c r="J59" s="125" t="s">
        <v>144</v>
      </c>
      <c r="K59" s="125" t="e">
        <f>SUMPRODUCT(K39:K55,$I$12:$I$28)</f>
        <v>#REF!</v>
      </c>
      <c r="L59" s="125" t="e">
        <f>SUMPRODUCT(L39:L55,$I$12:$I$28)</f>
        <v>#REF!</v>
      </c>
      <c r="M59" s="125" t="e">
        <f>SUMPRODUCT(M39:M55,$I$12:$I$28)</f>
        <v>#REF!</v>
      </c>
    </row>
    <row r="60" spans="1:15" hidden="1" x14ac:dyDescent="0.2">
      <c r="A60" s="125" t="s">
        <v>143</v>
      </c>
      <c r="B60" s="125" t="s">
        <v>123</v>
      </c>
      <c r="C60" s="125" t="e">
        <f>C59*[1]Energiindhold!$C$10</f>
        <v>#REF!</v>
      </c>
      <c r="D60" s="125" t="e">
        <f>D59*[1]Energiindhold!$C$10</f>
        <v>#REF!</v>
      </c>
      <c r="E60" s="125" t="e">
        <f>E59*[1]Energiindhold!$C$10</f>
        <v>#REF!</v>
      </c>
      <c r="I60" s="125" t="s">
        <v>143</v>
      </c>
      <c r="J60" s="125" t="s">
        <v>123</v>
      </c>
      <c r="K60" s="125" t="e">
        <f>K59*[1]Energiindhold!$C$10</f>
        <v>#REF!</v>
      </c>
      <c r="L60" s="125" t="e">
        <f>L59*[1]Energiindhold!$C$10</f>
        <v>#REF!</v>
      </c>
      <c r="M60" s="125" t="e">
        <f>M59*[1]Energiindhold!$C$10</f>
        <v>#REF!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E22"/>
  <sheetViews>
    <sheetView zoomScale="117" workbookViewId="0">
      <selection activeCell="E21" sqref="E21"/>
    </sheetView>
  </sheetViews>
  <sheetFormatPr defaultColWidth="9.140625" defaultRowHeight="15" x14ac:dyDescent="0.25"/>
  <cols>
    <col min="1" max="1" width="20" style="1" customWidth="1"/>
    <col min="2" max="4" width="9.140625" style="1"/>
    <col min="5" max="5" width="45.7109375" style="1" customWidth="1"/>
    <col min="6" max="16384" width="9.140625" style="1"/>
  </cols>
  <sheetData>
    <row r="1" spans="1:5" x14ac:dyDescent="0.25">
      <c r="A1" s="231" t="s">
        <v>281</v>
      </c>
    </row>
    <row r="2" spans="1:5" ht="15.75" x14ac:dyDescent="0.25">
      <c r="A2" s="229" t="s">
        <v>318</v>
      </c>
    </row>
    <row r="3" spans="1:5" x14ac:dyDescent="0.25">
      <c r="A3" s="2" t="s">
        <v>140</v>
      </c>
      <c r="B3" s="2">
        <f>År1</f>
        <v>2019</v>
      </c>
      <c r="C3" s="2">
        <f>År2</f>
        <v>2030</v>
      </c>
      <c r="D3" s="2">
        <f>År3</f>
        <v>2050</v>
      </c>
    </row>
    <row r="4" spans="1:5" x14ac:dyDescent="0.25">
      <c r="A4" s="2" t="s">
        <v>68</v>
      </c>
      <c r="B4" s="109">
        <v>0</v>
      </c>
      <c r="C4" s="110">
        <v>0</v>
      </c>
      <c r="D4" s="110">
        <v>0</v>
      </c>
    </row>
    <row r="5" spans="1:5" x14ac:dyDescent="0.25">
      <c r="A5" s="311"/>
    </row>
    <row r="6" spans="1:5" x14ac:dyDescent="0.25">
      <c r="A6" s="311"/>
    </row>
    <row r="7" spans="1:5" ht="15.75" x14ac:dyDescent="0.25">
      <c r="A7" s="229" t="s">
        <v>304</v>
      </c>
    </row>
    <row r="8" spans="1:5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5" x14ac:dyDescent="0.25">
      <c r="A9" s="2" t="str">
        <f>'[1]Processer - data'!$D459</f>
        <v>Halm</v>
      </c>
      <c r="B9" s="87">
        <v>0</v>
      </c>
      <c r="C9" s="3">
        <v>0</v>
      </c>
      <c r="D9" s="3">
        <v>0</v>
      </c>
    </row>
    <row r="10" spans="1:5" x14ac:dyDescent="0.25">
      <c r="A10" s="2" t="str">
        <f>'[1]Processer - data'!$D460</f>
        <v>Rapsolie</v>
      </c>
      <c r="B10" s="87">
        <v>0.48</v>
      </c>
      <c r="C10" s="3">
        <v>0</v>
      </c>
      <c r="D10" s="3">
        <v>0</v>
      </c>
      <c r="E10" s="1" t="s">
        <v>337</v>
      </c>
    </row>
    <row r="11" spans="1:5" x14ac:dyDescent="0.25">
      <c r="A11" s="2" t="str">
        <f>'[1]Processer - data'!$D461</f>
        <v>Pil &amp; poppel</v>
      </c>
      <c r="B11" s="87">
        <v>0</v>
      </c>
      <c r="C11" s="3">
        <v>0</v>
      </c>
      <c r="D11" s="3">
        <v>0</v>
      </c>
    </row>
    <row r="12" spans="1:5" x14ac:dyDescent="0.25">
      <c r="A12" s="2" t="str">
        <f>'[1]Processer - data'!$D462</f>
        <v>Træ til energi</v>
      </c>
      <c r="B12" s="87">
        <v>0</v>
      </c>
      <c r="C12" s="3">
        <v>0</v>
      </c>
      <c r="D12" s="3">
        <v>0</v>
      </c>
    </row>
    <row r="13" spans="1:5" x14ac:dyDescent="0.25">
      <c r="A13" s="2" t="str">
        <f>'[1]Processer - data'!$D463</f>
        <v>Have/parkaffald</v>
      </c>
      <c r="B13" s="87">
        <v>0</v>
      </c>
      <c r="C13" s="3">
        <v>0</v>
      </c>
      <c r="D13" s="3">
        <v>0</v>
      </c>
    </row>
    <row r="14" spans="1:5" x14ac:dyDescent="0.25">
      <c r="A14" s="2" t="str">
        <f>'[1]Processer - data'!$D464</f>
        <v>Bioaffald</v>
      </c>
      <c r="B14" s="87">
        <v>0</v>
      </c>
      <c r="C14" s="3">
        <v>0</v>
      </c>
      <c r="D14" s="3">
        <v>0</v>
      </c>
    </row>
    <row r="16" spans="1:5" x14ac:dyDescent="0.25">
      <c r="A16" s="2" t="s">
        <v>250</v>
      </c>
      <c r="B16" s="2">
        <f>År1</f>
        <v>2019</v>
      </c>
      <c r="C16" s="2">
        <f>År2</f>
        <v>2030</v>
      </c>
      <c r="D16" s="2">
        <f>År3</f>
        <v>2050</v>
      </c>
    </row>
    <row r="17" spans="1:4" x14ac:dyDescent="0.25">
      <c r="A17" s="2" t="str">
        <f>A9</f>
        <v>Halm</v>
      </c>
      <c r="B17" s="109" t="e">
        <f>SUMIFS('Forbrug af biomasse'!$E$2:$E$403,'Forbrug af biomasse'!$D$2:$D$403,'Forbrug til andet'!B$16,'Forbrug af biomasse'!$C$2:$C$403,'Forbrug til andet'!$A17,'Forbrug af biomasse'!$A$2:$A$403,"Materialer")</f>
        <v>#REF!</v>
      </c>
      <c r="C17" s="109" t="e">
        <f>SUMIFS('Forbrug af biomasse'!$E$2:$E$403,'Forbrug af biomasse'!$D$2:$D$403,'Forbrug til andet'!C$16,'Forbrug af biomasse'!$C$2:$C$403,'Forbrug til andet'!$A17,'Forbrug af biomasse'!$A$2:$A$403,"Materialer")</f>
        <v>#REF!</v>
      </c>
      <c r="D17" s="109" t="e">
        <f>SUMIFS('Forbrug af biomasse'!$E$2:$E$403,'Forbrug af biomasse'!$D$2:$D$403,'Forbrug til andet'!D$16,'Forbrug af biomasse'!$C$2:$C$403,'Forbrug til andet'!$A17,'Forbrug af biomasse'!$A$2:$A$403,"Materialer")</f>
        <v>#REF!</v>
      </c>
    </row>
    <row r="18" spans="1:4" x14ac:dyDescent="0.25">
      <c r="A18" s="2" t="str">
        <f t="shared" ref="A18:A22" si="0">A10</f>
        <v>Rapsolie</v>
      </c>
      <c r="B18" s="109" t="e">
        <f>SUMIFS('Forbrug af biomasse'!$E$2:$E$403,'Forbrug af biomasse'!$D$2:$D$403,'Forbrug til andet'!B$16,'Forbrug af biomasse'!$C$2:$C$403,'Forbrug til andet'!$A18,'Forbrug af biomasse'!$A$2:$A$403,"Materialer")</f>
        <v>#REF!</v>
      </c>
      <c r="C18" s="109" t="e">
        <f>SUMIFS('Forbrug af biomasse'!$E$2:$E$403,'Forbrug af biomasse'!$D$2:$D$403,'Forbrug til andet'!C$16,'Forbrug af biomasse'!$C$2:$C$403,'Forbrug til andet'!$A18,'Forbrug af biomasse'!$A$2:$A$403,"Materialer")</f>
        <v>#REF!</v>
      </c>
      <c r="D18" s="109" t="e">
        <f>SUMIFS('Forbrug af biomasse'!$E$2:$E$403,'Forbrug af biomasse'!$D$2:$D$403,'Forbrug til andet'!D$16,'Forbrug af biomasse'!$C$2:$C$403,'Forbrug til andet'!$A18,'Forbrug af biomasse'!$A$2:$A$403,"Materialer")</f>
        <v>#REF!</v>
      </c>
    </row>
    <row r="19" spans="1:4" x14ac:dyDescent="0.25">
      <c r="A19" s="2" t="str">
        <f t="shared" si="0"/>
        <v>Pil &amp; poppel</v>
      </c>
      <c r="B19" s="109" t="e">
        <f>SUMIFS('Forbrug af biomasse'!$E$2:$E$403,'Forbrug af biomasse'!$D$2:$D$403,'Forbrug til andet'!B$16,'Forbrug af biomasse'!$C$2:$C$403,'Forbrug til andet'!$A19,'Forbrug af biomasse'!$A$2:$A$403,"Materialer")</f>
        <v>#REF!</v>
      </c>
      <c r="C19" s="109" t="e">
        <f>SUMIFS('Forbrug af biomasse'!$E$2:$E$403,'Forbrug af biomasse'!$D$2:$D$403,'Forbrug til andet'!C$16,'Forbrug af biomasse'!$C$2:$C$403,'Forbrug til andet'!$A19,'Forbrug af biomasse'!$A$2:$A$403,"Materialer")</f>
        <v>#REF!</v>
      </c>
      <c r="D19" s="109" t="e">
        <f>SUMIFS('Forbrug af biomasse'!$E$2:$E$403,'Forbrug af biomasse'!$D$2:$D$403,'Forbrug til andet'!D$16,'Forbrug af biomasse'!$C$2:$C$403,'Forbrug til andet'!$A19,'Forbrug af biomasse'!$A$2:$A$403,"Materialer")</f>
        <v>#REF!</v>
      </c>
    </row>
    <row r="20" spans="1:4" x14ac:dyDescent="0.25">
      <c r="A20" s="2" t="str">
        <f t="shared" si="0"/>
        <v>Træ til energi</v>
      </c>
      <c r="B20" s="109" t="e">
        <f>SUMIFS('Forbrug af biomasse'!$E$2:$E$403,'Forbrug af biomasse'!$D$2:$D$403,'Forbrug til andet'!B$16,'Forbrug af biomasse'!$C$2:$C$403,'Forbrug til andet'!$A20,'Forbrug af biomasse'!$A$2:$A$403,"Materialer")</f>
        <v>#REF!</v>
      </c>
      <c r="C20" s="109" t="e">
        <f>SUMIFS('Forbrug af biomasse'!$E$2:$E$403,'Forbrug af biomasse'!$D$2:$D$403,'Forbrug til andet'!C$16,'Forbrug af biomasse'!$C$2:$C$403,'Forbrug til andet'!$A20,'Forbrug af biomasse'!$A$2:$A$403,"Materialer")</f>
        <v>#REF!</v>
      </c>
      <c r="D20" s="109" t="e">
        <f>SUMIFS('Forbrug af biomasse'!$E$2:$E$403,'Forbrug af biomasse'!$D$2:$D$403,'Forbrug til andet'!D$16,'Forbrug af biomasse'!$C$2:$C$403,'Forbrug til andet'!$A20,'Forbrug af biomasse'!$A$2:$A$403,"Materialer")</f>
        <v>#REF!</v>
      </c>
    </row>
    <row r="21" spans="1:4" x14ac:dyDescent="0.25">
      <c r="A21" s="2" t="str">
        <f t="shared" si="0"/>
        <v>Have/parkaffald</v>
      </c>
      <c r="B21" s="109" t="e">
        <f>SUMIFS('Forbrug af biomasse'!$E$2:$E$403,'Forbrug af biomasse'!$D$2:$D$403,'Forbrug til andet'!B$16,'Forbrug af biomasse'!$C$2:$C$403,'Forbrug til andet'!$A21,'Forbrug af biomasse'!$A$2:$A$403,"Materialer")</f>
        <v>#REF!</v>
      </c>
      <c r="C21" s="109" t="e">
        <f>SUMIFS('Forbrug af biomasse'!$E$2:$E$403,'Forbrug af biomasse'!$D$2:$D$403,'Forbrug til andet'!C$16,'Forbrug af biomasse'!$C$2:$C$403,'Forbrug til andet'!$A21,'Forbrug af biomasse'!$A$2:$A$403,"Materialer")</f>
        <v>#REF!</v>
      </c>
      <c r="D21" s="109" t="e">
        <f>SUMIFS('Forbrug af biomasse'!$E$2:$E$403,'Forbrug af biomasse'!$D$2:$D$403,'Forbrug til andet'!D$16,'Forbrug af biomasse'!$C$2:$C$403,'Forbrug til andet'!$A21,'Forbrug af biomasse'!$A$2:$A$403,"Materialer")</f>
        <v>#REF!</v>
      </c>
    </row>
    <row r="22" spans="1:4" x14ac:dyDescent="0.25">
      <c r="A22" s="2" t="str">
        <f t="shared" si="0"/>
        <v>Bioaffald</v>
      </c>
      <c r="B22" s="109" t="e">
        <f>SUMIFS('Forbrug af biomasse'!$E$2:$E$403,'Forbrug af biomasse'!$D$2:$D$403,'Forbrug til andet'!B$16,'Forbrug af biomasse'!$C$2:$C$403,'Forbrug til andet'!$A22,'Forbrug af biomasse'!$A$2:$A$403,"Materialer")</f>
        <v>#REF!</v>
      </c>
      <c r="C22" s="109" t="e">
        <f>SUMIFS('Forbrug af biomasse'!$E$2:$E$403,'Forbrug af biomasse'!$D$2:$D$403,'Forbrug til andet'!C$16,'Forbrug af biomasse'!$C$2:$C$403,'Forbrug til andet'!$A22,'Forbrug af biomasse'!$A$2:$A$403,"Materialer")</f>
        <v>#REF!</v>
      </c>
      <c r="D22" s="109" t="e">
        <f>SUMIFS('Forbrug af biomasse'!$E$2:$E$403,'Forbrug af biomasse'!$D$2:$D$403,'Forbrug til andet'!D$16,'Forbrug af biomasse'!$C$2:$C$403,'Forbrug til andet'!$A22,'Forbrug af biomasse'!$A$2:$A$403,"Materialer")</f>
        <v>#REF!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9FCC3-6F11-4492-846A-11E022D09B95}">
  <sheetPr codeName="Sheet14">
    <tabColor rgb="FFFF0000"/>
  </sheetPr>
  <dimension ref="A1:A2"/>
  <sheetViews>
    <sheetView workbookViewId="0">
      <selection activeCell="A2" sqref="A2"/>
    </sheetView>
  </sheetViews>
  <sheetFormatPr defaultColWidth="8.85546875" defaultRowHeight="15" x14ac:dyDescent="0.25"/>
  <cols>
    <col min="1" max="16384" width="8.85546875" style="92"/>
  </cols>
  <sheetData>
    <row r="1" spans="1:1" x14ac:dyDescent="0.25">
      <c r="A1" s="6" t="s">
        <v>252</v>
      </c>
    </row>
    <row r="2" spans="1:1" x14ac:dyDescent="0.25">
      <c r="A2" s="92" t="s">
        <v>253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59" workbookViewId="0">
      <selection activeCell="I171" sqref="I171:I182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86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98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t="e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#VALUE!</v>
      </c>
      <c r="H3" s="96" t="e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#VALUE!</v>
      </c>
      <c r="I3" s="96" t="e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#VALUE!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t="e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#VALUE!</v>
      </c>
      <c r="H4" s="96" t="e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#VALUE!</v>
      </c>
      <c r="I4" s="96" t="e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#VALUE!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t="e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#VALUE!</v>
      </c>
      <c r="H5" s="96" t="e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#VALUE!</v>
      </c>
      <c r="I5" s="96" t="e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#VALUE!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t="e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#VALUE!</v>
      </c>
      <c r="H6" s="96" t="e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#VALUE!</v>
      </c>
      <c r="I6" s="96" t="e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#VALUE!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t="e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#VALUE!</v>
      </c>
      <c r="H7" s="96" t="e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#VALUE!</v>
      </c>
      <c r="I7" s="96" t="e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#VALUE!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t="e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#VALUE!</v>
      </c>
      <c r="H8" s="96" t="e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#VALUE!</v>
      </c>
      <c r="I8" s="96" t="e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#VALUE!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t="e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#VALUE!</v>
      </c>
      <c r="H9" s="96" t="e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#VALUE!</v>
      </c>
      <c r="I9" s="96" t="e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#VALUE!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t="e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#VALUE!</v>
      </c>
      <c r="H10" s="96" t="e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#VALUE!</v>
      </c>
      <c r="I10" s="96" t="e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#VALUE!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t="e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#VALUE!</v>
      </c>
      <c r="H11" s="96" t="e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#VALUE!</v>
      </c>
      <c r="I11" s="96" t="e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#VALUE!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t="e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#VALUE!</v>
      </c>
      <c r="H12" s="96" t="e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#VALUE!</v>
      </c>
      <c r="I12" s="96" t="e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#VALUE!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t="e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#VALUE!</v>
      </c>
      <c r="H13" s="96" t="e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#VALUE!</v>
      </c>
      <c r="I13" s="96" t="e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#VALUE!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t="e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#VALUE!</v>
      </c>
      <c r="H14" s="96" t="e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#VALUE!</v>
      </c>
      <c r="I14" s="96" t="e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#VALUE!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t="e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#VALUE!</v>
      </c>
      <c r="H15" s="96" t="e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#VALUE!</v>
      </c>
      <c r="I15" s="96" t="e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#VALUE!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t="e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#VALUE!</v>
      </c>
      <c r="H16" s="96" t="e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#VALUE!</v>
      </c>
      <c r="I16" s="96" t="e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#VALUE!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12397.451002927566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11824.158471000279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1062.761606425149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1013.616561041327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1137.9870596805204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1085.3633806201497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10501.746271795293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10016.116386394353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49.117062325833871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46.845753085332873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775.43110733760068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739.57302144915673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20.343682789424093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19.402934452340897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2626.0637331851003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2504.6272599742283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44.737253203575285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42.668478488959082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791.21864877871178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754.6305031704477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1952.9609549061931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1862.6506217313402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224.38166373606674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214.00563304306942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368.51743073956908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351.476162266063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40667.094971784412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38786.535666730793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6829.6764788402734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6513.8532890673114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393.24746020858441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375.06260655732041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509.2376538265151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485.68909179985542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11744.627821749295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11201.523645021003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13.650927813648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13.019671036138266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722.54761223276046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689.13500588673674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7.81367517821608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7.4523491584141794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971.70700105983565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926.7725732651611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27.846169827307591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26.558485673443656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492.48461375505457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469.71075878372255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1566.9213854799195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1494.4625930877842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139.66369115457903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133.20525456939615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329.67947330545348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314.43417974219551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31481.370371455621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30025.584458324727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t="e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#VALUE!</v>
      </c>
      <c r="H45" s="96" t="e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#VALUE!</v>
      </c>
      <c r="I45" s="96" t="e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#VALUE!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t="e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#VALUE!</v>
      </c>
      <c r="H46" s="96" t="e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#VALUE!</v>
      </c>
      <c r="I46" s="96" t="e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#VALUE!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t="e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#VALUE!</v>
      </c>
      <c r="H47" s="96" t="e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#VALUE!</v>
      </c>
      <c r="I47" s="96" t="e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#VALUE!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t="e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#VALUE!</v>
      </c>
      <c r="H48" s="96" t="e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#VALUE!</v>
      </c>
      <c r="I48" s="96" t="e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#VALUE!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t="e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#VALUE!</v>
      </c>
      <c r="H49" s="96" t="e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#VALUE!</v>
      </c>
      <c r="I49" s="96" t="e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#VALUE!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t="e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#VALUE!</v>
      </c>
      <c r="H50" s="96" t="e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#VALUE!</v>
      </c>
      <c r="I50" s="96" t="e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#VALUE!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t="e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#VALUE!</v>
      </c>
      <c r="H51" s="96" t="e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#VALUE!</v>
      </c>
      <c r="I51" s="96" t="e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#VALUE!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t="e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#VALUE!</v>
      </c>
      <c r="H52" s="96" t="e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#VALUE!</v>
      </c>
      <c r="I52" s="96" t="e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#VALUE!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t="e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#VALUE!</v>
      </c>
      <c r="H53" s="96" t="e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#VALUE!</v>
      </c>
      <c r="I53" s="96" t="e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#VALUE!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t="e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#VALUE!</v>
      </c>
      <c r="H54" s="96" t="e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#VALUE!</v>
      </c>
      <c r="I54" s="96" t="e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#VALUE!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t="e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#VALUE!</v>
      </c>
      <c r="H55" s="96" t="e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#VALUE!</v>
      </c>
      <c r="I55" s="96" t="e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#VALUE!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t="e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#VALUE!</v>
      </c>
      <c r="H56" s="96" t="e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#VALUE!</v>
      </c>
      <c r="I56" s="96" t="e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#VALUE!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t="e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#VALUE!</v>
      </c>
      <c r="H57" s="96" t="e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#VALUE!</v>
      </c>
      <c r="I57" s="96" t="e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#VALUE!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t="e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#VALUE!</v>
      </c>
      <c r="H58" s="96" t="e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#VALUE!</v>
      </c>
      <c r="I58" s="96" t="e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#VALUE!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1934.8622952545911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2508.1548271818774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165.86452817039898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215.00957355422085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177.60491682875178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230.22859588912263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1639.0008632281672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2124.6307486291057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7.6656686866908359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9.9369779271918226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121.0210398734984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156.87912576194233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3.1750256376557835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4.1157739747389783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409.84809708669195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531.28457029756362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6.9821146618296694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9.0508893764458662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123.48499142789146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160.07313703615557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304.79737446512843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395.1077076399813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35.01910358886591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45.395134281863214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57.514281098083039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74.555549571589111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6346.8876545559488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8227.4469596095623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1065.9032654837422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1381.7264552567024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61.373881073016072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79.558734724280086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79.476396839976346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103.024958866636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1832.9765964579826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2376.0807731862733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2.1304916240953529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2.7617484016050868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112.76754641782966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146.18015276385327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1.2194753168314114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1.5808013366333109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151.6536938070264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196.58812160170083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4.3459340192907803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5.6336181731547148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76.861760528245512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99.635615499577497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244.54842432345563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317.00721671559063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21.797223474992101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28.255660060174939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51.452865775995633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66.698159339253593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4913.2774568167742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6369.0633699476693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t="e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#VALUE!</v>
      </c>
      <c r="H87" s="96" t="e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#VALUE!</v>
      </c>
      <c r="I87" s="96" t="e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#VALUE!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t="e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#VALUE!</v>
      </c>
      <c r="H88" s="96" t="e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#VALUE!</v>
      </c>
      <c r="I88" s="96" t="e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#VALUE!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t="e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#VALUE!</v>
      </c>
      <c r="H89" s="96" t="e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#VALUE!</v>
      </c>
      <c r="I89" s="96" t="e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#VALUE!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t="e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#VALUE!</v>
      </c>
      <c r="H90" s="96" t="e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#VALUE!</v>
      </c>
      <c r="I90" s="96" t="e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#VALUE!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t="e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#VALUE!</v>
      </c>
      <c r="H91" s="96" t="e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#VALUE!</v>
      </c>
      <c r="I91" s="96" t="e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#VALUE!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t="e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#VALUE!</v>
      </c>
      <c r="H92" s="96" t="e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#VALUE!</v>
      </c>
      <c r="I92" s="96" t="e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#VALUE!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t="e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#VALUE!</v>
      </c>
      <c r="H93" s="96" t="e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#VALUE!</v>
      </c>
      <c r="I93" s="96" t="e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#VALUE!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t="e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#VALUE!</v>
      </c>
      <c r="H94" s="96" t="e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#VALUE!</v>
      </c>
      <c r="I94" s="96" t="e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#VALUE!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t="e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#VALUE!</v>
      </c>
      <c r="H95" s="96" t="e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#VALUE!</v>
      </c>
      <c r="I95" s="96" t="e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#VALUE!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t="e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#VALUE!</v>
      </c>
      <c r="H96" s="96" t="e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#VALUE!</v>
      </c>
      <c r="I96" s="96" t="e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#VALUE!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t="e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#VALUE!</v>
      </c>
      <c r="H97" s="96" t="e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#VALUE!</v>
      </c>
      <c r="I97" s="96" t="e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#VALUE!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t="e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#VALUE!</v>
      </c>
      <c r="H98" s="96" t="e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#VALUE!</v>
      </c>
      <c r="I98" s="96" t="e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#VALUE!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t="e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#VALUE!</v>
      </c>
      <c r="H99" s="96" t="e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#VALUE!</v>
      </c>
      <c r="I99" s="96" t="e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#VALUE!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t="e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#VALUE!</v>
      </c>
      <c r="H100" s="96" t="e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#VALUE!</v>
      </c>
      <c r="I100" s="96" t="e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#VALUE!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1752.9487519585884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1671.8875379951853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47.402536309570174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45.21051150912762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191.46624906280843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182.61231847030859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562.99099727781993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536.95673150774724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10.662439786194978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10.169378986833362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18.127123488677832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17.288875003652265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50.643369270114505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48.301479361669905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53.993646777040333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51.496830741107829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11.647539532185737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11.108924987344778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83.169081452753318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79.323112368232927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603.80358732362868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575.88203415259386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18.25162816502359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17.407622238317295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38.736771764982237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36.945475960821213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4383.0738282155862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4180.3883332692003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1053.0573109296802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1004.3610190947816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19.126993325199422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18.242508084727771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93.430886843548848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89.110383405696865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686.58489509283288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654.83530456830886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3.2314797199590726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3.0820471317528724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18.419048913328059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17.567300986700172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21.211111456389141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20.230250811006982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21.786516121482823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20.77904716788824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7.9057923278821436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7.5402065554945299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56.451191622853806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53.840731894629357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528.28027242495364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503.85112687929109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12.388331588802384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11.815460763886664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37.789605201644072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36.042109007348387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3393.0422285443651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3236.1385416752614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t="e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#VALUE!</v>
      </c>
      <c r="H129" s="96" t="e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#VALUE!</v>
      </c>
      <c r="I129" s="96" t="e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#VALUE!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t="e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#VALUE!</v>
      </c>
      <c r="H130" s="96" t="e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#VALUE!</v>
      </c>
      <c r="I130" s="96" t="e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#VALUE!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t="e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#VALUE!</v>
      </c>
      <c r="H131" s="96" t="e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#VALUE!</v>
      </c>
      <c r="I131" s="96" t="e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#VALUE!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t="e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#VALUE!</v>
      </c>
      <c r="H132" s="96" t="e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#VALUE!</v>
      </c>
      <c r="I132" s="96" t="e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#VALUE!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t="e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#VALUE!</v>
      </c>
      <c r="H133" s="96" t="e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#VALUE!</v>
      </c>
      <c r="I133" s="96" t="e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#VALUE!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t="e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#VALUE!</v>
      </c>
      <c r="H134" s="96" t="e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#VALUE!</v>
      </c>
      <c r="I134" s="96" t="e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#VALUE!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t="e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#VALUE!</v>
      </c>
      <c r="H135" s="96" t="e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#VALUE!</v>
      </c>
      <c r="I135" s="96" t="e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#VALUE!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t="e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#VALUE!</v>
      </c>
      <c r="H136" s="96" t="e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#VALUE!</v>
      </c>
      <c r="I136" s="96" t="e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#VALUE!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t="e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#VALUE!</v>
      </c>
      <c r="H137" s="96" t="e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#VALUE!</v>
      </c>
      <c r="I137" s="96" t="e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#VALUE!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t="e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#VALUE!</v>
      </c>
      <c r="H138" s="96" t="e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#VALUE!</v>
      </c>
      <c r="I138" s="96" t="e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#VALUE!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t="e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#VALUE!</v>
      </c>
      <c r="H139" s="96" t="e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#VALUE!</v>
      </c>
      <c r="I139" s="96" t="e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#VALUE!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t="e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#VALUE!</v>
      </c>
      <c r="H140" s="96" t="e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#VALUE!</v>
      </c>
      <c r="I140" s="96" t="e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#VALUE!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t="e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#VALUE!</v>
      </c>
      <c r="H141" s="96" t="e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#VALUE!</v>
      </c>
      <c r="I141" s="96" t="e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#VALUE!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t="e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#VALUE!</v>
      </c>
      <c r="H142" s="96" t="e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#VALUE!</v>
      </c>
      <c r="I142" s="96" t="e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#VALUE!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273.58159712648495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354.6428110898878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7.3980837014936114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9.5901085019361609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29.882015749686865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38.735946342186679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87.865646973995027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113.89991274406761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1.6640801978454596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2.1571409972070765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2.8290886369612802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3.6673371219868445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7.9038784410005301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10.245768349445131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8.4267541212721913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10.923570157204692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1.8178240888382367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2.3564386336791951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12.9801456602563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16.826114744776682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94.235241952242646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122.15679512327748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2.8485200026337401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3.6925259293400323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6.0456233390434706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7.8369191432044989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684.06354544405099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886.74904039043645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164.34998494278247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213.04627677768096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2.9851376865918176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3.8696229270634666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14.581699102750399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18.902202540602364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107.15486802026872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138.90445854479279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0.50433498519592468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0.65376757340212444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2.8746492523691192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3.7263971789970061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3.3104046781647791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4.291265323546936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3.4002077183817128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4.4076766719762936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1.2338519818081959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1.5994377541958094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8.8103015827575319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11.420761310981984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82.448366216611277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106.87751176227387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1.9334390340905452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2.5063098590062625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5.8977996557479182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7.6452958500435964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529.54994318322474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686.45363005232821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10081251.358070999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9651553.6380710006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1460744.2385455577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1398482.2785455578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661191.6419289998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1090889.3619289997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95804.761454442225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158066.72145444219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1152879.1032080106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1097180.5432080105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81939.740694402441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77981.020694402439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239584.89679198936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295283.45679198933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17028.259305597563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20986.979305597561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17790568.192894831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16939594.832894832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1493155.8217107425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1421733.9417107427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3483765.8071051692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4334739.167105169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292391.17828925751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363813.05828925752</v>
      </c>
    </row>
    <row r="183" spans="1:9" x14ac:dyDescent="0.25">
      <c r="A183" t="s">
        <v>23</v>
      </c>
      <c r="B183" t="s">
        <v>76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76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184</v>
      </c>
      <c r="D185" t="s">
        <v>184</v>
      </c>
      <c r="E185" s="155" t="s">
        <v>183</v>
      </c>
      <c r="F185" t="str">
        <f>CONCATENATE("Areal-",LOWER(B185))</f>
        <v>Areal-basisskov</v>
      </c>
      <c r="G185" s="107" t="e">
        <f>IF($A185="Vestdanmark",SUMIFS(IF(G$2=År1,Skovbrug!$C$21:$C$41,IF(G$2=År2,Skovbrug!$D$21:$D$41,Skovbrug!$E$21:$E$41)),Skovbrug!$A$21:$A$41,'Direkte input'!$B185,Skovbrug!$B$21:$B$41,'Direkte input'!$E185),SUMIFS(IF(G$2=År1,Skovbrug!$F$21:$F$41,IF(G$2=År2,Skovbrug!$G$21:$G$41,Skovbrug!$H$21:$H$41)),Skovbrug!$A$21:$A$41,'Direkte input'!$B185,Skovbrug!$B$21:$B$41,'Direkte input'!$E185))</f>
        <v>#VALUE!</v>
      </c>
      <c r="H185" s="107" t="e">
        <f>IF($A185="Vestdanmark",SUMIFS(IF(H$2=År1,Skovbrug!$C$21:$C$41,IF(H$2=År2,Skovbrug!$D$21:$D$41,Skovbrug!$E$21:$E$41)),Skovbrug!$A$21:$A$41,'Direkte input'!$B185,Skovbrug!$B$21:$B$41,'Direkte input'!$E185),SUMIFS(IF(H$2=År1,Skovbrug!$F$21:$F$41,IF(H$2=År2,Skovbrug!$G$21:$G$41,Skovbrug!$H$21:$H$41)),Skovbrug!$A$21:$A$41,'Direkte input'!$B185,Skovbrug!$B$21:$B$41,'Direkte input'!$E185))</f>
        <v>#VALUE!</v>
      </c>
      <c r="I185" s="107" t="e">
        <f>IF($A185="Vestdanmark",SUMIFS(IF(I$2=År1,Skovbrug!$C$21:$C$41,IF(I$2=År2,Skovbrug!$D$21:$D$41,Skovbrug!$E$21:$E$41)),Skovbrug!$A$21:$A$41,'Direkte input'!$B185,Skovbrug!$B$21:$B$41,'Direkte input'!$E185),SUMIFS(IF(I$2=År1,Skovbrug!$F$21:$F$41,IF(I$2=År2,Skovbrug!$G$21:$G$41,Skovbrug!$H$21:$H$41)),Skovbrug!$A$21:$A$41,'Direkte input'!$B185,Skovbrug!$B$21:$B$41,'Direkte input'!$E185))</f>
        <v>#VALUE!</v>
      </c>
    </row>
    <row r="186" spans="1:9" x14ac:dyDescent="0.25">
      <c r="A186" t="s">
        <v>23</v>
      </c>
      <c r="B186" t="s">
        <v>178</v>
      </c>
      <c r="D186" t="s">
        <v>178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IF($A186="Vestdanmark",SUMIFS(IF(G$2=År1,Skovbrug!$C$21:$C$41,IF(G$2=År2,Skovbrug!$D$21:$D$41,Skovbrug!$E$21:$E$41)),Skovbrug!$A$21:$A$41,'Direkte input'!$B186,Skovbrug!$B$21:$B$41,'Direkte input'!$E186),SUMIFS(IF(G$2=År1,Skovbrug!$F$21:$F$41,IF(G$2=År2,Skovbrug!$G$21:$G$41,Skovbrug!$H$21:$H$41)),Skovbrug!$A$21:$A$41,'Direkte input'!$B186,Skovbrug!$B$21:$B$41,'Direkte input'!$E186))</f>
        <v>0</v>
      </c>
      <c r="H186" s="107" t="e">
        <f>IF($A186="Vestdanmark",SUMIFS(IF(H$2=År1,Skovbrug!$C$21:$C$41,IF(H$2=År2,Skovbrug!$D$21:$D$41,Skovbrug!$E$21:$E$41)),Skovbrug!$A$21:$A$41,'Direkte input'!$B186,Skovbrug!$B$21:$B$41,'Direkte input'!$E186),SUMIFS(IF(H$2=År1,Skovbrug!$F$21:$F$41,IF(H$2=År2,Skovbrug!$G$21:$G$41,Skovbrug!$H$21:$H$41)),Skovbrug!$A$21:$A$41,'Direkte input'!$B186,Skovbrug!$B$21:$B$41,'Direkte input'!$E186))</f>
        <v>#VALUE!</v>
      </c>
      <c r="I186" s="107" t="e">
        <f>IF($A186="Vestdanmark",SUMIFS(IF(I$2=År1,Skovbrug!$C$21:$C$41,IF(I$2=År2,Skovbrug!$D$21:$D$41,Skovbrug!$E$21:$E$41)),Skovbrug!$A$21:$A$41,'Direkte input'!$B186,Skovbrug!$B$21:$B$41,'Direkte input'!$E186),SUMIFS(IF(I$2=År1,Skovbrug!$F$21:$F$41,IF(I$2=År2,Skovbrug!$G$21:$G$41,Skovbrug!$H$21:$H$41)),Skovbrug!$A$21:$A$41,'Direkte input'!$B186,Skovbrug!$B$21:$B$41,'Direkte input'!$E186))</f>
        <v>#VALUE!</v>
      </c>
    </row>
    <row r="187" spans="1:9" x14ac:dyDescent="0.25">
      <c r="A187" t="s">
        <v>23</v>
      </c>
      <c r="B187" t="s">
        <v>178</v>
      </c>
      <c r="D187" t="s">
        <v>178</v>
      </c>
      <c r="E187">
        <v>20</v>
      </c>
      <c r="F187" t="str">
        <f t="shared" si="16"/>
        <v>Areal-skovtype1-20</v>
      </c>
      <c r="G187" s="107">
        <f>IF($A187="Vestdanmark",SUMIFS(IF(G$2=År1,Skovbrug!$C$21:$C$41,IF(G$2=År2,Skovbrug!$D$21:$D$41,Skovbrug!$E$21:$E$41)),Skovbrug!$A$21:$A$41,'Direkte input'!$B187,Skovbrug!$B$21:$B$41,'Direkte input'!$E187),SUMIFS(IF(G$2=År1,Skovbrug!$F$21:$F$41,IF(G$2=År2,Skovbrug!$G$21:$G$41,Skovbrug!$H$21:$H$41)),Skovbrug!$A$21:$A$41,'Direkte input'!$B187,Skovbrug!$B$21:$B$41,'Direkte input'!$E187))</f>
        <v>0</v>
      </c>
      <c r="H187" s="107" t="e">
        <f>IF($A187="Vestdanmark",SUMIFS(IF(H$2=År1,Skovbrug!$C$21:$C$41,IF(H$2=År2,Skovbrug!$D$21:$D$41,Skovbrug!$E$21:$E$41)),Skovbrug!$A$21:$A$41,'Direkte input'!$B187,Skovbrug!$B$21:$B$41,'Direkte input'!$E187),SUMIFS(IF(H$2=År1,Skovbrug!$F$21:$F$41,IF(H$2=År2,Skovbrug!$G$21:$G$41,Skovbrug!$H$21:$H$41)),Skovbrug!$A$21:$A$41,'Direkte input'!$B187,Skovbrug!$B$21:$B$41,'Direkte input'!$E187))</f>
        <v>#VALUE!</v>
      </c>
      <c r="I187" s="107" t="e">
        <f>IF($A187="Vestdanmark",SUMIFS(IF(I$2=År1,Skovbrug!$C$21:$C$41,IF(I$2=År2,Skovbrug!$D$21:$D$41,Skovbrug!$E$21:$E$41)),Skovbrug!$A$21:$A$41,'Direkte input'!$B187,Skovbrug!$B$21:$B$41,'Direkte input'!$E187),SUMIFS(IF(I$2=År1,Skovbrug!$F$21:$F$41,IF(I$2=År2,Skovbrug!$G$21:$G$41,Skovbrug!$H$21:$H$41)),Skovbrug!$A$21:$A$41,'Direkte input'!$B187,Skovbrug!$B$21:$B$41,'Direkte input'!$E187))</f>
        <v>#VALUE!</v>
      </c>
    </row>
    <row r="188" spans="1:9" x14ac:dyDescent="0.25">
      <c r="A188" t="s">
        <v>23</v>
      </c>
      <c r="B188" t="s">
        <v>178</v>
      </c>
      <c r="D188" t="s">
        <v>178</v>
      </c>
      <c r="E188">
        <v>30</v>
      </c>
      <c r="F188" t="str">
        <f t="shared" si="16"/>
        <v>Areal-skovtype1-30</v>
      </c>
      <c r="G188" s="107">
        <f>IF($A188="Vestdanmark",SUMIFS(IF(G$2=År1,Skovbrug!$C$21:$C$41,IF(G$2=År2,Skovbrug!$D$21:$D$41,Skovbrug!$E$21:$E$41)),Skovbrug!$A$21:$A$41,'Direkte input'!$B188,Skovbrug!$B$21:$B$41,'Direkte input'!$E188),SUMIFS(IF(G$2=År1,Skovbrug!$F$21:$F$41,IF(G$2=År2,Skovbrug!$G$21:$G$41,Skovbrug!$H$21:$H$41)),Skovbrug!$A$21:$A$41,'Direkte input'!$B188,Skovbrug!$B$21:$B$41,'Direkte input'!$E188))</f>
        <v>0</v>
      </c>
      <c r="H188" s="107">
        <f>IF($A188="Vestdanmark",SUMIFS(IF(H$2=År1,Skovbrug!$C$21:$C$41,IF(H$2=År2,Skovbrug!$D$21:$D$41,Skovbrug!$E$21:$E$41)),Skovbrug!$A$21:$A$41,'Direkte input'!$B188,Skovbrug!$B$21:$B$41,'Direkte input'!$E188),SUMIFS(IF(H$2=År1,Skovbrug!$F$21:$F$41,IF(H$2=År2,Skovbrug!$G$21:$G$41,Skovbrug!$H$21:$H$41)),Skovbrug!$A$21:$A$41,'Direkte input'!$B188,Skovbrug!$B$21:$B$41,'Direkte input'!$E188))</f>
        <v>0</v>
      </c>
      <c r="I188" s="107" t="e">
        <f>IF($A188="Vestdanmark",SUMIFS(IF(I$2=År1,Skovbrug!$C$21:$C$41,IF(I$2=År2,Skovbrug!$D$21:$D$41,Skovbrug!$E$21:$E$41)),Skovbrug!$A$21:$A$41,'Direkte input'!$B188,Skovbrug!$B$21:$B$41,'Direkte input'!$E188),SUMIFS(IF(I$2=År1,Skovbrug!$F$21:$F$41,IF(I$2=År2,Skovbrug!$G$21:$G$41,Skovbrug!$H$21:$H$41)),Skovbrug!$A$21:$A$41,'Direkte input'!$B188,Skovbrug!$B$21:$B$41,'Direkte input'!$E188))</f>
        <v>#VALUE!</v>
      </c>
    </row>
    <row r="189" spans="1:9" x14ac:dyDescent="0.25">
      <c r="A189" t="s">
        <v>23</v>
      </c>
      <c r="B189" t="s">
        <v>178</v>
      </c>
      <c r="D189" t="s">
        <v>178</v>
      </c>
      <c r="E189">
        <v>40</v>
      </c>
      <c r="F189" t="str">
        <f t="shared" si="16"/>
        <v>Areal-skovtype1-40</v>
      </c>
      <c r="G189" s="107">
        <f>IF($A189="Vestdanmark",SUMIFS(IF(G$2=År1,Skovbrug!$C$21:$C$41,IF(G$2=År2,Skovbrug!$D$21:$D$41,Skovbrug!$E$21:$E$41)),Skovbrug!$A$21:$A$41,'Direkte input'!$B189,Skovbrug!$B$21:$B$41,'Direkte input'!$E189),SUMIFS(IF(G$2=År1,Skovbrug!$F$21:$F$41,IF(G$2=År2,Skovbrug!$G$21:$G$41,Skovbrug!$H$21:$H$41)),Skovbrug!$A$21:$A$41,'Direkte input'!$B189,Skovbrug!$B$21:$B$41,'Direkte input'!$E189))</f>
        <v>0</v>
      </c>
      <c r="H189" s="107">
        <f>IF($A189="Vestdanmark",SUMIFS(IF(H$2=År1,Skovbrug!$C$21:$C$41,IF(H$2=År2,Skovbrug!$D$21:$D$41,Skovbrug!$E$21:$E$41)),Skovbrug!$A$21:$A$41,'Direkte input'!$B189,Skovbrug!$B$21:$B$41,'Direkte input'!$E189),SUMIFS(IF(H$2=År1,Skovbrug!$F$21:$F$41,IF(H$2=År2,Skovbrug!$G$21:$G$41,Skovbrug!$H$21:$H$41)),Skovbrug!$A$21:$A$41,'Direkte input'!$B189,Skovbrug!$B$21:$B$41,'Direkte input'!$E189))</f>
        <v>0</v>
      </c>
      <c r="I189" s="107" t="e">
        <f>IF($A189="Vestdanmark",SUMIFS(IF(I$2=År1,Skovbrug!$C$21:$C$41,IF(I$2=År2,Skovbrug!$D$21:$D$41,Skovbrug!$E$21:$E$41)),Skovbrug!$A$21:$A$41,'Direkte input'!$B189,Skovbrug!$B$21:$B$41,'Direkte input'!$E189),SUMIFS(IF(I$2=År1,Skovbrug!$F$21:$F$41,IF(I$2=År2,Skovbrug!$G$21:$G$41,Skovbrug!$H$21:$H$41)),Skovbrug!$A$21:$A$41,'Direkte input'!$B189,Skovbrug!$B$21:$B$41,'Direkte input'!$E189))</f>
        <v>#VALUE!</v>
      </c>
    </row>
    <row r="190" spans="1:9" x14ac:dyDescent="0.25">
      <c r="A190" t="s">
        <v>23</v>
      </c>
      <c r="B190" t="s">
        <v>179</v>
      </c>
      <c r="D190" t="s">
        <v>179</v>
      </c>
      <c r="E190">
        <v>10</v>
      </c>
      <c r="F190" t="str">
        <f t="shared" si="16"/>
        <v>Areal-skovtype2-10</v>
      </c>
      <c r="G190" s="107">
        <f>IF($A190="Vestdanmark",SUMIFS(IF(G$2=År1,Skovbrug!$C$21:$C$41,IF(G$2=År2,Skovbrug!$D$21:$D$41,Skovbrug!$E$21:$E$41)),Skovbrug!$A$21:$A$41,'Direkte input'!$B190,Skovbrug!$B$21:$B$41,'Direkte input'!$E190),SUMIFS(IF(G$2=År1,Skovbrug!$F$21:$F$41,IF(G$2=År2,Skovbrug!$G$21:$G$41,Skovbrug!$H$21:$H$41)),Skovbrug!$A$21:$A$41,'Direkte input'!$B190,Skovbrug!$B$21:$B$41,'Direkte input'!$E190))</f>
        <v>0</v>
      </c>
      <c r="H190" s="107" t="e">
        <f>IF($A190="Vestdanmark",SUMIFS(IF(H$2=År1,Skovbrug!$C$21:$C$41,IF(H$2=År2,Skovbrug!$D$21:$D$41,Skovbrug!$E$21:$E$41)),Skovbrug!$A$21:$A$41,'Direkte input'!$B190,Skovbrug!$B$21:$B$41,'Direkte input'!$E190),SUMIFS(IF(H$2=År1,Skovbrug!$F$21:$F$41,IF(H$2=År2,Skovbrug!$G$21:$G$41,Skovbrug!$H$21:$H$41)),Skovbrug!$A$21:$A$41,'Direkte input'!$B190,Skovbrug!$B$21:$B$41,'Direkte input'!$E190))</f>
        <v>#VALUE!</v>
      </c>
      <c r="I190" s="107" t="e">
        <f>IF($A190="Vestdanmark",SUMIFS(IF(I$2=År1,Skovbrug!$C$21:$C$41,IF(I$2=År2,Skovbrug!$D$21:$D$41,Skovbrug!$E$21:$E$41)),Skovbrug!$A$21:$A$41,'Direkte input'!$B190,Skovbrug!$B$21:$B$41,'Direkte input'!$E190),SUMIFS(IF(I$2=År1,Skovbrug!$F$21:$F$41,IF(I$2=År2,Skovbrug!$G$21:$G$41,Skovbrug!$H$21:$H$41)),Skovbrug!$A$21:$A$41,'Direkte input'!$B190,Skovbrug!$B$21:$B$41,'Direkte input'!$E190))</f>
        <v>#VALUE!</v>
      </c>
    </row>
    <row r="191" spans="1:9" x14ac:dyDescent="0.25">
      <c r="A191" t="s">
        <v>23</v>
      </c>
      <c r="B191" t="s">
        <v>179</v>
      </c>
      <c r="D191" t="s">
        <v>179</v>
      </c>
      <c r="E191">
        <v>20</v>
      </c>
      <c r="F191" t="str">
        <f t="shared" si="16"/>
        <v>Areal-skovtype2-20</v>
      </c>
      <c r="G191" s="107">
        <f>IF($A191="Vestdanmark",SUMIFS(IF(G$2=År1,Skovbrug!$C$21:$C$41,IF(G$2=År2,Skovbrug!$D$21:$D$41,Skovbrug!$E$21:$E$41)),Skovbrug!$A$21:$A$41,'Direkte input'!$B191,Skovbrug!$B$21:$B$41,'Direkte input'!$E191),SUMIFS(IF(G$2=År1,Skovbrug!$F$21:$F$41,IF(G$2=År2,Skovbrug!$G$21:$G$41,Skovbrug!$H$21:$H$41)),Skovbrug!$A$21:$A$41,'Direkte input'!$B191,Skovbrug!$B$21:$B$41,'Direkte input'!$E191))</f>
        <v>0</v>
      </c>
      <c r="H191" s="107" t="e">
        <f>IF($A191="Vestdanmark",SUMIFS(IF(H$2=År1,Skovbrug!$C$21:$C$41,IF(H$2=År2,Skovbrug!$D$21:$D$41,Skovbrug!$E$21:$E$41)),Skovbrug!$A$21:$A$41,'Direkte input'!$B191,Skovbrug!$B$21:$B$41,'Direkte input'!$E191),SUMIFS(IF(H$2=År1,Skovbrug!$F$21:$F$41,IF(H$2=År2,Skovbrug!$G$21:$G$41,Skovbrug!$H$21:$H$41)),Skovbrug!$A$21:$A$41,'Direkte input'!$B191,Skovbrug!$B$21:$B$41,'Direkte input'!$E191))</f>
        <v>#VALUE!</v>
      </c>
      <c r="I191" s="107" t="e">
        <f>IF($A191="Vestdanmark",SUMIFS(IF(I$2=År1,Skovbrug!$C$21:$C$41,IF(I$2=År2,Skovbrug!$D$21:$D$41,Skovbrug!$E$21:$E$41)),Skovbrug!$A$21:$A$41,'Direkte input'!$B191,Skovbrug!$B$21:$B$41,'Direkte input'!$E191),SUMIFS(IF(I$2=År1,Skovbrug!$F$21:$F$41,IF(I$2=År2,Skovbrug!$G$21:$G$41,Skovbrug!$H$21:$H$41)),Skovbrug!$A$21:$A$41,'Direkte input'!$B191,Skovbrug!$B$21:$B$41,'Direkte input'!$E191))</f>
        <v>#VALUE!</v>
      </c>
    </row>
    <row r="192" spans="1:9" x14ac:dyDescent="0.25">
      <c r="A192" t="s">
        <v>23</v>
      </c>
      <c r="B192" t="s">
        <v>179</v>
      </c>
      <c r="D192" t="s">
        <v>179</v>
      </c>
      <c r="E192">
        <v>30</v>
      </c>
      <c r="F192" t="str">
        <f t="shared" si="16"/>
        <v>Areal-skovtype2-30</v>
      </c>
      <c r="G192" s="107">
        <f>IF($A192="Vestdanmark",SUMIFS(IF(G$2=År1,Skovbrug!$C$21:$C$41,IF(G$2=År2,Skovbrug!$D$21:$D$41,Skovbrug!$E$21:$E$41)),Skovbrug!$A$21:$A$41,'Direkte input'!$B192,Skovbrug!$B$21:$B$41,'Direkte input'!$E192),SUMIFS(IF(G$2=År1,Skovbrug!$F$21:$F$41,IF(G$2=År2,Skovbrug!$G$21:$G$41,Skovbrug!$H$21:$H$41)),Skovbrug!$A$21:$A$41,'Direkte input'!$B192,Skovbrug!$B$21:$B$41,'Direkte input'!$E192))</f>
        <v>0</v>
      </c>
      <c r="H192" s="107">
        <f>IF($A192="Vestdanmark",SUMIFS(IF(H$2=År1,Skovbrug!$C$21:$C$41,IF(H$2=År2,Skovbrug!$D$21:$D$41,Skovbrug!$E$21:$E$41)),Skovbrug!$A$21:$A$41,'Direkte input'!$B192,Skovbrug!$B$21:$B$41,'Direkte input'!$E192),SUMIFS(IF(H$2=År1,Skovbrug!$F$21:$F$41,IF(H$2=År2,Skovbrug!$G$21:$G$41,Skovbrug!$H$21:$H$41)),Skovbrug!$A$21:$A$41,'Direkte input'!$B192,Skovbrug!$B$21:$B$41,'Direkte input'!$E192))</f>
        <v>0</v>
      </c>
      <c r="I192" s="107" t="e">
        <f>IF($A192="Vestdanmark",SUMIFS(IF(I$2=År1,Skovbrug!$C$21:$C$41,IF(I$2=År2,Skovbrug!$D$21:$D$41,Skovbrug!$E$21:$E$41)),Skovbrug!$A$21:$A$41,'Direkte input'!$B192,Skovbrug!$B$21:$B$41,'Direkte input'!$E192),SUMIFS(IF(I$2=År1,Skovbrug!$F$21:$F$41,IF(I$2=År2,Skovbrug!$G$21:$G$41,Skovbrug!$H$21:$H$41)),Skovbrug!$A$21:$A$41,'Direkte input'!$B192,Skovbrug!$B$21:$B$41,'Direkte input'!$E192))</f>
        <v>#VALUE!</v>
      </c>
    </row>
    <row r="193" spans="1:9" x14ac:dyDescent="0.25">
      <c r="A193" t="s">
        <v>23</v>
      </c>
      <c r="B193" t="s">
        <v>179</v>
      </c>
      <c r="D193" t="s">
        <v>179</v>
      </c>
      <c r="E193">
        <v>40</v>
      </c>
      <c r="F193" t="str">
        <f t="shared" si="16"/>
        <v>Areal-skovtype2-40</v>
      </c>
      <c r="G193" s="107">
        <f>IF($A193="Vestdanmark",SUMIFS(IF(G$2=År1,Skovbrug!$C$21:$C$41,IF(G$2=År2,Skovbrug!$D$21:$D$41,Skovbrug!$E$21:$E$41)),Skovbrug!$A$21:$A$41,'Direkte input'!$B193,Skovbrug!$B$21:$B$41,'Direkte input'!$E193),SUMIFS(IF(G$2=År1,Skovbrug!$F$21:$F$41,IF(G$2=År2,Skovbrug!$G$21:$G$41,Skovbrug!$H$21:$H$41)),Skovbrug!$A$21:$A$41,'Direkte input'!$B193,Skovbrug!$B$21:$B$41,'Direkte input'!$E193))</f>
        <v>0</v>
      </c>
      <c r="H193" s="107">
        <f>IF($A193="Vestdanmark",SUMIFS(IF(H$2=År1,Skovbrug!$C$21:$C$41,IF(H$2=År2,Skovbrug!$D$21:$D$41,Skovbrug!$E$21:$E$41)),Skovbrug!$A$21:$A$41,'Direkte input'!$B193,Skovbrug!$B$21:$B$41,'Direkte input'!$E193),SUMIFS(IF(H$2=År1,Skovbrug!$F$21:$F$41,IF(H$2=År2,Skovbrug!$G$21:$G$41,Skovbrug!$H$21:$H$41)),Skovbrug!$A$21:$A$41,'Direkte input'!$B193,Skovbrug!$B$21:$B$41,'Direkte input'!$E193))</f>
        <v>0</v>
      </c>
      <c r="I193" s="107" t="e">
        <f>IF($A193="Vestdanmark",SUMIFS(IF(I$2=År1,Skovbrug!$C$21:$C$41,IF(I$2=År2,Skovbrug!$D$21:$D$41,Skovbrug!$E$21:$E$41)),Skovbrug!$A$21:$A$41,'Direkte input'!$B193,Skovbrug!$B$21:$B$41,'Direkte input'!$E193),SUMIFS(IF(I$2=År1,Skovbrug!$F$21:$F$41,IF(I$2=År2,Skovbrug!$G$21:$G$41,Skovbrug!$H$21:$H$41)),Skovbrug!$A$21:$A$41,'Direkte input'!$B193,Skovbrug!$B$21:$B$41,'Direkte input'!$E193))</f>
        <v>#VALUE!</v>
      </c>
    </row>
    <row r="194" spans="1:9" x14ac:dyDescent="0.25">
      <c r="A194" t="s">
        <v>23</v>
      </c>
      <c r="B194" t="s">
        <v>180</v>
      </c>
      <c r="D194" t="s">
        <v>180</v>
      </c>
      <c r="E194">
        <v>10</v>
      </c>
      <c r="F194" t="str">
        <f t="shared" si="16"/>
        <v>Areal-skovtype3-10</v>
      </c>
      <c r="G194" s="107">
        <f>IF($A194="Vestdanmark",SUMIFS(IF(G$2=År1,Skovbrug!$C$21:$C$41,IF(G$2=År2,Skovbrug!$D$21:$D$41,Skovbrug!$E$21:$E$41)),Skovbrug!$A$21:$A$41,'Direkte input'!$B194,Skovbrug!$B$21:$B$41,'Direkte input'!$E194),SUMIFS(IF(G$2=År1,Skovbrug!$F$21:$F$41,IF(G$2=År2,Skovbrug!$G$21:$G$41,Skovbrug!$H$21:$H$41)),Skovbrug!$A$21:$A$41,'Direkte input'!$B194,Skovbrug!$B$21:$B$41,'Direkte input'!$E194))</f>
        <v>0</v>
      </c>
      <c r="H194" s="107" t="e">
        <f>IF($A194="Vestdanmark",SUMIFS(IF(H$2=År1,Skovbrug!$C$21:$C$41,IF(H$2=År2,Skovbrug!$D$21:$D$41,Skovbrug!$E$21:$E$41)),Skovbrug!$A$21:$A$41,'Direkte input'!$B194,Skovbrug!$B$21:$B$41,'Direkte input'!$E194),SUMIFS(IF(H$2=År1,Skovbrug!$F$21:$F$41,IF(H$2=År2,Skovbrug!$G$21:$G$41,Skovbrug!$H$21:$H$41)),Skovbrug!$A$21:$A$41,'Direkte input'!$B194,Skovbrug!$B$21:$B$41,'Direkte input'!$E194))</f>
        <v>#VALUE!</v>
      </c>
      <c r="I194" s="107" t="e">
        <f>IF($A194="Vestdanmark",SUMIFS(IF(I$2=År1,Skovbrug!$C$21:$C$41,IF(I$2=År2,Skovbrug!$D$21:$D$41,Skovbrug!$E$21:$E$41)),Skovbrug!$A$21:$A$41,'Direkte input'!$B194,Skovbrug!$B$21:$B$41,'Direkte input'!$E194),SUMIFS(IF(I$2=År1,Skovbrug!$F$21:$F$41,IF(I$2=År2,Skovbrug!$G$21:$G$41,Skovbrug!$H$21:$H$41)),Skovbrug!$A$21:$A$41,'Direkte input'!$B194,Skovbrug!$B$21:$B$41,'Direkte input'!$E194))</f>
        <v>#VALUE!</v>
      </c>
    </row>
    <row r="195" spans="1:9" x14ac:dyDescent="0.25">
      <c r="A195" t="s">
        <v>23</v>
      </c>
      <c r="B195" t="s">
        <v>180</v>
      </c>
      <c r="D195" t="s">
        <v>180</v>
      </c>
      <c r="E195">
        <v>20</v>
      </c>
      <c r="F195" t="str">
        <f t="shared" si="16"/>
        <v>Areal-skovtype3-20</v>
      </c>
      <c r="G195" s="107">
        <f>IF($A195="Vestdanmark",SUMIFS(IF(G$2=År1,Skovbrug!$C$21:$C$41,IF(G$2=År2,Skovbrug!$D$21:$D$41,Skovbrug!$E$21:$E$41)),Skovbrug!$A$21:$A$41,'Direkte input'!$B195,Skovbrug!$B$21:$B$41,'Direkte input'!$E195),SUMIFS(IF(G$2=År1,Skovbrug!$F$21:$F$41,IF(G$2=År2,Skovbrug!$G$21:$G$41,Skovbrug!$H$21:$H$41)),Skovbrug!$A$21:$A$41,'Direkte input'!$B195,Skovbrug!$B$21:$B$41,'Direkte input'!$E195))</f>
        <v>0</v>
      </c>
      <c r="H195" s="107" t="e">
        <f>IF($A195="Vestdanmark",SUMIFS(IF(H$2=År1,Skovbrug!$C$21:$C$41,IF(H$2=År2,Skovbrug!$D$21:$D$41,Skovbrug!$E$21:$E$41)),Skovbrug!$A$21:$A$41,'Direkte input'!$B195,Skovbrug!$B$21:$B$41,'Direkte input'!$E195),SUMIFS(IF(H$2=År1,Skovbrug!$F$21:$F$41,IF(H$2=År2,Skovbrug!$G$21:$G$41,Skovbrug!$H$21:$H$41)),Skovbrug!$A$21:$A$41,'Direkte input'!$B195,Skovbrug!$B$21:$B$41,'Direkte input'!$E195))</f>
        <v>#VALUE!</v>
      </c>
      <c r="I195" s="107" t="e">
        <f>IF($A195="Vestdanmark",SUMIFS(IF(I$2=År1,Skovbrug!$C$21:$C$41,IF(I$2=År2,Skovbrug!$D$21:$D$41,Skovbrug!$E$21:$E$41)),Skovbrug!$A$21:$A$41,'Direkte input'!$B195,Skovbrug!$B$21:$B$41,'Direkte input'!$E195),SUMIFS(IF(I$2=År1,Skovbrug!$F$21:$F$41,IF(I$2=År2,Skovbrug!$G$21:$G$41,Skovbrug!$H$21:$H$41)),Skovbrug!$A$21:$A$41,'Direkte input'!$B195,Skovbrug!$B$21:$B$41,'Direkte input'!$E195))</f>
        <v>#VALUE!</v>
      </c>
    </row>
    <row r="196" spans="1:9" x14ac:dyDescent="0.25">
      <c r="A196" t="s">
        <v>23</v>
      </c>
      <c r="B196" t="s">
        <v>180</v>
      </c>
      <c r="D196" t="s">
        <v>180</v>
      </c>
      <c r="E196">
        <v>30</v>
      </c>
      <c r="F196" t="str">
        <f t="shared" si="16"/>
        <v>Areal-skovtype3-30</v>
      </c>
      <c r="G196" s="107">
        <f>IF($A196="Vestdanmark",SUMIFS(IF(G$2=År1,Skovbrug!$C$21:$C$41,IF(G$2=År2,Skovbrug!$D$21:$D$41,Skovbrug!$E$21:$E$41)),Skovbrug!$A$21:$A$41,'Direkte input'!$B196,Skovbrug!$B$21:$B$41,'Direkte input'!$E196),SUMIFS(IF(G$2=År1,Skovbrug!$F$21:$F$41,IF(G$2=År2,Skovbrug!$G$21:$G$41,Skovbrug!$H$21:$H$41)),Skovbrug!$A$21:$A$41,'Direkte input'!$B196,Skovbrug!$B$21:$B$41,'Direkte input'!$E196))</f>
        <v>0</v>
      </c>
      <c r="H196" s="107">
        <f>IF($A196="Vestdanmark",SUMIFS(IF(H$2=År1,Skovbrug!$C$21:$C$41,IF(H$2=År2,Skovbrug!$D$21:$D$41,Skovbrug!$E$21:$E$41)),Skovbrug!$A$21:$A$41,'Direkte input'!$B196,Skovbrug!$B$21:$B$41,'Direkte input'!$E196),SUMIFS(IF(H$2=År1,Skovbrug!$F$21:$F$41,IF(H$2=År2,Skovbrug!$G$21:$G$41,Skovbrug!$H$21:$H$41)),Skovbrug!$A$21:$A$41,'Direkte input'!$B196,Skovbrug!$B$21:$B$41,'Direkte input'!$E196))</f>
        <v>0</v>
      </c>
      <c r="I196" s="107" t="e">
        <f>IF($A196="Vestdanmark",SUMIFS(IF(I$2=År1,Skovbrug!$C$21:$C$41,IF(I$2=År2,Skovbrug!$D$21:$D$41,Skovbrug!$E$21:$E$41)),Skovbrug!$A$21:$A$41,'Direkte input'!$B196,Skovbrug!$B$21:$B$41,'Direkte input'!$E196),SUMIFS(IF(I$2=År1,Skovbrug!$F$21:$F$41,IF(I$2=År2,Skovbrug!$G$21:$G$41,Skovbrug!$H$21:$H$41)),Skovbrug!$A$21:$A$41,'Direkte input'!$B196,Skovbrug!$B$21:$B$41,'Direkte input'!$E196))</f>
        <v>#VALUE!</v>
      </c>
    </row>
    <row r="197" spans="1:9" x14ac:dyDescent="0.25">
      <c r="A197" t="s">
        <v>23</v>
      </c>
      <c r="B197" t="s">
        <v>180</v>
      </c>
      <c r="D197" t="s">
        <v>180</v>
      </c>
      <c r="E197">
        <v>40</v>
      </c>
      <c r="F197" t="str">
        <f t="shared" si="16"/>
        <v>Areal-skovtype3-40</v>
      </c>
      <c r="G197" s="107">
        <f>IF($A197="Vestdanmark",SUMIFS(IF(G$2=År1,Skovbrug!$C$21:$C$41,IF(G$2=År2,Skovbrug!$D$21:$D$41,Skovbrug!$E$21:$E$41)),Skovbrug!$A$21:$A$41,'Direkte input'!$B197,Skovbrug!$B$21:$B$41,'Direkte input'!$E197),SUMIFS(IF(G$2=År1,Skovbrug!$F$21:$F$41,IF(G$2=År2,Skovbrug!$G$21:$G$41,Skovbrug!$H$21:$H$41)),Skovbrug!$A$21:$A$41,'Direkte input'!$B197,Skovbrug!$B$21:$B$41,'Direkte input'!$E197))</f>
        <v>0</v>
      </c>
      <c r="H197" s="107">
        <f>IF($A197="Vestdanmark",SUMIFS(IF(H$2=År1,Skovbrug!$C$21:$C$41,IF(H$2=År2,Skovbrug!$D$21:$D$41,Skovbrug!$E$21:$E$41)),Skovbrug!$A$21:$A$41,'Direkte input'!$B197,Skovbrug!$B$21:$B$41,'Direkte input'!$E197),SUMIFS(IF(H$2=År1,Skovbrug!$F$21:$F$41,IF(H$2=År2,Skovbrug!$G$21:$G$41,Skovbrug!$H$21:$H$41)),Skovbrug!$A$21:$A$41,'Direkte input'!$B197,Skovbrug!$B$21:$B$41,'Direkte input'!$E197))</f>
        <v>0</v>
      </c>
      <c r="I197" s="107" t="e">
        <f>IF($A197="Vestdanmark",SUMIFS(IF(I$2=År1,Skovbrug!$C$21:$C$41,IF(I$2=År2,Skovbrug!$D$21:$D$41,Skovbrug!$E$21:$E$41)),Skovbrug!$A$21:$A$41,'Direkte input'!$B197,Skovbrug!$B$21:$B$41,'Direkte input'!$E197),SUMIFS(IF(I$2=År1,Skovbrug!$F$21:$F$41,IF(I$2=År2,Skovbrug!$G$21:$G$41,Skovbrug!$H$21:$H$41)),Skovbrug!$A$21:$A$41,'Direkte input'!$B197,Skovbrug!$B$21:$B$41,'Direkte input'!$E197))</f>
        <v>#VALUE!</v>
      </c>
    </row>
    <row r="198" spans="1:9" x14ac:dyDescent="0.25">
      <c r="A198" t="s">
        <v>23</v>
      </c>
      <c r="B198" t="s">
        <v>181</v>
      </c>
      <c r="D198" t="s">
        <v>181</v>
      </c>
      <c r="E198">
        <v>10</v>
      </c>
      <c r="F198" t="str">
        <f t="shared" si="16"/>
        <v>Areal-skovtype4-10</v>
      </c>
      <c r="G198" s="107">
        <f>IF($A198="Vestdanmark",SUMIFS(IF(G$2=År1,Skovbrug!$C$21:$C$41,IF(G$2=År2,Skovbrug!$D$21:$D$41,Skovbrug!$E$21:$E$41)),Skovbrug!$A$21:$A$41,'Direkte input'!$B198,Skovbrug!$B$21:$B$41,'Direkte input'!$E198),SUMIFS(IF(G$2=År1,Skovbrug!$F$21:$F$41,IF(G$2=År2,Skovbrug!$G$21:$G$41,Skovbrug!$H$21:$H$41)),Skovbrug!$A$21:$A$41,'Direkte input'!$B198,Skovbrug!$B$21:$B$41,'Direkte input'!$E198))</f>
        <v>0</v>
      </c>
      <c r="H198" s="107" t="e">
        <f>IF($A198="Vestdanmark",SUMIFS(IF(H$2=År1,Skovbrug!$C$21:$C$41,IF(H$2=År2,Skovbrug!$D$21:$D$41,Skovbrug!$E$21:$E$41)),Skovbrug!$A$21:$A$41,'Direkte input'!$B198,Skovbrug!$B$21:$B$41,'Direkte input'!$E198),SUMIFS(IF(H$2=År1,Skovbrug!$F$21:$F$41,IF(H$2=År2,Skovbrug!$G$21:$G$41,Skovbrug!$H$21:$H$41)),Skovbrug!$A$21:$A$41,'Direkte input'!$B198,Skovbrug!$B$21:$B$41,'Direkte input'!$E198))</f>
        <v>#VALUE!</v>
      </c>
      <c r="I198" s="107" t="e">
        <f>IF($A198="Vestdanmark",SUMIFS(IF(I$2=År1,Skovbrug!$C$21:$C$41,IF(I$2=År2,Skovbrug!$D$21:$D$41,Skovbrug!$E$21:$E$41)),Skovbrug!$A$21:$A$41,'Direkte input'!$B198,Skovbrug!$B$21:$B$41,'Direkte input'!$E198),SUMIFS(IF(I$2=År1,Skovbrug!$F$21:$F$41,IF(I$2=År2,Skovbrug!$G$21:$G$41,Skovbrug!$H$21:$H$41)),Skovbrug!$A$21:$A$41,'Direkte input'!$B198,Skovbrug!$B$21:$B$41,'Direkte input'!$E198))</f>
        <v>#VALUE!</v>
      </c>
    </row>
    <row r="199" spans="1:9" x14ac:dyDescent="0.25">
      <c r="A199" t="s">
        <v>23</v>
      </c>
      <c r="B199" t="s">
        <v>181</v>
      </c>
      <c r="D199" t="s">
        <v>181</v>
      </c>
      <c r="E199">
        <v>20</v>
      </c>
      <c r="F199" t="str">
        <f t="shared" si="16"/>
        <v>Areal-skovtype4-20</v>
      </c>
      <c r="G199" s="107">
        <f>IF($A199="Vestdanmark",SUMIFS(IF(G$2=År1,Skovbrug!$C$21:$C$41,IF(G$2=År2,Skovbrug!$D$21:$D$41,Skovbrug!$E$21:$E$41)),Skovbrug!$A$21:$A$41,'Direkte input'!$B199,Skovbrug!$B$21:$B$41,'Direkte input'!$E199),SUMIFS(IF(G$2=År1,Skovbrug!$F$21:$F$41,IF(G$2=År2,Skovbrug!$G$21:$G$41,Skovbrug!$H$21:$H$41)),Skovbrug!$A$21:$A$41,'Direkte input'!$B199,Skovbrug!$B$21:$B$41,'Direkte input'!$E199))</f>
        <v>0</v>
      </c>
      <c r="H199" s="107" t="e">
        <f>IF($A199="Vestdanmark",SUMIFS(IF(H$2=År1,Skovbrug!$C$21:$C$41,IF(H$2=År2,Skovbrug!$D$21:$D$41,Skovbrug!$E$21:$E$41)),Skovbrug!$A$21:$A$41,'Direkte input'!$B199,Skovbrug!$B$21:$B$41,'Direkte input'!$E199),SUMIFS(IF(H$2=År1,Skovbrug!$F$21:$F$41,IF(H$2=År2,Skovbrug!$G$21:$G$41,Skovbrug!$H$21:$H$41)),Skovbrug!$A$21:$A$41,'Direkte input'!$B199,Skovbrug!$B$21:$B$41,'Direkte input'!$E199))</f>
        <v>#VALUE!</v>
      </c>
      <c r="I199" s="107" t="e">
        <f>IF($A199="Vestdanmark",SUMIFS(IF(I$2=År1,Skovbrug!$C$21:$C$41,IF(I$2=År2,Skovbrug!$D$21:$D$41,Skovbrug!$E$21:$E$41)),Skovbrug!$A$21:$A$41,'Direkte input'!$B199,Skovbrug!$B$21:$B$41,'Direkte input'!$E199),SUMIFS(IF(I$2=År1,Skovbrug!$F$21:$F$41,IF(I$2=År2,Skovbrug!$G$21:$G$41,Skovbrug!$H$21:$H$41)),Skovbrug!$A$21:$A$41,'Direkte input'!$B199,Skovbrug!$B$21:$B$41,'Direkte input'!$E199))</f>
        <v>#VALUE!</v>
      </c>
    </row>
    <row r="200" spans="1:9" x14ac:dyDescent="0.25">
      <c r="A200" t="s">
        <v>23</v>
      </c>
      <c r="B200" t="s">
        <v>181</v>
      </c>
      <c r="D200" t="s">
        <v>181</v>
      </c>
      <c r="E200">
        <v>30</v>
      </c>
      <c r="F200" t="str">
        <f t="shared" si="16"/>
        <v>Areal-skovtype4-30</v>
      </c>
      <c r="G200" s="107">
        <f>IF($A200="Vestdanmark",SUMIFS(IF(G$2=År1,Skovbrug!$C$21:$C$41,IF(G$2=År2,Skovbrug!$D$21:$D$41,Skovbrug!$E$21:$E$41)),Skovbrug!$A$21:$A$41,'Direkte input'!$B200,Skovbrug!$B$21:$B$41,'Direkte input'!$E200),SUMIFS(IF(G$2=År1,Skovbrug!$F$21:$F$41,IF(G$2=År2,Skovbrug!$G$21:$G$41,Skovbrug!$H$21:$H$41)),Skovbrug!$A$21:$A$41,'Direkte input'!$B200,Skovbrug!$B$21:$B$41,'Direkte input'!$E200))</f>
        <v>0</v>
      </c>
      <c r="H200" s="107">
        <f>IF($A200="Vestdanmark",SUMIFS(IF(H$2=År1,Skovbrug!$C$21:$C$41,IF(H$2=År2,Skovbrug!$D$21:$D$41,Skovbrug!$E$21:$E$41)),Skovbrug!$A$21:$A$41,'Direkte input'!$B200,Skovbrug!$B$21:$B$41,'Direkte input'!$E200),SUMIFS(IF(H$2=År1,Skovbrug!$F$21:$F$41,IF(H$2=År2,Skovbrug!$G$21:$G$41,Skovbrug!$H$21:$H$41)),Skovbrug!$A$21:$A$41,'Direkte input'!$B200,Skovbrug!$B$21:$B$41,'Direkte input'!$E200))</f>
        <v>0</v>
      </c>
      <c r="I200" s="107" t="e">
        <f>IF($A200="Vestdanmark",SUMIFS(IF(I$2=År1,Skovbrug!$C$21:$C$41,IF(I$2=År2,Skovbrug!$D$21:$D$41,Skovbrug!$E$21:$E$41)),Skovbrug!$A$21:$A$41,'Direkte input'!$B200,Skovbrug!$B$21:$B$41,'Direkte input'!$E200),SUMIFS(IF(I$2=År1,Skovbrug!$F$21:$F$41,IF(I$2=År2,Skovbrug!$G$21:$G$41,Skovbrug!$H$21:$H$41)),Skovbrug!$A$21:$A$41,'Direkte input'!$B200,Skovbrug!$B$21:$B$41,'Direkte input'!$E200))</f>
        <v>#VALUE!</v>
      </c>
    </row>
    <row r="201" spans="1:9" x14ac:dyDescent="0.25">
      <c r="A201" t="s">
        <v>23</v>
      </c>
      <c r="B201" t="s">
        <v>181</v>
      </c>
      <c r="D201" t="s">
        <v>181</v>
      </c>
      <c r="E201">
        <v>40</v>
      </c>
      <c r="F201" t="str">
        <f t="shared" si="16"/>
        <v>Areal-skovtype4-40</v>
      </c>
      <c r="G201" s="107">
        <f>IF($A201="Vestdanmark",SUMIFS(IF(G$2=År1,Skovbrug!$C$21:$C$41,IF(G$2=År2,Skovbrug!$D$21:$D$41,Skovbrug!$E$21:$E$41)),Skovbrug!$A$21:$A$41,'Direkte input'!$B201,Skovbrug!$B$21:$B$41,'Direkte input'!$E201),SUMIFS(IF(G$2=År1,Skovbrug!$F$21:$F$41,IF(G$2=År2,Skovbrug!$G$21:$G$41,Skovbrug!$H$21:$H$41)),Skovbrug!$A$21:$A$41,'Direkte input'!$B201,Skovbrug!$B$21:$B$41,'Direkte input'!$E201))</f>
        <v>0</v>
      </c>
      <c r="H201" s="107">
        <f>IF($A201="Vestdanmark",SUMIFS(IF(H$2=År1,Skovbrug!$C$21:$C$41,IF(H$2=År2,Skovbrug!$D$21:$D$41,Skovbrug!$E$21:$E$41)),Skovbrug!$A$21:$A$41,'Direkte input'!$B201,Skovbrug!$B$21:$B$41,'Direkte input'!$E201),SUMIFS(IF(H$2=År1,Skovbrug!$F$21:$F$41,IF(H$2=År2,Skovbrug!$G$21:$G$41,Skovbrug!$H$21:$H$41)),Skovbrug!$A$21:$A$41,'Direkte input'!$B201,Skovbrug!$B$21:$B$41,'Direkte input'!$E201))</f>
        <v>0</v>
      </c>
      <c r="I201" s="107" t="e">
        <f>IF($A201="Vestdanmark",SUMIFS(IF(I$2=År1,Skovbrug!$C$21:$C$41,IF(I$2=År2,Skovbrug!$D$21:$D$41,Skovbrug!$E$21:$E$41)),Skovbrug!$A$21:$A$41,'Direkte input'!$B201,Skovbrug!$B$21:$B$41,'Direkte input'!$E201),SUMIFS(IF(I$2=År1,Skovbrug!$F$21:$F$41,IF(I$2=År2,Skovbrug!$G$21:$G$41,Skovbrug!$H$21:$H$41)),Skovbrug!$A$21:$A$41,'Direkte input'!$B201,Skovbrug!$B$21:$B$41,'Direkte input'!$E201))</f>
        <v>#VALUE!</v>
      </c>
    </row>
    <row r="202" spans="1:9" x14ac:dyDescent="0.25">
      <c r="A202" t="s">
        <v>23</v>
      </c>
      <c r="B202" t="s">
        <v>182</v>
      </c>
      <c r="D202" t="s">
        <v>182</v>
      </c>
      <c r="E202">
        <v>10</v>
      </c>
      <c r="F202" t="str">
        <f t="shared" si="16"/>
        <v>Areal-skovtype5-10</v>
      </c>
      <c r="G202" s="107">
        <f>IF($A202="Vestdanmark",SUMIFS(IF(G$2=År1,Skovbrug!$C$21:$C$41,IF(G$2=År2,Skovbrug!$D$21:$D$41,Skovbrug!$E$21:$E$41)),Skovbrug!$A$21:$A$41,'Direkte input'!$B202,Skovbrug!$B$21:$B$41,'Direkte input'!$E202),SUMIFS(IF(G$2=År1,Skovbrug!$F$21:$F$41,IF(G$2=År2,Skovbrug!$G$21:$G$41,Skovbrug!$H$21:$H$41)),Skovbrug!$A$21:$A$41,'Direkte input'!$B202,Skovbrug!$B$21:$B$41,'Direkte input'!$E202))</f>
        <v>0</v>
      </c>
      <c r="H202" s="107" t="e">
        <f>IF($A202="Vestdanmark",SUMIFS(IF(H$2=År1,Skovbrug!$C$21:$C$41,IF(H$2=År2,Skovbrug!$D$21:$D$41,Skovbrug!$E$21:$E$41)),Skovbrug!$A$21:$A$41,'Direkte input'!$B202,Skovbrug!$B$21:$B$41,'Direkte input'!$E202),SUMIFS(IF(H$2=År1,Skovbrug!$F$21:$F$41,IF(H$2=År2,Skovbrug!$G$21:$G$41,Skovbrug!$H$21:$H$41)),Skovbrug!$A$21:$A$41,'Direkte input'!$B202,Skovbrug!$B$21:$B$41,'Direkte input'!$E202))</f>
        <v>#VALUE!</v>
      </c>
      <c r="I202" s="107" t="e">
        <f>IF($A202="Vestdanmark",SUMIFS(IF(I$2=År1,Skovbrug!$C$21:$C$41,IF(I$2=År2,Skovbrug!$D$21:$D$41,Skovbrug!$E$21:$E$41)),Skovbrug!$A$21:$A$41,'Direkte input'!$B202,Skovbrug!$B$21:$B$41,'Direkte input'!$E202),SUMIFS(IF(I$2=År1,Skovbrug!$F$21:$F$41,IF(I$2=År2,Skovbrug!$G$21:$G$41,Skovbrug!$H$21:$H$41)),Skovbrug!$A$21:$A$41,'Direkte input'!$B202,Skovbrug!$B$21:$B$41,'Direkte input'!$E202))</f>
        <v>#VALUE!</v>
      </c>
    </row>
    <row r="203" spans="1:9" x14ac:dyDescent="0.25">
      <c r="A203" t="s">
        <v>23</v>
      </c>
      <c r="B203" t="s">
        <v>182</v>
      </c>
      <c r="D203" t="s">
        <v>182</v>
      </c>
      <c r="E203">
        <v>20</v>
      </c>
      <c r="F203" t="str">
        <f t="shared" si="16"/>
        <v>Areal-skovtype5-20</v>
      </c>
      <c r="G203" s="107">
        <f>IF($A203="Vestdanmark",SUMIFS(IF(G$2=År1,Skovbrug!$C$21:$C$41,IF(G$2=År2,Skovbrug!$D$21:$D$41,Skovbrug!$E$21:$E$41)),Skovbrug!$A$21:$A$41,'Direkte input'!$B203,Skovbrug!$B$21:$B$41,'Direkte input'!$E203),SUMIFS(IF(G$2=År1,Skovbrug!$F$21:$F$41,IF(G$2=År2,Skovbrug!$G$21:$G$41,Skovbrug!$H$21:$H$41)),Skovbrug!$A$21:$A$41,'Direkte input'!$B203,Skovbrug!$B$21:$B$41,'Direkte input'!$E203))</f>
        <v>0</v>
      </c>
      <c r="H203" s="107" t="e">
        <f>IF($A203="Vestdanmark",SUMIFS(IF(H$2=År1,Skovbrug!$C$21:$C$41,IF(H$2=År2,Skovbrug!$D$21:$D$41,Skovbrug!$E$21:$E$41)),Skovbrug!$A$21:$A$41,'Direkte input'!$B203,Skovbrug!$B$21:$B$41,'Direkte input'!$E203),SUMIFS(IF(H$2=År1,Skovbrug!$F$21:$F$41,IF(H$2=År2,Skovbrug!$G$21:$G$41,Skovbrug!$H$21:$H$41)),Skovbrug!$A$21:$A$41,'Direkte input'!$B203,Skovbrug!$B$21:$B$41,'Direkte input'!$E203))</f>
        <v>#VALUE!</v>
      </c>
      <c r="I203" s="107" t="e">
        <f>IF($A203="Vestdanmark",SUMIFS(IF(I$2=År1,Skovbrug!$C$21:$C$41,IF(I$2=År2,Skovbrug!$D$21:$D$41,Skovbrug!$E$21:$E$41)),Skovbrug!$A$21:$A$41,'Direkte input'!$B203,Skovbrug!$B$21:$B$41,'Direkte input'!$E203),SUMIFS(IF(I$2=År1,Skovbrug!$F$21:$F$41,IF(I$2=År2,Skovbrug!$G$21:$G$41,Skovbrug!$H$21:$H$41)),Skovbrug!$A$21:$A$41,'Direkte input'!$B203,Skovbrug!$B$21:$B$41,'Direkte input'!$E203))</f>
        <v>#VALUE!</v>
      </c>
    </row>
    <row r="204" spans="1:9" x14ac:dyDescent="0.25">
      <c r="A204" t="s">
        <v>23</v>
      </c>
      <c r="B204" t="s">
        <v>182</v>
      </c>
      <c r="D204" t="s">
        <v>182</v>
      </c>
      <c r="E204">
        <v>30</v>
      </c>
      <c r="F204" t="str">
        <f t="shared" si="16"/>
        <v>Areal-skovtype5-30</v>
      </c>
      <c r="G204" s="107">
        <f>IF($A204="Vestdanmark",SUMIFS(IF(G$2=År1,Skovbrug!$C$21:$C$41,IF(G$2=År2,Skovbrug!$D$21:$D$41,Skovbrug!$E$21:$E$41)),Skovbrug!$A$21:$A$41,'Direkte input'!$B204,Skovbrug!$B$21:$B$41,'Direkte input'!$E204),SUMIFS(IF(G$2=År1,Skovbrug!$F$21:$F$41,IF(G$2=År2,Skovbrug!$G$21:$G$41,Skovbrug!$H$21:$H$41)),Skovbrug!$A$21:$A$41,'Direkte input'!$B204,Skovbrug!$B$21:$B$41,'Direkte input'!$E204))</f>
        <v>0</v>
      </c>
      <c r="H204" s="107">
        <f>IF($A204="Vestdanmark",SUMIFS(IF(H$2=År1,Skovbrug!$C$21:$C$41,IF(H$2=År2,Skovbrug!$D$21:$D$41,Skovbrug!$E$21:$E$41)),Skovbrug!$A$21:$A$41,'Direkte input'!$B204,Skovbrug!$B$21:$B$41,'Direkte input'!$E204),SUMIFS(IF(H$2=År1,Skovbrug!$F$21:$F$41,IF(H$2=År2,Skovbrug!$G$21:$G$41,Skovbrug!$H$21:$H$41)),Skovbrug!$A$21:$A$41,'Direkte input'!$B204,Skovbrug!$B$21:$B$41,'Direkte input'!$E204))</f>
        <v>0</v>
      </c>
      <c r="I204" s="107" t="e">
        <f>IF($A204="Vestdanmark",SUMIFS(IF(I$2=År1,Skovbrug!$C$21:$C$41,IF(I$2=År2,Skovbrug!$D$21:$D$41,Skovbrug!$E$21:$E$41)),Skovbrug!$A$21:$A$41,'Direkte input'!$B204,Skovbrug!$B$21:$B$41,'Direkte input'!$E204),SUMIFS(IF(I$2=År1,Skovbrug!$F$21:$F$41,IF(I$2=År2,Skovbrug!$G$21:$G$41,Skovbrug!$H$21:$H$41)),Skovbrug!$A$21:$A$41,'Direkte input'!$B204,Skovbrug!$B$21:$B$41,'Direkte input'!$E204))</f>
        <v>#VALUE!</v>
      </c>
    </row>
    <row r="205" spans="1:9" x14ac:dyDescent="0.25">
      <c r="A205" t="s">
        <v>23</v>
      </c>
      <c r="B205" t="s">
        <v>182</v>
      </c>
      <c r="D205" t="s">
        <v>182</v>
      </c>
      <c r="E205">
        <v>40</v>
      </c>
      <c r="F205" t="str">
        <f t="shared" si="16"/>
        <v>Areal-skovtype5-40</v>
      </c>
      <c r="G205" s="107">
        <f>IF($A205="Vestdanmark",SUMIFS(IF(G$2=År1,Skovbrug!$C$21:$C$41,IF(G$2=År2,Skovbrug!$D$21:$D$41,Skovbrug!$E$21:$E$41)),Skovbrug!$A$21:$A$41,'Direkte input'!$B205,Skovbrug!$B$21:$B$41,'Direkte input'!$E205),SUMIFS(IF(G$2=År1,Skovbrug!$F$21:$F$41,IF(G$2=År2,Skovbrug!$G$21:$G$41,Skovbrug!$H$21:$H$41)),Skovbrug!$A$21:$A$41,'Direkte input'!$B205,Skovbrug!$B$21:$B$41,'Direkte input'!$E205))</f>
        <v>0</v>
      </c>
      <c r="H205" s="107">
        <f>IF($A205="Vestdanmark",SUMIFS(IF(H$2=År1,Skovbrug!$C$21:$C$41,IF(H$2=År2,Skovbrug!$D$21:$D$41,Skovbrug!$E$21:$E$41)),Skovbrug!$A$21:$A$41,'Direkte input'!$B205,Skovbrug!$B$21:$B$41,'Direkte input'!$E205),SUMIFS(IF(H$2=År1,Skovbrug!$F$21:$F$41,IF(H$2=År2,Skovbrug!$G$21:$G$41,Skovbrug!$H$21:$H$41)),Skovbrug!$A$21:$A$41,'Direkte input'!$B205,Skovbrug!$B$21:$B$41,'Direkte input'!$E205))</f>
        <v>0</v>
      </c>
      <c r="I205" s="107" t="e">
        <f>IF($A205="Vestdanmark",SUMIFS(IF(I$2=År1,Skovbrug!$C$21:$C$41,IF(I$2=År2,Skovbrug!$D$21:$D$41,Skovbrug!$E$21:$E$41)),Skovbrug!$A$21:$A$41,'Direkte input'!$B205,Skovbrug!$B$21:$B$41,'Direkte input'!$E205),SUMIFS(IF(I$2=År1,Skovbrug!$F$21:$F$41,IF(I$2=År2,Skovbrug!$G$21:$G$41,Skovbrug!$H$21:$H$41)),Skovbrug!$A$21:$A$41,'Direkte input'!$B205,Skovbrug!$B$21:$B$41,'Direkte input'!$E205))</f>
        <v>#VALUE!</v>
      </c>
    </row>
    <row r="206" spans="1:9" x14ac:dyDescent="0.25">
      <c r="A206" t="s">
        <v>24</v>
      </c>
      <c r="B206" t="s">
        <v>184</v>
      </c>
      <c r="D206" t="s">
        <v>184</v>
      </c>
      <c r="E206" t="s">
        <v>183</v>
      </c>
      <c r="F206" t="str">
        <f>CONCATENATE("Areal-",LOWER(B206))</f>
        <v>Areal-basisskov</v>
      </c>
      <c r="G206" s="107" t="e">
        <f>IF($A206="Vestdanmark",SUMIFS(IF(G$2=År1,Skovbrug!$C$21:$C$41,IF(G$2=År2,Skovbrug!$D$21:$D$41,Skovbrug!$E$21:$E$41)),Skovbrug!$A$21:$A$41,'Direkte input'!$B206,Skovbrug!$B$21:$B$41,'Direkte input'!$E206),SUMIFS(IF(G$2=År1,Skovbrug!$F$21:$F$41,IF(G$2=År2,Skovbrug!$G$21:$G$41,Skovbrug!$H$21:$H$41)),Skovbrug!$A$21:$A$41,'Direkte input'!$B206,Skovbrug!$B$21:$B$41,'Direkte input'!$E206))</f>
        <v>#VALUE!</v>
      </c>
      <c r="H206" s="107" t="e">
        <f>IF($A206="Vestdanmark",SUMIFS(IF(H$2=År1,Skovbrug!$C$21:$C$41,IF(H$2=År2,Skovbrug!$D$21:$D$41,Skovbrug!$E$21:$E$41)),Skovbrug!$A$21:$A$41,'Direkte input'!$B206,Skovbrug!$B$21:$B$41,'Direkte input'!$E206),SUMIFS(IF(H$2=År1,Skovbrug!$F$21:$F$41,IF(H$2=År2,Skovbrug!$G$21:$G$41,Skovbrug!$H$21:$H$41)),Skovbrug!$A$21:$A$41,'Direkte input'!$B206,Skovbrug!$B$21:$B$41,'Direkte input'!$E206))</f>
        <v>#VALUE!</v>
      </c>
      <c r="I206" s="107" t="e">
        <f>IF($A206="Vestdanmark",SUMIFS(IF(I$2=År1,Skovbrug!$C$21:$C$41,IF(I$2=År2,Skovbrug!$D$21:$D$41,Skovbrug!$E$21:$E$41)),Skovbrug!$A$21:$A$41,'Direkte input'!$B206,Skovbrug!$B$21:$B$41,'Direkte input'!$E206),SUMIFS(IF(I$2=År1,Skovbrug!$F$21:$F$41,IF(I$2=År2,Skovbrug!$G$21:$G$41,Skovbrug!$H$21:$H$41)),Skovbrug!$A$21:$A$41,'Direkte input'!$B206,Skovbrug!$B$21:$B$41,'Direkte input'!$E206))</f>
        <v>#VALUE!</v>
      </c>
    </row>
    <row r="207" spans="1:9" x14ac:dyDescent="0.25">
      <c r="A207" t="s">
        <v>24</v>
      </c>
      <c r="B207" t="s">
        <v>178</v>
      </c>
      <c r="D207" t="s">
        <v>178</v>
      </c>
      <c r="E207">
        <v>10</v>
      </c>
      <c r="F207" t="str">
        <f t="shared" ref="F207:F226" si="17">CONCATENATE("Areal-",LOWER(B207),"-",E207)</f>
        <v>Areal-skovtype1-10</v>
      </c>
      <c r="G207" s="107">
        <f>IF($A207="Vestdanmark",SUMIFS(IF(G$2=År1,Skovbrug!$C$21:$C$41,IF(G$2=År2,Skovbrug!$D$21:$D$41,Skovbrug!$E$21:$E$41)),Skovbrug!$A$21:$A$41,'Direkte input'!$B207,Skovbrug!$B$21:$B$41,'Direkte input'!$E207),SUMIFS(IF(G$2=År1,Skovbrug!$F$21:$F$41,IF(G$2=År2,Skovbrug!$G$21:$G$41,Skovbrug!$H$21:$H$41)),Skovbrug!$A$21:$A$41,'Direkte input'!$B207,Skovbrug!$B$21:$B$41,'Direkte input'!$E207))</f>
        <v>0</v>
      </c>
      <c r="H207" s="107" t="e">
        <f>IF($A207="Vestdanmark",SUMIFS(IF(H$2=År1,Skovbrug!$C$21:$C$41,IF(H$2=År2,Skovbrug!$D$21:$D$41,Skovbrug!$E$21:$E$41)),Skovbrug!$A$21:$A$41,'Direkte input'!$B207,Skovbrug!$B$21:$B$41,'Direkte input'!$E207),SUMIFS(IF(H$2=År1,Skovbrug!$F$21:$F$41,IF(H$2=År2,Skovbrug!$G$21:$G$41,Skovbrug!$H$21:$H$41)),Skovbrug!$A$21:$A$41,'Direkte input'!$B207,Skovbrug!$B$21:$B$41,'Direkte input'!$E207))</f>
        <v>#VALUE!</v>
      </c>
      <c r="I207" s="107" t="e">
        <f>IF($A207="Vestdanmark",SUMIFS(IF(I$2=År1,Skovbrug!$C$21:$C$41,IF(I$2=År2,Skovbrug!$D$21:$D$41,Skovbrug!$E$21:$E$41)),Skovbrug!$A$21:$A$41,'Direkte input'!$B207,Skovbrug!$B$21:$B$41,'Direkte input'!$E207),SUMIFS(IF(I$2=År1,Skovbrug!$F$21:$F$41,IF(I$2=År2,Skovbrug!$G$21:$G$41,Skovbrug!$H$21:$H$41)),Skovbrug!$A$21:$A$41,'Direkte input'!$B207,Skovbrug!$B$21:$B$41,'Direkte input'!$E207))</f>
        <v>#VALUE!</v>
      </c>
    </row>
    <row r="208" spans="1:9" x14ac:dyDescent="0.25">
      <c r="A208" t="s">
        <v>24</v>
      </c>
      <c r="B208" t="s">
        <v>178</v>
      </c>
      <c r="D208" t="s">
        <v>178</v>
      </c>
      <c r="E208">
        <v>20</v>
      </c>
      <c r="F208" t="str">
        <f t="shared" si="17"/>
        <v>Areal-skovtype1-20</v>
      </c>
      <c r="G208" s="107">
        <f>IF($A208="Vestdanmark",SUMIFS(IF(G$2=År1,Skovbrug!$C$21:$C$41,IF(G$2=År2,Skovbrug!$D$21:$D$41,Skovbrug!$E$21:$E$41)),Skovbrug!$A$21:$A$41,'Direkte input'!$B208,Skovbrug!$B$21:$B$41,'Direkte input'!$E208),SUMIFS(IF(G$2=År1,Skovbrug!$F$21:$F$41,IF(G$2=År2,Skovbrug!$G$21:$G$41,Skovbrug!$H$21:$H$41)),Skovbrug!$A$21:$A$41,'Direkte input'!$B208,Skovbrug!$B$21:$B$41,'Direkte input'!$E208))</f>
        <v>0</v>
      </c>
      <c r="H208" s="107" t="e">
        <f>IF($A208="Vestdanmark",SUMIFS(IF(H$2=År1,Skovbrug!$C$21:$C$41,IF(H$2=År2,Skovbrug!$D$21:$D$41,Skovbrug!$E$21:$E$41)),Skovbrug!$A$21:$A$41,'Direkte input'!$B208,Skovbrug!$B$21:$B$41,'Direkte input'!$E208),SUMIFS(IF(H$2=År1,Skovbrug!$F$21:$F$41,IF(H$2=År2,Skovbrug!$G$21:$G$41,Skovbrug!$H$21:$H$41)),Skovbrug!$A$21:$A$41,'Direkte input'!$B208,Skovbrug!$B$21:$B$41,'Direkte input'!$E208))</f>
        <v>#VALUE!</v>
      </c>
      <c r="I208" s="107" t="e">
        <f>IF($A208="Vestdanmark",SUMIFS(IF(I$2=År1,Skovbrug!$C$21:$C$41,IF(I$2=År2,Skovbrug!$D$21:$D$41,Skovbrug!$E$21:$E$41)),Skovbrug!$A$21:$A$41,'Direkte input'!$B208,Skovbrug!$B$21:$B$41,'Direkte input'!$E208),SUMIFS(IF(I$2=År1,Skovbrug!$F$21:$F$41,IF(I$2=År2,Skovbrug!$G$21:$G$41,Skovbrug!$H$21:$H$41)),Skovbrug!$A$21:$A$41,'Direkte input'!$B208,Skovbrug!$B$21:$B$41,'Direkte input'!$E208))</f>
        <v>#VALUE!</v>
      </c>
    </row>
    <row r="209" spans="1:9" x14ac:dyDescent="0.25">
      <c r="A209" t="s">
        <v>24</v>
      </c>
      <c r="B209" t="s">
        <v>178</v>
      </c>
      <c r="D209" t="s">
        <v>178</v>
      </c>
      <c r="E209">
        <v>30</v>
      </c>
      <c r="F209" t="str">
        <f t="shared" si="17"/>
        <v>Areal-skovtype1-30</v>
      </c>
      <c r="G209" s="107">
        <f>IF($A209="Vestdanmark",SUMIFS(IF(G$2=År1,Skovbrug!$C$21:$C$41,IF(G$2=År2,Skovbrug!$D$21:$D$41,Skovbrug!$E$21:$E$41)),Skovbrug!$A$21:$A$41,'Direkte input'!$B209,Skovbrug!$B$21:$B$41,'Direkte input'!$E209),SUMIFS(IF(G$2=År1,Skovbrug!$F$21:$F$41,IF(G$2=År2,Skovbrug!$G$21:$G$41,Skovbrug!$H$21:$H$41)),Skovbrug!$A$21:$A$41,'Direkte input'!$B209,Skovbrug!$B$21:$B$41,'Direkte input'!$E209))</f>
        <v>0</v>
      </c>
      <c r="H209" s="107">
        <f>IF($A209="Vestdanmark",SUMIFS(IF(H$2=År1,Skovbrug!$C$21:$C$41,IF(H$2=År2,Skovbrug!$D$21:$D$41,Skovbrug!$E$21:$E$41)),Skovbrug!$A$21:$A$41,'Direkte input'!$B209,Skovbrug!$B$21:$B$41,'Direkte input'!$E209),SUMIFS(IF(H$2=År1,Skovbrug!$F$21:$F$41,IF(H$2=År2,Skovbrug!$G$21:$G$41,Skovbrug!$H$21:$H$41)),Skovbrug!$A$21:$A$41,'Direkte input'!$B209,Skovbrug!$B$21:$B$41,'Direkte input'!$E209))</f>
        <v>0</v>
      </c>
      <c r="I209" s="107" t="e">
        <f>IF($A209="Vestdanmark",SUMIFS(IF(I$2=År1,Skovbrug!$C$21:$C$41,IF(I$2=År2,Skovbrug!$D$21:$D$41,Skovbrug!$E$21:$E$41)),Skovbrug!$A$21:$A$41,'Direkte input'!$B209,Skovbrug!$B$21:$B$41,'Direkte input'!$E209),SUMIFS(IF(I$2=År1,Skovbrug!$F$21:$F$41,IF(I$2=År2,Skovbrug!$G$21:$G$41,Skovbrug!$H$21:$H$41)),Skovbrug!$A$21:$A$41,'Direkte input'!$B209,Skovbrug!$B$21:$B$41,'Direkte input'!$E209))</f>
        <v>#VALUE!</v>
      </c>
    </row>
    <row r="210" spans="1:9" x14ac:dyDescent="0.25">
      <c r="A210" t="s">
        <v>24</v>
      </c>
      <c r="B210" t="s">
        <v>178</v>
      </c>
      <c r="D210" t="s">
        <v>178</v>
      </c>
      <c r="E210">
        <v>40</v>
      </c>
      <c r="F210" t="str">
        <f t="shared" si="17"/>
        <v>Areal-skovtype1-40</v>
      </c>
      <c r="G210" s="107">
        <f>IF($A210="Vestdanmark",SUMIFS(IF(G$2=År1,Skovbrug!$C$21:$C$41,IF(G$2=År2,Skovbrug!$D$21:$D$41,Skovbrug!$E$21:$E$41)),Skovbrug!$A$21:$A$41,'Direkte input'!$B210,Skovbrug!$B$21:$B$41,'Direkte input'!$E210),SUMIFS(IF(G$2=År1,Skovbrug!$F$21:$F$41,IF(G$2=År2,Skovbrug!$G$21:$G$41,Skovbrug!$H$21:$H$41)),Skovbrug!$A$21:$A$41,'Direkte input'!$B210,Skovbrug!$B$21:$B$41,'Direkte input'!$E210))</f>
        <v>0</v>
      </c>
      <c r="H210" s="107">
        <f>IF($A210="Vestdanmark",SUMIFS(IF(H$2=År1,Skovbrug!$C$21:$C$41,IF(H$2=År2,Skovbrug!$D$21:$D$41,Skovbrug!$E$21:$E$41)),Skovbrug!$A$21:$A$41,'Direkte input'!$B210,Skovbrug!$B$21:$B$41,'Direkte input'!$E210),SUMIFS(IF(H$2=År1,Skovbrug!$F$21:$F$41,IF(H$2=År2,Skovbrug!$G$21:$G$41,Skovbrug!$H$21:$H$41)),Skovbrug!$A$21:$A$41,'Direkte input'!$B210,Skovbrug!$B$21:$B$41,'Direkte input'!$E210))</f>
        <v>0</v>
      </c>
      <c r="I210" s="107" t="e">
        <f>IF($A210="Vestdanmark",SUMIFS(IF(I$2=År1,Skovbrug!$C$21:$C$41,IF(I$2=År2,Skovbrug!$D$21:$D$41,Skovbrug!$E$21:$E$41)),Skovbrug!$A$21:$A$41,'Direkte input'!$B210,Skovbrug!$B$21:$B$41,'Direkte input'!$E210),SUMIFS(IF(I$2=År1,Skovbrug!$F$21:$F$41,IF(I$2=År2,Skovbrug!$G$21:$G$41,Skovbrug!$H$21:$H$41)),Skovbrug!$A$21:$A$41,'Direkte input'!$B210,Skovbrug!$B$21:$B$41,'Direkte input'!$E210))</f>
        <v>#VALUE!</v>
      </c>
    </row>
    <row r="211" spans="1:9" x14ac:dyDescent="0.25">
      <c r="A211" t="s">
        <v>24</v>
      </c>
      <c r="B211" t="s">
        <v>179</v>
      </c>
      <c r="D211" t="s">
        <v>179</v>
      </c>
      <c r="E211">
        <v>10</v>
      </c>
      <c r="F211" t="str">
        <f t="shared" si="17"/>
        <v>Areal-skovtype2-10</v>
      </c>
      <c r="G211" s="107">
        <f>IF($A211="Vestdanmark",SUMIFS(IF(G$2=År1,Skovbrug!$C$21:$C$41,IF(G$2=År2,Skovbrug!$D$21:$D$41,Skovbrug!$E$21:$E$41)),Skovbrug!$A$21:$A$41,'Direkte input'!$B211,Skovbrug!$B$21:$B$41,'Direkte input'!$E211),SUMIFS(IF(G$2=År1,Skovbrug!$F$21:$F$41,IF(G$2=År2,Skovbrug!$G$21:$G$41,Skovbrug!$H$21:$H$41)),Skovbrug!$A$21:$A$41,'Direkte input'!$B211,Skovbrug!$B$21:$B$41,'Direkte input'!$E211))</f>
        <v>0</v>
      </c>
      <c r="H211" s="107" t="e">
        <f>IF($A211="Vestdanmark",SUMIFS(IF(H$2=År1,Skovbrug!$C$21:$C$41,IF(H$2=År2,Skovbrug!$D$21:$D$41,Skovbrug!$E$21:$E$41)),Skovbrug!$A$21:$A$41,'Direkte input'!$B211,Skovbrug!$B$21:$B$41,'Direkte input'!$E211),SUMIFS(IF(H$2=År1,Skovbrug!$F$21:$F$41,IF(H$2=År2,Skovbrug!$G$21:$G$41,Skovbrug!$H$21:$H$41)),Skovbrug!$A$21:$A$41,'Direkte input'!$B211,Skovbrug!$B$21:$B$41,'Direkte input'!$E211))</f>
        <v>#VALUE!</v>
      </c>
      <c r="I211" s="107" t="e">
        <f>IF($A211="Vestdanmark",SUMIFS(IF(I$2=År1,Skovbrug!$C$21:$C$41,IF(I$2=År2,Skovbrug!$D$21:$D$41,Skovbrug!$E$21:$E$41)),Skovbrug!$A$21:$A$41,'Direkte input'!$B211,Skovbrug!$B$21:$B$41,'Direkte input'!$E211),SUMIFS(IF(I$2=År1,Skovbrug!$F$21:$F$41,IF(I$2=År2,Skovbrug!$G$21:$G$41,Skovbrug!$H$21:$H$41)),Skovbrug!$A$21:$A$41,'Direkte input'!$B211,Skovbrug!$B$21:$B$41,'Direkte input'!$E211))</f>
        <v>#VALUE!</v>
      </c>
    </row>
    <row r="212" spans="1:9" x14ac:dyDescent="0.25">
      <c r="A212" t="s">
        <v>24</v>
      </c>
      <c r="B212" t="s">
        <v>179</v>
      </c>
      <c r="D212" t="s">
        <v>179</v>
      </c>
      <c r="E212">
        <v>20</v>
      </c>
      <c r="F212" t="str">
        <f t="shared" si="17"/>
        <v>Areal-skovtype2-20</v>
      </c>
      <c r="G212" s="107">
        <f>IF($A212="Vestdanmark",SUMIFS(IF(G$2=År1,Skovbrug!$C$21:$C$41,IF(G$2=År2,Skovbrug!$D$21:$D$41,Skovbrug!$E$21:$E$41)),Skovbrug!$A$21:$A$41,'Direkte input'!$B212,Skovbrug!$B$21:$B$41,'Direkte input'!$E212),SUMIFS(IF(G$2=År1,Skovbrug!$F$21:$F$41,IF(G$2=År2,Skovbrug!$G$21:$G$41,Skovbrug!$H$21:$H$41)),Skovbrug!$A$21:$A$41,'Direkte input'!$B212,Skovbrug!$B$21:$B$41,'Direkte input'!$E212))</f>
        <v>0</v>
      </c>
      <c r="H212" s="107" t="e">
        <f>IF($A212="Vestdanmark",SUMIFS(IF(H$2=År1,Skovbrug!$C$21:$C$41,IF(H$2=År2,Skovbrug!$D$21:$D$41,Skovbrug!$E$21:$E$41)),Skovbrug!$A$21:$A$41,'Direkte input'!$B212,Skovbrug!$B$21:$B$41,'Direkte input'!$E212),SUMIFS(IF(H$2=År1,Skovbrug!$F$21:$F$41,IF(H$2=År2,Skovbrug!$G$21:$G$41,Skovbrug!$H$21:$H$41)),Skovbrug!$A$21:$A$41,'Direkte input'!$B212,Skovbrug!$B$21:$B$41,'Direkte input'!$E212))</f>
        <v>#VALUE!</v>
      </c>
      <c r="I212" s="107" t="e">
        <f>IF($A212="Vestdanmark",SUMIFS(IF(I$2=År1,Skovbrug!$C$21:$C$41,IF(I$2=År2,Skovbrug!$D$21:$D$41,Skovbrug!$E$21:$E$41)),Skovbrug!$A$21:$A$41,'Direkte input'!$B212,Skovbrug!$B$21:$B$41,'Direkte input'!$E212),SUMIFS(IF(I$2=År1,Skovbrug!$F$21:$F$41,IF(I$2=År2,Skovbrug!$G$21:$G$41,Skovbrug!$H$21:$H$41)),Skovbrug!$A$21:$A$41,'Direkte input'!$B212,Skovbrug!$B$21:$B$41,'Direkte input'!$E212))</f>
        <v>#VALUE!</v>
      </c>
    </row>
    <row r="213" spans="1:9" x14ac:dyDescent="0.25">
      <c r="A213" t="s">
        <v>24</v>
      </c>
      <c r="B213" t="s">
        <v>179</v>
      </c>
      <c r="D213" t="s">
        <v>179</v>
      </c>
      <c r="E213">
        <v>30</v>
      </c>
      <c r="F213" t="str">
        <f t="shared" si="17"/>
        <v>Areal-skovtype2-30</v>
      </c>
      <c r="G213" s="107">
        <f>IF($A213="Vestdanmark",SUMIFS(IF(G$2=År1,Skovbrug!$C$21:$C$41,IF(G$2=År2,Skovbrug!$D$21:$D$41,Skovbrug!$E$21:$E$41)),Skovbrug!$A$21:$A$41,'Direkte input'!$B213,Skovbrug!$B$21:$B$41,'Direkte input'!$E213),SUMIFS(IF(G$2=År1,Skovbrug!$F$21:$F$41,IF(G$2=År2,Skovbrug!$G$21:$G$41,Skovbrug!$H$21:$H$41)),Skovbrug!$A$21:$A$41,'Direkte input'!$B213,Skovbrug!$B$21:$B$41,'Direkte input'!$E213))</f>
        <v>0</v>
      </c>
      <c r="H213" s="107">
        <f>IF($A213="Vestdanmark",SUMIFS(IF(H$2=År1,Skovbrug!$C$21:$C$41,IF(H$2=År2,Skovbrug!$D$21:$D$41,Skovbrug!$E$21:$E$41)),Skovbrug!$A$21:$A$41,'Direkte input'!$B213,Skovbrug!$B$21:$B$41,'Direkte input'!$E213),SUMIFS(IF(H$2=År1,Skovbrug!$F$21:$F$41,IF(H$2=År2,Skovbrug!$G$21:$G$41,Skovbrug!$H$21:$H$41)),Skovbrug!$A$21:$A$41,'Direkte input'!$B213,Skovbrug!$B$21:$B$41,'Direkte input'!$E213))</f>
        <v>0</v>
      </c>
      <c r="I213" s="107" t="e">
        <f>IF($A213="Vestdanmark",SUMIFS(IF(I$2=År1,Skovbrug!$C$21:$C$41,IF(I$2=År2,Skovbrug!$D$21:$D$41,Skovbrug!$E$21:$E$41)),Skovbrug!$A$21:$A$41,'Direkte input'!$B213,Skovbrug!$B$21:$B$41,'Direkte input'!$E213),SUMIFS(IF(I$2=År1,Skovbrug!$F$21:$F$41,IF(I$2=År2,Skovbrug!$G$21:$G$41,Skovbrug!$H$21:$H$41)),Skovbrug!$A$21:$A$41,'Direkte input'!$B213,Skovbrug!$B$21:$B$41,'Direkte input'!$E213))</f>
        <v>#VALUE!</v>
      </c>
    </row>
    <row r="214" spans="1:9" x14ac:dyDescent="0.25">
      <c r="A214" t="s">
        <v>24</v>
      </c>
      <c r="B214" t="s">
        <v>179</v>
      </c>
      <c r="D214" t="s">
        <v>179</v>
      </c>
      <c r="E214">
        <v>40</v>
      </c>
      <c r="F214" t="str">
        <f t="shared" si="17"/>
        <v>Areal-skovtype2-40</v>
      </c>
      <c r="G214" s="107">
        <f>IF($A214="Vestdanmark",SUMIFS(IF(G$2=År1,Skovbrug!$C$21:$C$41,IF(G$2=År2,Skovbrug!$D$21:$D$41,Skovbrug!$E$21:$E$41)),Skovbrug!$A$21:$A$41,'Direkte input'!$B214,Skovbrug!$B$21:$B$41,'Direkte input'!$E214),SUMIFS(IF(G$2=År1,Skovbrug!$F$21:$F$41,IF(G$2=År2,Skovbrug!$G$21:$G$41,Skovbrug!$H$21:$H$41)),Skovbrug!$A$21:$A$41,'Direkte input'!$B214,Skovbrug!$B$21:$B$41,'Direkte input'!$E214))</f>
        <v>0</v>
      </c>
      <c r="H214" s="107">
        <f>IF($A214="Vestdanmark",SUMIFS(IF(H$2=År1,Skovbrug!$C$21:$C$41,IF(H$2=År2,Skovbrug!$D$21:$D$41,Skovbrug!$E$21:$E$41)),Skovbrug!$A$21:$A$41,'Direkte input'!$B214,Skovbrug!$B$21:$B$41,'Direkte input'!$E214),SUMIFS(IF(H$2=År1,Skovbrug!$F$21:$F$41,IF(H$2=År2,Skovbrug!$G$21:$G$41,Skovbrug!$H$21:$H$41)),Skovbrug!$A$21:$A$41,'Direkte input'!$B214,Skovbrug!$B$21:$B$41,'Direkte input'!$E214))</f>
        <v>0</v>
      </c>
      <c r="I214" s="107" t="e">
        <f>IF($A214="Vestdanmark",SUMIFS(IF(I$2=År1,Skovbrug!$C$21:$C$41,IF(I$2=År2,Skovbrug!$D$21:$D$41,Skovbrug!$E$21:$E$41)),Skovbrug!$A$21:$A$41,'Direkte input'!$B214,Skovbrug!$B$21:$B$41,'Direkte input'!$E214),SUMIFS(IF(I$2=År1,Skovbrug!$F$21:$F$41,IF(I$2=År2,Skovbrug!$G$21:$G$41,Skovbrug!$H$21:$H$41)),Skovbrug!$A$21:$A$41,'Direkte input'!$B214,Skovbrug!$B$21:$B$41,'Direkte input'!$E214))</f>
        <v>#VALUE!</v>
      </c>
    </row>
    <row r="215" spans="1:9" x14ac:dyDescent="0.25">
      <c r="A215" t="s">
        <v>24</v>
      </c>
      <c r="B215" t="s">
        <v>180</v>
      </c>
      <c r="D215" t="s">
        <v>180</v>
      </c>
      <c r="E215">
        <v>10</v>
      </c>
      <c r="F215" t="str">
        <f t="shared" si="17"/>
        <v>Areal-skovtype3-10</v>
      </c>
      <c r="G215" s="107">
        <f>IF($A215="Vestdanmark",SUMIFS(IF(G$2=År1,Skovbrug!$C$21:$C$41,IF(G$2=År2,Skovbrug!$D$21:$D$41,Skovbrug!$E$21:$E$41)),Skovbrug!$A$21:$A$41,'Direkte input'!$B215,Skovbrug!$B$21:$B$41,'Direkte input'!$E215),SUMIFS(IF(G$2=År1,Skovbrug!$F$21:$F$41,IF(G$2=År2,Skovbrug!$G$21:$G$41,Skovbrug!$H$21:$H$41)),Skovbrug!$A$21:$A$41,'Direkte input'!$B215,Skovbrug!$B$21:$B$41,'Direkte input'!$E215))</f>
        <v>0</v>
      </c>
      <c r="H215" s="107" t="e">
        <f>IF($A215="Vestdanmark",SUMIFS(IF(H$2=År1,Skovbrug!$C$21:$C$41,IF(H$2=År2,Skovbrug!$D$21:$D$41,Skovbrug!$E$21:$E$41)),Skovbrug!$A$21:$A$41,'Direkte input'!$B215,Skovbrug!$B$21:$B$41,'Direkte input'!$E215),SUMIFS(IF(H$2=År1,Skovbrug!$F$21:$F$41,IF(H$2=År2,Skovbrug!$G$21:$G$41,Skovbrug!$H$21:$H$41)),Skovbrug!$A$21:$A$41,'Direkte input'!$B215,Skovbrug!$B$21:$B$41,'Direkte input'!$E215))</f>
        <v>#VALUE!</v>
      </c>
      <c r="I215" s="107" t="e">
        <f>IF($A215="Vestdanmark",SUMIFS(IF(I$2=År1,Skovbrug!$C$21:$C$41,IF(I$2=År2,Skovbrug!$D$21:$D$41,Skovbrug!$E$21:$E$41)),Skovbrug!$A$21:$A$41,'Direkte input'!$B215,Skovbrug!$B$21:$B$41,'Direkte input'!$E215),SUMIFS(IF(I$2=År1,Skovbrug!$F$21:$F$41,IF(I$2=År2,Skovbrug!$G$21:$G$41,Skovbrug!$H$21:$H$41)),Skovbrug!$A$21:$A$41,'Direkte input'!$B215,Skovbrug!$B$21:$B$41,'Direkte input'!$E215))</f>
        <v>#VALUE!</v>
      </c>
    </row>
    <row r="216" spans="1:9" x14ac:dyDescent="0.25">
      <c r="A216" t="s">
        <v>24</v>
      </c>
      <c r="B216" t="s">
        <v>180</v>
      </c>
      <c r="D216" t="s">
        <v>180</v>
      </c>
      <c r="E216">
        <v>20</v>
      </c>
      <c r="F216" t="str">
        <f t="shared" si="17"/>
        <v>Areal-skovtype3-20</v>
      </c>
      <c r="G216" s="107">
        <f>IF($A216="Vestdanmark",SUMIFS(IF(G$2=År1,Skovbrug!$C$21:$C$41,IF(G$2=År2,Skovbrug!$D$21:$D$41,Skovbrug!$E$21:$E$41)),Skovbrug!$A$21:$A$41,'Direkte input'!$B216,Skovbrug!$B$21:$B$41,'Direkte input'!$E216),SUMIFS(IF(G$2=År1,Skovbrug!$F$21:$F$41,IF(G$2=År2,Skovbrug!$G$21:$G$41,Skovbrug!$H$21:$H$41)),Skovbrug!$A$21:$A$41,'Direkte input'!$B216,Skovbrug!$B$21:$B$41,'Direkte input'!$E216))</f>
        <v>0</v>
      </c>
      <c r="H216" s="107" t="e">
        <f>IF($A216="Vestdanmark",SUMIFS(IF(H$2=År1,Skovbrug!$C$21:$C$41,IF(H$2=År2,Skovbrug!$D$21:$D$41,Skovbrug!$E$21:$E$41)),Skovbrug!$A$21:$A$41,'Direkte input'!$B216,Skovbrug!$B$21:$B$41,'Direkte input'!$E216),SUMIFS(IF(H$2=År1,Skovbrug!$F$21:$F$41,IF(H$2=År2,Skovbrug!$G$21:$G$41,Skovbrug!$H$21:$H$41)),Skovbrug!$A$21:$A$41,'Direkte input'!$B216,Skovbrug!$B$21:$B$41,'Direkte input'!$E216))</f>
        <v>#VALUE!</v>
      </c>
      <c r="I216" s="107" t="e">
        <f>IF($A216="Vestdanmark",SUMIFS(IF(I$2=År1,Skovbrug!$C$21:$C$41,IF(I$2=År2,Skovbrug!$D$21:$D$41,Skovbrug!$E$21:$E$41)),Skovbrug!$A$21:$A$41,'Direkte input'!$B216,Skovbrug!$B$21:$B$41,'Direkte input'!$E216),SUMIFS(IF(I$2=År1,Skovbrug!$F$21:$F$41,IF(I$2=År2,Skovbrug!$G$21:$G$41,Skovbrug!$H$21:$H$41)),Skovbrug!$A$21:$A$41,'Direkte input'!$B216,Skovbrug!$B$21:$B$41,'Direkte input'!$E216))</f>
        <v>#VALUE!</v>
      </c>
    </row>
    <row r="217" spans="1:9" x14ac:dyDescent="0.25">
      <c r="A217" t="s">
        <v>24</v>
      </c>
      <c r="B217" t="s">
        <v>180</v>
      </c>
      <c r="D217" t="s">
        <v>180</v>
      </c>
      <c r="E217">
        <v>30</v>
      </c>
      <c r="F217" t="str">
        <f t="shared" si="17"/>
        <v>Areal-skovtype3-30</v>
      </c>
      <c r="G217" s="107">
        <f>IF($A217="Vestdanmark",SUMIFS(IF(G$2=År1,Skovbrug!$C$21:$C$41,IF(G$2=År2,Skovbrug!$D$21:$D$41,Skovbrug!$E$21:$E$41)),Skovbrug!$A$21:$A$41,'Direkte input'!$B217,Skovbrug!$B$21:$B$41,'Direkte input'!$E217),SUMIFS(IF(G$2=År1,Skovbrug!$F$21:$F$41,IF(G$2=År2,Skovbrug!$G$21:$G$41,Skovbrug!$H$21:$H$41)),Skovbrug!$A$21:$A$41,'Direkte input'!$B217,Skovbrug!$B$21:$B$41,'Direkte input'!$E217))</f>
        <v>0</v>
      </c>
      <c r="H217" s="107">
        <f>IF($A217="Vestdanmark",SUMIFS(IF(H$2=År1,Skovbrug!$C$21:$C$41,IF(H$2=År2,Skovbrug!$D$21:$D$41,Skovbrug!$E$21:$E$41)),Skovbrug!$A$21:$A$41,'Direkte input'!$B217,Skovbrug!$B$21:$B$41,'Direkte input'!$E217),SUMIFS(IF(H$2=År1,Skovbrug!$F$21:$F$41,IF(H$2=År2,Skovbrug!$G$21:$G$41,Skovbrug!$H$21:$H$41)),Skovbrug!$A$21:$A$41,'Direkte input'!$B217,Skovbrug!$B$21:$B$41,'Direkte input'!$E217))</f>
        <v>0</v>
      </c>
      <c r="I217" s="107" t="e">
        <f>IF($A217="Vestdanmark",SUMIFS(IF(I$2=År1,Skovbrug!$C$21:$C$41,IF(I$2=År2,Skovbrug!$D$21:$D$41,Skovbrug!$E$21:$E$41)),Skovbrug!$A$21:$A$41,'Direkte input'!$B217,Skovbrug!$B$21:$B$41,'Direkte input'!$E217),SUMIFS(IF(I$2=År1,Skovbrug!$F$21:$F$41,IF(I$2=År2,Skovbrug!$G$21:$G$41,Skovbrug!$H$21:$H$41)),Skovbrug!$A$21:$A$41,'Direkte input'!$B217,Skovbrug!$B$21:$B$41,'Direkte input'!$E217))</f>
        <v>#VALUE!</v>
      </c>
    </row>
    <row r="218" spans="1:9" x14ac:dyDescent="0.25">
      <c r="A218" t="s">
        <v>24</v>
      </c>
      <c r="B218" t="s">
        <v>180</v>
      </c>
      <c r="D218" t="s">
        <v>180</v>
      </c>
      <c r="E218">
        <v>40</v>
      </c>
      <c r="F218" t="str">
        <f t="shared" si="17"/>
        <v>Areal-skovtype3-40</v>
      </c>
      <c r="G218" s="107">
        <f>IF($A218="Vestdanmark",SUMIFS(IF(G$2=År1,Skovbrug!$C$21:$C$41,IF(G$2=År2,Skovbrug!$D$21:$D$41,Skovbrug!$E$21:$E$41)),Skovbrug!$A$21:$A$41,'Direkte input'!$B218,Skovbrug!$B$21:$B$41,'Direkte input'!$E218),SUMIFS(IF(G$2=År1,Skovbrug!$F$21:$F$41,IF(G$2=År2,Skovbrug!$G$21:$G$41,Skovbrug!$H$21:$H$41)),Skovbrug!$A$21:$A$41,'Direkte input'!$B218,Skovbrug!$B$21:$B$41,'Direkte input'!$E218))</f>
        <v>0</v>
      </c>
      <c r="H218" s="107">
        <f>IF($A218="Vestdanmark",SUMIFS(IF(H$2=År1,Skovbrug!$C$21:$C$41,IF(H$2=År2,Skovbrug!$D$21:$D$41,Skovbrug!$E$21:$E$41)),Skovbrug!$A$21:$A$41,'Direkte input'!$B218,Skovbrug!$B$21:$B$41,'Direkte input'!$E218),SUMIFS(IF(H$2=År1,Skovbrug!$F$21:$F$41,IF(H$2=År2,Skovbrug!$G$21:$G$41,Skovbrug!$H$21:$H$41)),Skovbrug!$A$21:$A$41,'Direkte input'!$B218,Skovbrug!$B$21:$B$41,'Direkte input'!$E218))</f>
        <v>0</v>
      </c>
      <c r="I218" s="107" t="e">
        <f>IF($A218="Vestdanmark",SUMIFS(IF(I$2=År1,Skovbrug!$C$21:$C$41,IF(I$2=År2,Skovbrug!$D$21:$D$41,Skovbrug!$E$21:$E$41)),Skovbrug!$A$21:$A$41,'Direkte input'!$B218,Skovbrug!$B$21:$B$41,'Direkte input'!$E218),SUMIFS(IF(I$2=År1,Skovbrug!$F$21:$F$41,IF(I$2=År2,Skovbrug!$G$21:$G$41,Skovbrug!$H$21:$H$41)),Skovbrug!$A$21:$A$41,'Direkte input'!$B218,Skovbrug!$B$21:$B$41,'Direkte input'!$E218))</f>
        <v>#VALUE!</v>
      </c>
    </row>
    <row r="219" spans="1:9" x14ac:dyDescent="0.25">
      <c r="A219" t="s">
        <v>24</v>
      </c>
      <c r="B219" t="s">
        <v>181</v>
      </c>
      <c r="D219" t="s">
        <v>181</v>
      </c>
      <c r="E219">
        <v>10</v>
      </c>
      <c r="F219" t="str">
        <f t="shared" si="17"/>
        <v>Areal-skovtype4-10</v>
      </c>
      <c r="G219" s="107">
        <f>IF($A219="Vestdanmark",SUMIFS(IF(G$2=År1,Skovbrug!$C$21:$C$41,IF(G$2=År2,Skovbrug!$D$21:$D$41,Skovbrug!$E$21:$E$41)),Skovbrug!$A$21:$A$41,'Direkte input'!$B219,Skovbrug!$B$21:$B$41,'Direkte input'!$E219),SUMIFS(IF(G$2=År1,Skovbrug!$F$21:$F$41,IF(G$2=År2,Skovbrug!$G$21:$G$41,Skovbrug!$H$21:$H$41)),Skovbrug!$A$21:$A$41,'Direkte input'!$B219,Skovbrug!$B$21:$B$41,'Direkte input'!$E219))</f>
        <v>0</v>
      </c>
      <c r="H219" s="107" t="e">
        <f>IF($A219="Vestdanmark",SUMIFS(IF(H$2=År1,Skovbrug!$C$21:$C$41,IF(H$2=År2,Skovbrug!$D$21:$D$41,Skovbrug!$E$21:$E$41)),Skovbrug!$A$21:$A$41,'Direkte input'!$B219,Skovbrug!$B$21:$B$41,'Direkte input'!$E219),SUMIFS(IF(H$2=År1,Skovbrug!$F$21:$F$41,IF(H$2=År2,Skovbrug!$G$21:$G$41,Skovbrug!$H$21:$H$41)),Skovbrug!$A$21:$A$41,'Direkte input'!$B219,Skovbrug!$B$21:$B$41,'Direkte input'!$E219))</f>
        <v>#VALUE!</v>
      </c>
      <c r="I219" s="107" t="e">
        <f>IF($A219="Vestdanmark",SUMIFS(IF(I$2=År1,Skovbrug!$C$21:$C$41,IF(I$2=År2,Skovbrug!$D$21:$D$41,Skovbrug!$E$21:$E$41)),Skovbrug!$A$21:$A$41,'Direkte input'!$B219,Skovbrug!$B$21:$B$41,'Direkte input'!$E219),SUMIFS(IF(I$2=År1,Skovbrug!$F$21:$F$41,IF(I$2=År2,Skovbrug!$G$21:$G$41,Skovbrug!$H$21:$H$41)),Skovbrug!$A$21:$A$41,'Direkte input'!$B219,Skovbrug!$B$21:$B$41,'Direkte input'!$E219))</f>
        <v>#VALUE!</v>
      </c>
    </row>
    <row r="220" spans="1:9" x14ac:dyDescent="0.25">
      <c r="A220" t="s">
        <v>24</v>
      </c>
      <c r="B220" t="s">
        <v>181</v>
      </c>
      <c r="D220" t="s">
        <v>181</v>
      </c>
      <c r="E220">
        <v>20</v>
      </c>
      <c r="F220" t="str">
        <f t="shared" si="17"/>
        <v>Areal-skovtype4-20</v>
      </c>
      <c r="G220" s="107">
        <f>IF($A220="Vestdanmark",SUMIFS(IF(G$2=År1,Skovbrug!$C$21:$C$41,IF(G$2=År2,Skovbrug!$D$21:$D$41,Skovbrug!$E$21:$E$41)),Skovbrug!$A$21:$A$41,'Direkte input'!$B220,Skovbrug!$B$21:$B$41,'Direkte input'!$E220),SUMIFS(IF(G$2=År1,Skovbrug!$F$21:$F$41,IF(G$2=År2,Skovbrug!$G$21:$G$41,Skovbrug!$H$21:$H$41)),Skovbrug!$A$21:$A$41,'Direkte input'!$B220,Skovbrug!$B$21:$B$41,'Direkte input'!$E220))</f>
        <v>0</v>
      </c>
      <c r="H220" s="107" t="e">
        <f>IF($A220="Vestdanmark",SUMIFS(IF(H$2=År1,Skovbrug!$C$21:$C$41,IF(H$2=År2,Skovbrug!$D$21:$D$41,Skovbrug!$E$21:$E$41)),Skovbrug!$A$21:$A$41,'Direkte input'!$B220,Skovbrug!$B$21:$B$41,'Direkte input'!$E220),SUMIFS(IF(H$2=År1,Skovbrug!$F$21:$F$41,IF(H$2=År2,Skovbrug!$G$21:$G$41,Skovbrug!$H$21:$H$41)),Skovbrug!$A$21:$A$41,'Direkte input'!$B220,Skovbrug!$B$21:$B$41,'Direkte input'!$E220))</f>
        <v>#VALUE!</v>
      </c>
      <c r="I220" s="107" t="e">
        <f>IF($A220="Vestdanmark",SUMIFS(IF(I$2=År1,Skovbrug!$C$21:$C$41,IF(I$2=År2,Skovbrug!$D$21:$D$41,Skovbrug!$E$21:$E$41)),Skovbrug!$A$21:$A$41,'Direkte input'!$B220,Skovbrug!$B$21:$B$41,'Direkte input'!$E220),SUMIFS(IF(I$2=År1,Skovbrug!$F$21:$F$41,IF(I$2=År2,Skovbrug!$G$21:$G$41,Skovbrug!$H$21:$H$41)),Skovbrug!$A$21:$A$41,'Direkte input'!$B220,Skovbrug!$B$21:$B$41,'Direkte input'!$E220))</f>
        <v>#VALUE!</v>
      </c>
    </row>
    <row r="221" spans="1:9" x14ac:dyDescent="0.25">
      <c r="A221" t="s">
        <v>24</v>
      </c>
      <c r="B221" t="s">
        <v>181</v>
      </c>
      <c r="D221" t="s">
        <v>181</v>
      </c>
      <c r="E221">
        <v>30</v>
      </c>
      <c r="F221" t="str">
        <f t="shared" si="17"/>
        <v>Areal-skovtype4-30</v>
      </c>
      <c r="G221" s="107">
        <f>IF($A221="Vestdanmark",SUMIFS(IF(G$2=År1,Skovbrug!$C$21:$C$41,IF(G$2=År2,Skovbrug!$D$21:$D$41,Skovbrug!$E$21:$E$41)),Skovbrug!$A$21:$A$41,'Direkte input'!$B221,Skovbrug!$B$21:$B$41,'Direkte input'!$E221),SUMIFS(IF(G$2=År1,Skovbrug!$F$21:$F$41,IF(G$2=År2,Skovbrug!$G$21:$G$41,Skovbrug!$H$21:$H$41)),Skovbrug!$A$21:$A$41,'Direkte input'!$B221,Skovbrug!$B$21:$B$41,'Direkte input'!$E221))</f>
        <v>0</v>
      </c>
      <c r="H221" s="107">
        <f>IF($A221="Vestdanmark",SUMIFS(IF(H$2=År1,Skovbrug!$C$21:$C$41,IF(H$2=År2,Skovbrug!$D$21:$D$41,Skovbrug!$E$21:$E$41)),Skovbrug!$A$21:$A$41,'Direkte input'!$B221,Skovbrug!$B$21:$B$41,'Direkte input'!$E221),SUMIFS(IF(H$2=År1,Skovbrug!$F$21:$F$41,IF(H$2=År2,Skovbrug!$G$21:$G$41,Skovbrug!$H$21:$H$41)),Skovbrug!$A$21:$A$41,'Direkte input'!$B221,Skovbrug!$B$21:$B$41,'Direkte input'!$E221))</f>
        <v>0</v>
      </c>
      <c r="I221" s="107" t="e">
        <f>IF($A221="Vestdanmark",SUMIFS(IF(I$2=År1,Skovbrug!$C$21:$C$41,IF(I$2=År2,Skovbrug!$D$21:$D$41,Skovbrug!$E$21:$E$41)),Skovbrug!$A$21:$A$41,'Direkte input'!$B221,Skovbrug!$B$21:$B$41,'Direkte input'!$E221),SUMIFS(IF(I$2=År1,Skovbrug!$F$21:$F$41,IF(I$2=År2,Skovbrug!$G$21:$G$41,Skovbrug!$H$21:$H$41)),Skovbrug!$A$21:$A$41,'Direkte input'!$B221,Skovbrug!$B$21:$B$41,'Direkte input'!$E221))</f>
        <v>#VALUE!</v>
      </c>
    </row>
    <row r="222" spans="1:9" x14ac:dyDescent="0.25">
      <c r="A222" t="s">
        <v>24</v>
      </c>
      <c r="B222" t="s">
        <v>181</v>
      </c>
      <c r="D222" t="s">
        <v>181</v>
      </c>
      <c r="E222">
        <v>40</v>
      </c>
      <c r="F222" t="str">
        <f t="shared" si="17"/>
        <v>Areal-skovtype4-40</v>
      </c>
      <c r="G222" s="107">
        <f>IF($A222="Vestdanmark",SUMIFS(IF(G$2=År1,Skovbrug!$C$21:$C$41,IF(G$2=År2,Skovbrug!$D$21:$D$41,Skovbrug!$E$21:$E$41)),Skovbrug!$A$21:$A$41,'Direkte input'!$B222,Skovbrug!$B$21:$B$41,'Direkte input'!$E222),SUMIFS(IF(G$2=År1,Skovbrug!$F$21:$F$41,IF(G$2=År2,Skovbrug!$G$21:$G$41,Skovbrug!$H$21:$H$41)),Skovbrug!$A$21:$A$41,'Direkte input'!$B222,Skovbrug!$B$21:$B$41,'Direkte input'!$E222))</f>
        <v>0</v>
      </c>
      <c r="H222" s="107">
        <f>IF($A222="Vestdanmark",SUMIFS(IF(H$2=År1,Skovbrug!$C$21:$C$41,IF(H$2=År2,Skovbrug!$D$21:$D$41,Skovbrug!$E$21:$E$41)),Skovbrug!$A$21:$A$41,'Direkte input'!$B222,Skovbrug!$B$21:$B$41,'Direkte input'!$E222),SUMIFS(IF(H$2=År1,Skovbrug!$F$21:$F$41,IF(H$2=År2,Skovbrug!$G$21:$G$41,Skovbrug!$H$21:$H$41)),Skovbrug!$A$21:$A$41,'Direkte input'!$B222,Skovbrug!$B$21:$B$41,'Direkte input'!$E222))</f>
        <v>0</v>
      </c>
      <c r="I222" s="107" t="e">
        <f>IF($A222="Vestdanmark",SUMIFS(IF(I$2=År1,Skovbrug!$C$21:$C$41,IF(I$2=År2,Skovbrug!$D$21:$D$41,Skovbrug!$E$21:$E$41)),Skovbrug!$A$21:$A$41,'Direkte input'!$B222,Skovbrug!$B$21:$B$41,'Direkte input'!$E222),SUMIFS(IF(I$2=År1,Skovbrug!$F$21:$F$41,IF(I$2=År2,Skovbrug!$G$21:$G$41,Skovbrug!$H$21:$H$41)),Skovbrug!$A$21:$A$41,'Direkte input'!$B222,Skovbrug!$B$21:$B$41,'Direkte input'!$E222))</f>
        <v>#VALUE!</v>
      </c>
    </row>
    <row r="223" spans="1:9" x14ac:dyDescent="0.25">
      <c r="A223" t="s">
        <v>24</v>
      </c>
      <c r="B223" t="s">
        <v>182</v>
      </c>
      <c r="D223" t="s">
        <v>182</v>
      </c>
      <c r="E223">
        <v>10</v>
      </c>
      <c r="F223" t="str">
        <f t="shared" si="17"/>
        <v>Areal-skovtype5-10</v>
      </c>
      <c r="G223" s="107">
        <f>IF($A223="Vestdanmark",SUMIFS(IF(G$2=År1,Skovbrug!$C$21:$C$41,IF(G$2=År2,Skovbrug!$D$21:$D$41,Skovbrug!$E$21:$E$41)),Skovbrug!$A$21:$A$41,'Direkte input'!$B223,Skovbrug!$B$21:$B$41,'Direkte input'!$E223),SUMIFS(IF(G$2=År1,Skovbrug!$F$21:$F$41,IF(G$2=År2,Skovbrug!$G$21:$G$41,Skovbrug!$H$21:$H$41)),Skovbrug!$A$21:$A$41,'Direkte input'!$B223,Skovbrug!$B$21:$B$41,'Direkte input'!$E223))</f>
        <v>0</v>
      </c>
      <c r="H223" s="107" t="e">
        <f>IF($A223="Vestdanmark",SUMIFS(IF(H$2=År1,Skovbrug!$C$21:$C$41,IF(H$2=År2,Skovbrug!$D$21:$D$41,Skovbrug!$E$21:$E$41)),Skovbrug!$A$21:$A$41,'Direkte input'!$B223,Skovbrug!$B$21:$B$41,'Direkte input'!$E223),SUMIFS(IF(H$2=År1,Skovbrug!$F$21:$F$41,IF(H$2=År2,Skovbrug!$G$21:$G$41,Skovbrug!$H$21:$H$41)),Skovbrug!$A$21:$A$41,'Direkte input'!$B223,Skovbrug!$B$21:$B$41,'Direkte input'!$E223))</f>
        <v>#VALUE!</v>
      </c>
      <c r="I223" s="107" t="e">
        <f>IF($A223="Vestdanmark",SUMIFS(IF(I$2=År1,Skovbrug!$C$21:$C$41,IF(I$2=År2,Skovbrug!$D$21:$D$41,Skovbrug!$E$21:$E$41)),Skovbrug!$A$21:$A$41,'Direkte input'!$B223,Skovbrug!$B$21:$B$41,'Direkte input'!$E223),SUMIFS(IF(I$2=År1,Skovbrug!$F$21:$F$41,IF(I$2=År2,Skovbrug!$G$21:$G$41,Skovbrug!$H$21:$H$41)),Skovbrug!$A$21:$A$41,'Direkte input'!$B223,Skovbrug!$B$21:$B$41,'Direkte input'!$E223))</f>
        <v>#VALUE!</v>
      </c>
    </row>
    <row r="224" spans="1:9" x14ac:dyDescent="0.25">
      <c r="A224" t="s">
        <v>24</v>
      </c>
      <c r="B224" t="s">
        <v>182</v>
      </c>
      <c r="D224" t="s">
        <v>182</v>
      </c>
      <c r="E224">
        <v>20</v>
      </c>
      <c r="F224" t="str">
        <f t="shared" si="17"/>
        <v>Areal-skovtype5-20</v>
      </c>
      <c r="G224" s="107">
        <f>IF($A224="Vestdanmark",SUMIFS(IF(G$2=År1,Skovbrug!$C$21:$C$41,IF(G$2=År2,Skovbrug!$D$21:$D$41,Skovbrug!$E$21:$E$41)),Skovbrug!$A$21:$A$41,'Direkte input'!$B224,Skovbrug!$B$21:$B$41,'Direkte input'!$E224),SUMIFS(IF(G$2=År1,Skovbrug!$F$21:$F$41,IF(G$2=År2,Skovbrug!$G$21:$G$41,Skovbrug!$H$21:$H$41)),Skovbrug!$A$21:$A$41,'Direkte input'!$B224,Skovbrug!$B$21:$B$41,'Direkte input'!$E224))</f>
        <v>0</v>
      </c>
      <c r="H224" s="107" t="e">
        <f>IF($A224="Vestdanmark",SUMIFS(IF(H$2=År1,Skovbrug!$C$21:$C$41,IF(H$2=År2,Skovbrug!$D$21:$D$41,Skovbrug!$E$21:$E$41)),Skovbrug!$A$21:$A$41,'Direkte input'!$B224,Skovbrug!$B$21:$B$41,'Direkte input'!$E224),SUMIFS(IF(H$2=År1,Skovbrug!$F$21:$F$41,IF(H$2=År2,Skovbrug!$G$21:$G$41,Skovbrug!$H$21:$H$41)),Skovbrug!$A$21:$A$41,'Direkte input'!$B224,Skovbrug!$B$21:$B$41,'Direkte input'!$E224))</f>
        <v>#VALUE!</v>
      </c>
      <c r="I224" s="107" t="e">
        <f>IF($A224="Vestdanmark",SUMIFS(IF(I$2=År1,Skovbrug!$C$21:$C$41,IF(I$2=År2,Skovbrug!$D$21:$D$41,Skovbrug!$E$21:$E$41)),Skovbrug!$A$21:$A$41,'Direkte input'!$B224,Skovbrug!$B$21:$B$41,'Direkte input'!$E224),SUMIFS(IF(I$2=År1,Skovbrug!$F$21:$F$41,IF(I$2=År2,Skovbrug!$G$21:$G$41,Skovbrug!$H$21:$H$41)),Skovbrug!$A$21:$A$41,'Direkte input'!$B224,Skovbrug!$B$21:$B$41,'Direkte input'!$E224))</f>
        <v>#VALUE!</v>
      </c>
    </row>
    <row r="225" spans="1:9" x14ac:dyDescent="0.25">
      <c r="A225" t="s">
        <v>24</v>
      </c>
      <c r="B225" t="s">
        <v>182</v>
      </c>
      <c r="D225" t="s">
        <v>182</v>
      </c>
      <c r="E225">
        <v>30</v>
      </c>
      <c r="F225" t="str">
        <f t="shared" si="17"/>
        <v>Areal-skovtype5-30</v>
      </c>
      <c r="G225" s="107">
        <f>IF($A225="Vestdanmark",SUMIFS(IF(G$2=År1,Skovbrug!$C$21:$C$41,IF(G$2=År2,Skovbrug!$D$21:$D$41,Skovbrug!$E$21:$E$41)),Skovbrug!$A$21:$A$41,'Direkte input'!$B225,Skovbrug!$B$21:$B$41,'Direkte input'!$E225),SUMIFS(IF(G$2=År1,Skovbrug!$F$21:$F$41,IF(G$2=År2,Skovbrug!$G$21:$G$41,Skovbrug!$H$21:$H$41)),Skovbrug!$A$21:$A$41,'Direkte input'!$B225,Skovbrug!$B$21:$B$41,'Direkte input'!$E225))</f>
        <v>0</v>
      </c>
      <c r="H225" s="107">
        <f>IF($A225="Vestdanmark",SUMIFS(IF(H$2=År1,Skovbrug!$C$21:$C$41,IF(H$2=År2,Skovbrug!$D$21:$D$41,Skovbrug!$E$21:$E$41)),Skovbrug!$A$21:$A$41,'Direkte input'!$B225,Skovbrug!$B$21:$B$41,'Direkte input'!$E225),SUMIFS(IF(H$2=År1,Skovbrug!$F$21:$F$41,IF(H$2=År2,Skovbrug!$G$21:$G$41,Skovbrug!$H$21:$H$41)),Skovbrug!$A$21:$A$41,'Direkte input'!$B225,Skovbrug!$B$21:$B$41,'Direkte input'!$E225))</f>
        <v>0</v>
      </c>
      <c r="I225" s="107" t="e">
        <f>IF($A225="Vestdanmark",SUMIFS(IF(I$2=År1,Skovbrug!$C$21:$C$41,IF(I$2=År2,Skovbrug!$D$21:$D$41,Skovbrug!$E$21:$E$41)),Skovbrug!$A$21:$A$41,'Direkte input'!$B225,Skovbrug!$B$21:$B$41,'Direkte input'!$E225),SUMIFS(IF(I$2=År1,Skovbrug!$F$21:$F$41,IF(I$2=År2,Skovbrug!$G$21:$G$41,Skovbrug!$H$21:$H$41)),Skovbrug!$A$21:$A$41,'Direkte input'!$B225,Skovbrug!$B$21:$B$41,'Direkte input'!$E225))</f>
        <v>#VALUE!</v>
      </c>
    </row>
    <row r="226" spans="1:9" x14ac:dyDescent="0.25">
      <c r="A226" t="s">
        <v>24</v>
      </c>
      <c r="B226" t="s">
        <v>182</v>
      </c>
      <c r="D226" t="s">
        <v>182</v>
      </c>
      <c r="E226">
        <v>40</v>
      </c>
      <c r="F226" t="str">
        <f t="shared" si="17"/>
        <v>Areal-skovtype5-40</v>
      </c>
      <c r="G226" s="107">
        <f>IF($A226="Vestdanmark",SUMIFS(IF(G$2=År1,Skovbrug!$C$21:$C$41,IF(G$2=År2,Skovbrug!$D$21:$D$41,Skovbrug!$E$21:$E$41)),Skovbrug!$A$21:$A$41,'Direkte input'!$B226,Skovbrug!$B$21:$B$41,'Direkte input'!$E226),SUMIFS(IF(G$2=År1,Skovbrug!$F$21:$F$41,IF(G$2=År2,Skovbrug!$G$21:$G$41,Skovbrug!$H$21:$H$41)),Skovbrug!$A$21:$A$41,'Direkte input'!$B226,Skovbrug!$B$21:$B$41,'Direkte input'!$E226))</f>
        <v>0</v>
      </c>
      <c r="H226" s="107">
        <f>IF($A226="Vestdanmark",SUMIFS(IF(H$2=År1,Skovbrug!$C$21:$C$41,IF(H$2=År2,Skovbrug!$D$21:$D$41,Skovbrug!$E$21:$E$41)),Skovbrug!$A$21:$A$41,'Direkte input'!$B226,Skovbrug!$B$21:$B$41,'Direkte input'!$E226),SUMIFS(IF(H$2=År1,Skovbrug!$F$21:$F$41,IF(H$2=År2,Skovbrug!$G$21:$G$41,Skovbrug!$H$21:$H$41)),Skovbrug!$A$21:$A$41,'Direkte input'!$B226,Skovbrug!$B$21:$B$41,'Direkte input'!$E226))</f>
        <v>0</v>
      </c>
      <c r="I226" s="107" t="e">
        <f>IF($A226="Vestdanmark",SUMIFS(IF(I$2=År1,Skovbrug!$C$21:$C$41,IF(I$2=År2,Skovbrug!$D$21:$D$41,Skovbrug!$E$21:$E$41)),Skovbrug!$A$21:$A$41,'Direkte input'!$B226,Skovbrug!$B$21:$B$41,'Direkte input'!$E226),SUMIFS(IF(I$2=År1,Skovbrug!$F$21:$F$41,IF(I$2=År2,Skovbrug!$G$21:$G$41,Skovbrug!$H$21:$H$41)),Skovbrug!$A$21:$A$41,'Direkte input'!$B226,Skovbrug!$B$21:$B$41,'Direkte input'!$E226))</f>
        <v>#VALUE!</v>
      </c>
    </row>
    <row r="227" spans="1:9" x14ac:dyDescent="0.25">
      <c r="A227" t="s">
        <v>23</v>
      </c>
      <c r="B227" t="s">
        <v>99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72634.700000000026</v>
      </c>
      <c r="I227" s="106">
        <f>SUMIFS(Havbrug!E$4:E$7,Havbrug!$A$4:$A$7,'Direkte input'!$B227,Havbrug!$B$4:$B$7,'Direkte input'!$A227)*SUMIFS(Havbrug!$F$4:$F$7,Havbrug!$A$4:$A$7,'Direkte input'!$B227,Havbrug!$B$4:$B$7,'Direkte input'!$A227)</f>
        <v>97569.000000000029</v>
      </c>
    </row>
    <row r="228" spans="1:9" x14ac:dyDescent="0.25">
      <c r="A228" t="s">
        <v>24</v>
      </c>
      <c r="B228" t="s">
        <v>99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1624.8</v>
      </c>
      <c r="I228" s="106">
        <f>SUMIFS(Havbrug!E$4:E$7,Havbrug!$A$4:$A$7,'Direkte input'!$B228,Havbrug!$B$4:$B$7,'Direkte input'!$A228)*SUMIFS(Havbrug!$F$4:$F$7,Havbrug!$A$4:$A$7,'Direkte input'!$B228,Havbrug!$B$4:$B$7,'Direkte input'!$A228)</f>
        <v>24372</v>
      </c>
    </row>
    <row r="229" spans="1:9" x14ac:dyDescent="0.25">
      <c r="A229" t="s">
        <v>23</v>
      </c>
      <c r="B229" t="s">
        <v>100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480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600</v>
      </c>
    </row>
    <row r="230" spans="1:9" x14ac:dyDescent="0.25">
      <c r="A230" t="s">
        <v>24</v>
      </c>
      <c r="B230" t="s">
        <v>100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200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workbookViewId="0">
      <selection activeCell="E63" activeCellId="1" sqref="E21 E63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174</v>
      </c>
      <c r="B1" t="s">
        <v>64</v>
      </c>
      <c r="C1" t="s">
        <v>129</v>
      </c>
      <c r="D1" t="s">
        <v>58</v>
      </c>
      <c r="E1" t="s">
        <v>156</v>
      </c>
      <c r="F1" t="s">
        <v>319</v>
      </c>
      <c r="G1" t="s">
        <v>225</v>
      </c>
      <c r="I1" s="156" t="s">
        <v>191</v>
      </c>
      <c r="J1" s="156"/>
      <c r="K1" s="156"/>
      <c r="L1" s="156"/>
      <c r="M1" s="156"/>
    </row>
    <row r="2" spans="1:13" x14ac:dyDescent="0.25">
      <c r="A2" t="s">
        <v>128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128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128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128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128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128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128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128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128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128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128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128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128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128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128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128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128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128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128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128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128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128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128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128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128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128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128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128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128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128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128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128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128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128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128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128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128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128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128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128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128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128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128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128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128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128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128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128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128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128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128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128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128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128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128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128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128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128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128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128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128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128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128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128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128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128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128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128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128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128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128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128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128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128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128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128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128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128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128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128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128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128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128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128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110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 t="e">
        <f>IF(B86="Vestdanmark",VLOOKUP(C86,Biogasanlæg!$A$39:$E$55,MATCH(D86,Biogasanlæg!$A$38:$E$38,0),FALSE),VLOOKUP(C86,Biogasanlæg!$I$39:$M$55,MATCH(D86,Biogasanlæg!$I$38:$M$38,0),FALSE))</f>
        <v>#REF!</v>
      </c>
    </row>
    <row r="87" spans="1:5" x14ac:dyDescent="0.25">
      <c r="A87" t="s">
        <v>110</v>
      </c>
      <c r="B87" t="s">
        <v>23</v>
      </c>
      <c r="C87" s="99" t="str">
        <f>Biogasanlæg!A13</f>
        <v>Kvæggylle</v>
      </c>
      <c r="D87">
        <f t="shared" si="6"/>
        <v>2019</v>
      </c>
      <c r="E87" t="e">
        <f>IF(B87="Vestdanmark",VLOOKUP(C87,Biogasanlæg!$A$39:$E$55,MATCH(D87,Biogasanlæg!$A$38:$E$38,0),FALSE),VLOOKUP(C87,Biogasanlæg!$I$39:$M$55,MATCH(D87,Biogasanlæg!$I$38:$M$38,0),FALSE))</f>
        <v>#REF!</v>
      </c>
    </row>
    <row r="88" spans="1:5" x14ac:dyDescent="0.25">
      <c r="A88" t="s">
        <v>110</v>
      </c>
      <c r="B88" t="s">
        <v>23</v>
      </c>
      <c r="C88" s="99" t="str">
        <f>Biogasanlæg!A14</f>
        <v>Fjerkrægylle</v>
      </c>
      <c r="D88">
        <f t="shared" si="6"/>
        <v>2019</v>
      </c>
      <c r="E88" t="e">
        <f>IF(B88="Vestdanmark",VLOOKUP(C88,Biogasanlæg!$A$39:$E$55,MATCH(D88,Biogasanlæg!$A$38:$E$38,0),FALSE),VLOOKUP(C88,Biogasanlæg!$I$39:$M$55,MATCH(D88,Biogasanlæg!$I$38:$M$38,0),FALSE))</f>
        <v>#REF!</v>
      </c>
    </row>
    <row r="89" spans="1:5" x14ac:dyDescent="0.25">
      <c r="A89" t="s">
        <v>110</v>
      </c>
      <c r="B89" t="s">
        <v>23</v>
      </c>
      <c r="C89" s="99" t="str">
        <f>Biogasanlæg!A15</f>
        <v>Spildevandsslam</v>
      </c>
      <c r="D89">
        <f t="shared" si="6"/>
        <v>2019</v>
      </c>
      <c r="E89" t="e">
        <f>IF(B89="Vestdanmark",VLOOKUP(C89,Biogasanlæg!$A$39:$E$55,MATCH(D89,Biogasanlæg!$A$38:$E$38,0),FALSE),VLOOKUP(C89,Biogasanlæg!$I$39:$M$55,MATCH(D89,Biogasanlæg!$I$38:$M$38,0),FALSE))</f>
        <v>#REF!</v>
      </c>
    </row>
    <row r="90" spans="1:5" x14ac:dyDescent="0.25">
      <c r="A90" t="s">
        <v>110</v>
      </c>
      <c r="B90" t="s">
        <v>23</v>
      </c>
      <c r="C90" s="99" t="str">
        <f>Biogasanlæg!A18</f>
        <v>Bioaffald</v>
      </c>
      <c r="D90">
        <f t="shared" si="6"/>
        <v>2019</v>
      </c>
      <c r="E90" t="e">
        <f>IF(B90="Vestdanmark",VLOOKUP(C90,Biogasanlæg!$A$39:$E$55,MATCH(D90,Biogasanlæg!$A$38:$E$38,0),FALSE),VLOOKUP(C90,Biogasanlæg!$I$39:$M$55,MATCH(D90,Biogasanlæg!$I$38:$M$38,0),FALSE))</f>
        <v>#REF!</v>
      </c>
    </row>
    <row r="91" spans="1:5" x14ac:dyDescent="0.25">
      <c r="A91" t="s">
        <v>110</v>
      </c>
      <c r="B91" t="s">
        <v>23</v>
      </c>
      <c r="C91" s="99" t="str">
        <f>Biogasanlæg!A19</f>
        <v>Industriaffald</v>
      </c>
      <c r="D91">
        <f t="shared" si="6"/>
        <v>2019</v>
      </c>
      <c r="E91" t="e">
        <f>IF(B91="Vestdanmark",VLOOKUP(C91,Biogasanlæg!$A$39:$E$55,MATCH(D91,Biogasanlæg!$A$38:$E$38,0),FALSE),VLOOKUP(C91,Biogasanlæg!$I$39:$M$55,MATCH(D91,Biogasanlæg!$I$38:$M$38,0),FALSE))</f>
        <v>#REF!</v>
      </c>
    </row>
    <row r="92" spans="1:5" x14ac:dyDescent="0.25">
      <c r="A92" t="s">
        <v>110</v>
      </c>
      <c r="B92" t="s">
        <v>23</v>
      </c>
      <c r="C92" s="99" t="str">
        <f>Biogasanlæg!A16</f>
        <v>Dybstrøelse</v>
      </c>
      <c r="D92">
        <f t="shared" si="6"/>
        <v>2019</v>
      </c>
      <c r="E92" t="e">
        <f>IF(B92="Vestdanmark",VLOOKUP(C92,Biogasanlæg!$A$39:$E$55,MATCH(D92,Biogasanlæg!$A$38:$E$38,0),FALSE),VLOOKUP(C92,Biogasanlæg!$I$39:$M$55,MATCH(D92,Biogasanlæg!$I$38:$M$38,0),FALSE))</f>
        <v>#REF!</v>
      </c>
    </row>
    <row r="93" spans="1:5" x14ac:dyDescent="0.25">
      <c r="A93" t="s">
        <v>110</v>
      </c>
      <c r="B93" t="s">
        <v>23</v>
      </c>
      <c r="C93" s="99" t="str">
        <f>Biogasanlæg!A17</f>
        <v>Brun saft</v>
      </c>
      <c r="D93">
        <f t="shared" si="6"/>
        <v>2019</v>
      </c>
      <c r="E93" t="e">
        <f>IF(B93="Vestdanmark",VLOOKUP(C93,Biogasanlæg!$A$39:$E$55,MATCH(D93,Biogasanlæg!$A$38:$E$38,0),FALSE),VLOOKUP(C93,Biogasanlæg!$I$39:$M$55,MATCH(D93,Biogasanlæg!$I$38:$M$38,0),FALSE))</f>
        <v>#REF!</v>
      </c>
    </row>
    <row r="94" spans="1:5" x14ac:dyDescent="0.25">
      <c r="A94" t="s">
        <v>110</v>
      </c>
      <c r="B94" t="s">
        <v>23</v>
      </c>
      <c r="C94" s="99" t="str">
        <f>Biogasanlæg!A20</f>
        <v>Halm</v>
      </c>
      <c r="D94">
        <f t="shared" si="6"/>
        <v>2019</v>
      </c>
      <c r="E94" s="312" t="e">
        <f>IF(B94="Vestdanmark",VLOOKUP(C94,Biogasanlæg!$A$39:$E$55,MATCH(D94,Biogasanlæg!$A$38:$E$38,0),FALSE),VLOOKUP(C94,Biogasanlæg!$I$39:$M$55,MATCH(D94,Biogasanlæg!$I$38:$M$38,0),FALSE))</f>
        <v>#REF!</v>
      </c>
    </row>
    <row r="95" spans="1:5" x14ac:dyDescent="0.25">
      <c r="A95" t="s">
        <v>110</v>
      </c>
      <c r="B95" t="s">
        <v>23</v>
      </c>
      <c r="C95" s="99" t="str">
        <f>Biogasanlæg!A21</f>
        <v>Korn</v>
      </c>
      <c r="D95">
        <f t="shared" si="6"/>
        <v>2019</v>
      </c>
      <c r="E95" t="e">
        <f>IF(B95="Vestdanmark",VLOOKUP(C95,Biogasanlæg!$A$39:$E$55,MATCH(D95,Biogasanlæg!$A$38:$E$38,0),FALSE),VLOOKUP(C95,Biogasanlæg!$I$39:$M$55,MATCH(D95,Biogasanlæg!$I$38:$M$38,0),FALSE))</f>
        <v>#REF!</v>
      </c>
    </row>
    <row r="96" spans="1:5" x14ac:dyDescent="0.25">
      <c r="A96" t="s">
        <v>110</v>
      </c>
      <c r="B96" t="s">
        <v>23</v>
      </c>
      <c r="C96" s="99" t="str">
        <f>Biogasanlæg!A22</f>
        <v>Græs</v>
      </c>
      <c r="D96">
        <f t="shared" si="6"/>
        <v>2019</v>
      </c>
      <c r="E96" t="e">
        <f>IF(B96="Vestdanmark",VLOOKUP(C96,Biogasanlæg!$A$39:$E$55,MATCH(D96,Biogasanlæg!$A$38:$E$38,0),FALSE),VLOOKUP(C96,Biogasanlæg!$I$39:$M$55,MATCH(D96,Biogasanlæg!$I$38:$M$38,0),FALSE))</f>
        <v>#REF!</v>
      </c>
    </row>
    <row r="97" spans="1:5" x14ac:dyDescent="0.25">
      <c r="A97" t="s">
        <v>110</v>
      </c>
      <c r="B97" t="s">
        <v>23</v>
      </c>
      <c r="C97" s="99" t="str">
        <f>Biogasanlæg!A23</f>
        <v>Majs</v>
      </c>
      <c r="D97">
        <f t="shared" si="6"/>
        <v>2019</v>
      </c>
      <c r="E97" t="e">
        <f>IF(B97="Vestdanmark",VLOOKUP(C97,Biogasanlæg!$A$39:$E$55,MATCH(D97,Biogasanlæg!$A$38:$E$38,0),FALSE),VLOOKUP(C97,Biogasanlæg!$I$39:$M$55,MATCH(D97,Biogasanlæg!$I$38:$M$38,0),FALSE))</f>
        <v>#REF!</v>
      </c>
    </row>
    <row r="98" spans="1:5" x14ac:dyDescent="0.25">
      <c r="A98" t="s">
        <v>110</v>
      </c>
      <c r="B98" t="s">
        <v>23</v>
      </c>
      <c r="C98" s="99" t="str">
        <f>Biogasanlæg!A24</f>
        <v>Roer</v>
      </c>
      <c r="D98">
        <f t="shared" si="6"/>
        <v>2019</v>
      </c>
      <c r="E98" t="e">
        <f>IF(B98="Vestdanmark",VLOOKUP(C98,Biogasanlæg!$A$39:$E$55,MATCH(D98,Biogasanlæg!$A$38:$E$38,0),FALSE),VLOOKUP(C98,Biogasanlæg!$I$39:$M$55,MATCH(D98,Biogasanlæg!$I$38:$M$38,0),FALSE))</f>
        <v>#REF!</v>
      </c>
    </row>
    <row r="99" spans="1:5" x14ac:dyDescent="0.25">
      <c r="A99" t="s">
        <v>110</v>
      </c>
      <c r="B99" t="s">
        <v>23</v>
      </c>
      <c r="C99" s="99" t="str">
        <f>Biogasanlæg!A25</f>
        <v>Have/parkaffald</v>
      </c>
      <c r="D99">
        <f t="shared" si="6"/>
        <v>2019</v>
      </c>
      <c r="E99" t="e">
        <f>IF(B99="Vestdanmark",VLOOKUP(C99,Biogasanlæg!$A$39:$E$55,MATCH(D99,Biogasanlæg!$A$38:$E$38,0),FALSE),VLOOKUP(C99,Biogasanlæg!$I$39:$M$55,MATCH(D99,Biogasanlæg!$I$38:$M$38,0),FALSE))</f>
        <v>#REF!</v>
      </c>
    </row>
    <row r="100" spans="1:5" x14ac:dyDescent="0.25">
      <c r="A100" t="s">
        <v>110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110</v>
      </c>
      <c r="B101" t="s">
        <v>23</v>
      </c>
      <c r="C101" s="99" t="str">
        <f>Biogasanlæg!A27</f>
        <v>Muslinger</v>
      </c>
      <c r="D101">
        <f t="shared" si="6"/>
        <v>2019</v>
      </c>
      <c r="E101" t="e">
        <f>IF(B101="Vestdanmark",VLOOKUP(C101,Biogasanlæg!$A$39:$E$55,MATCH(D101,Biogasanlæg!$A$38:$E$38,0),FALSE),VLOOKUP(C101,Biogasanlæg!$I$39:$M$55,MATCH(D101,Biogasanlæg!$I$38:$M$38,0),FALSE))</f>
        <v>#REF!</v>
      </c>
    </row>
    <row r="102" spans="1:5" x14ac:dyDescent="0.25">
      <c r="A102" t="s">
        <v>110</v>
      </c>
      <c r="B102" t="s">
        <v>23</v>
      </c>
      <c r="C102" s="99" t="str">
        <f>Biogasanlæg!A28</f>
        <v>Tang</v>
      </c>
      <c r="D102">
        <f t="shared" si="6"/>
        <v>2019</v>
      </c>
      <c r="E102" t="e">
        <f>IF(B102="Vestdanmark",VLOOKUP(C102,Biogasanlæg!$A$39:$E$55,MATCH(D102,Biogasanlæg!$A$38:$E$38,0),FALSE),VLOOKUP(C102,Biogasanlæg!$I$39:$M$55,MATCH(D102,Biogasanlæg!$I$38:$M$38,0),FALSE))</f>
        <v>#REF!</v>
      </c>
    </row>
    <row r="103" spans="1:5" x14ac:dyDescent="0.25">
      <c r="A103" t="s">
        <v>110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 t="e">
        <f>IF(B103="Vestdanmark",VLOOKUP(C103,Biogasanlæg!$A$39:$E$55,MATCH(D103,Biogasanlæg!$A$38:$E$38,0),FALSE),VLOOKUP(C103,Biogasanlæg!$I$39:$M$55,MATCH(D103,Biogasanlæg!$I$38:$M$38,0),FALSE))</f>
        <v>#REF!</v>
      </c>
    </row>
    <row r="104" spans="1:5" x14ac:dyDescent="0.25">
      <c r="A104" t="s">
        <v>110</v>
      </c>
      <c r="B104" t="s">
        <v>23</v>
      </c>
      <c r="C104" s="99" t="str">
        <f>Biogasanlæg!A13</f>
        <v>Kvæggylle</v>
      </c>
      <c r="D104">
        <f t="shared" si="7"/>
        <v>2030</v>
      </c>
      <c r="E104" t="e">
        <f>IF(B104="Vestdanmark",VLOOKUP(C104,Biogasanlæg!$A$39:$E$55,MATCH(D104,Biogasanlæg!$A$38:$E$38,0),FALSE),VLOOKUP(C104,Biogasanlæg!$I$39:$M$55,MATCH(D104,Biogasanlæg!$I$38:$M$38,0),FALSE))</f>
        <v>#REF!</v>
      </c>
    </row>
    <row r="105" spans="1:5" x14ac:dyDescent="0.25">
      <c r="A105" t="s">
        <v>110</v>
      </c>
      <c r="B105" t="s">
        <v>23</v>
      </c>
      <c r="C105" s="99" t="str">
        <f>Biogasanlæg!A14</f>
        <v>Fjerkrægylle</v>
      </c>
      <c r="D105">
        <f t="shared" si="7"/>
        <v>2030</v>
      </c>
      <c r="E105" t="e">
        <f>IF(B105="Vestdanmark",VLOOKUP(C105,Biogasanlæg!$A$39:$E$55,MATCH(D105,Biogasanlæg!$A$38:$E$38,0),FALSE),VLOOKUP(C105,Biogasanlæg!$I$39:$M$55,MATCH(D105,Biogasanlæg!$I$38:$M$38,0),FALSE))</f>
        <v>#REF!</v>
      </c>
    </row>
    <row r="106" spans="1:5" x14ac:dyDescent="0.25">
      <c r="A106" t="s">
        <v>110</v>
      </c>
      <c r="B106" t="s">
        <v>23</v>
      </c>
      <c r="C106" s="99" t="str">
        <f>Biogasanlæg!A15</f>
        <v>Spildevandsslam</v>
      </c>
      <c r="D106">
        <f t="shared" si="7"/>
        <v>2030</v>
      </c>
      <c r="E106" t="e">
        <f>IF(B106="Vestdanmark",VLOOKUP(C106,Biogasanlæg!$A$39:$E$55,MATCH(D106,Biogasanlæg!$A$38:$E$38,0),FALSE),VLOOKUP(C106,Biogasanlæg!$I$39:$M$55,MATCH(D106,Biogasanlæg!$I$38:$M$38,0),FALSE))</f>
        <v>#REF!</v>
      </c>
    </row>
    <row r="107" spans="1:5" x14ac:dyDescent="0.25">
      <c r="A107" t="s">
        <v>110</v>
      </c>
      <c r="B107" t="s">
        <v>23</v>
      </c>
      <c r="C107" s="99" t="str">
        <f>Biogasanlæg!A18</f>
        <v>Bioaffald</v>
      </c>
      <c r="D107">
        <f t="shared" si="7"/>
        <v>2030</v>
      </c>
      <c r="E107" t="e">
        <f>IF(B107="Vestdanmark",VLOOKUP(C107,Biogasanlæg!$A$39:$E$55,MATCH(D107,Biogasanlæg!$A$38:$E$38,0),FALSE),VLOOKUP(C107,Biogasanlæg!$I$39:$M$55,MATCH(D107,Biogasanlæg!$I$38:$M$38,0),FALSE))</f>
        <v>#REF!</v>
      </c>
    </row>
    <row r="108" spans="1:5" x14ac:dyDescent="0.25">
      <c r="A108" t="s">
        <v>110</v>
      </c>
      <c r="B108" t="s">
        <v>23</v>
      </c>
      <c r="C108" s="99" t="str">
        <f>Biogasanlæg!A19</f>
        <v>Industriaffald</v>
      </c>
      <c r="D108">
        <f t="shared" si="7"/>
        <v>2030</v>
      </c>
      <c r="E108" t="e">
        <f>IF(B108="Vestdanmark",VLOOKUP(C108,Biogasanlæg!$A$39:$E$55,MATCH(D108,Biogasanlæg!$A$38:$E$38,0),FALSE),VLOOKUP(C108,Biogasanlæg!$I$39:$M$55,MATCH(D108,Biogasanlæg!$I$38:$M$38,0),FALSE))</f>
        <v>#REF!</v>
      </c>
    </row>
    <row r="109" spans="1:5" x14ac:dyDescent="0.25">
      <c r="A109" t="s">
        <v>110</v>
      </c>
      <c r="B109" t="s">
        <v>23</v>
      </c>
      <c r="C109" s="99" t="str">
        <f>Biogasanlæg!A16</f>
        <v>Dybstrøelse</v>
      </c>
      <c r="D109">
        <f t="shared" si="7"/>
        <v>2030</v>
      </c>
      <c r="E109" t="e">
        <f>IF(B109="Vestdanmark",VLOOKUP(C109,Biogasanlæg!$A$39:$E$55,MATCH(D109,Biogasanlæg!$A$38:$E$38,0),FALSE),VLOOKUP(C109,Biogasanlæg!$I$39:$M$55,MATCH(D109,Biogasanlæg!$I$38:$M$38,0),FALSE))</f>
        <v>#REF!</v>
      </c>
    </row>
    <row r="110" spans="1:5" x14ac:dyDescent="0.25">
      <c r="A110" t="s">
        <v>110</v>
      </c>
      <c r="B110" t="s">
        <v>23</v>
      </c>
      <c r="C110" s="99" t="str">
        <f>Biogasanlæg!A17</f>
        <v>Brun saft</v>
      </c>
      <c r="D110">
        <f t="shared" si="7"/>
        <v>2030</v>
      </c>
      <c r="E110" t="e">
        <f>IF(B110="Vestdanmark",VLOOKUP(C110,Biogasanlæg!$A$39:$E$55,MATCH(D110,Biogasanlæg!$A$38:$E$38,0),FALSE),VLOOKUP(C110,Biogasanlæg!$I$39:$M$55,MATCH(D110,Biogasanlæg!$I$38:$M$38,0),FALSE))</f>
        <v>#REF!</v>
      </c>
    </row>
    <row r="111" spans="1:5" x14ac:dyDescent="0.25">
      <c r="A111" t="s">
        <v>110</v>
      </c>
      <c r="B111" t="s">
        <v>23</v>
      </c>
      <c r="C111" s="99" t="str">
        <f>Biogasanlæg!A20</f>
        <v>Halm</v>
      </c>
      <c r="D111">
        <f t="shared" si="7"/>
        <v>2030</v>
      </c>
      <c r="E111" t="e">
        <f>IF(B111="Vestdanmark",VLOOKUP(C111,Biogasanlæg!$A$39:$E$55,MATCH(D111,Biogasanlæg!$A$38:$E$38,0),FALSE),VLOOKUP(C111,Biogasanlæg!$I$39:$M$55,MATCH(D111,Biogasanlæg!$I$38:$M$38,0),FALSE))</f>
        <v>#REF!</v>
      </c>
    </row>
    <row r="112" spans="1:5" x14ac:dyDescent="0.25">
      <c r="A112" t="s">
        <v>110</v>
      </c>
      <c r="B112" t="s">
        <v>23</v>
      </c>
      <c r="C112" s="99" t="str">
        <f>Biogasanlæg!A21</f>
        <v>Korn</v>
      </c>
      <c r="D112">
        <f t="shared" si="7"/>
        <v>2030</v>
      </c>
      <c r="E112" t="e">
        <f>IF(B112="Vestdanmark",VLOOKUP(C112,Biogasanlæg!$A$39:$E$55,MATCH(D112,Biogasanlæg!$A$38:$E$38,0),FALSE),VLOOKUP(C112,Biogasanlæg!$I$39:$M$55,MATCH(D112,Biogasanlæg!$I$38:$M$38,0),FALSE))</f>
        <v>#REF!</v>
      </c>
    </row>
    <row r="113" spans="1:5" x14ac:dyDescent="0.25">
      <c r="A113" t="s">
        <v>110</v>
      </c>
      <c r="B113" t="s">
        <v>23</v>
      </c>
      <c r="C113" s="99" t="str">
        <f>Biogasanlæg!A22</f>
        <v>Græs</v>
      </c>
      <c r="D113">
        <f t="shared" si="7"/>
        <v>2030</v>
      </c>
      <c r="E113" t="e">
        <f>IF(B113="Vestdanmark",VLOOKUP(C113,Biogasanlæg!$A$39:$E$55,MATCH(D113,Biogasanlæg!$A$38:$E$38,0),FALSE),VLOOKUP(C113,Biogasanlæg!$I$39:$M$55,MATCH(D113,Biogasanlæg!$I$38:$M$38,0),FALSE))</f>
        <v>#REF!</v>
      </c>
    </row>
    <row r="114" spans="1:5" x14ac:dyDescent="0.25">
      <c r="A114" t="s">
        <v>110</v>
      </c>
      <c r="B114" t="s">
        <v>23</v>
      </c>
      <c r="C114" s="99" t="str">
        <f>Biogasanlæg!A23</f>
        <v>Majs</v>
      </c>
      <c r="D114">
        <f t="shared" si="7"/>
        <v>2030</v>
      </c>
      <c r="E114" t="e">
        <f>IF(B114="Vestdanmark",VLOOKUP(C114,Biogasanlæg!$A$39:$E$55,MATCH(D114,Biogasanlæg!$A$38:$E$38,0),FALSE),VLOOKUP(C114,Biogasanlæg!$I$39:$M$55,MATCH(D114,Biogasanlæg!$I$38:$M$38,0),FALSE))</f>
        <v>#REF!</v>
      </c>
    </row>
    <row r="115" spans="1:5" x14ac:dyDescent="0.25">
      <c r="A115" t="s">
        <v>110</v>
      </c>
      <c r="B115" t="s">
        <v>23</v>
      </c>
      <c r="C115" s="99" t="str">
        <f>Biogasanlæg!A24</f>
        <v>Roer</v>
      </c>
      <c r="D115">
        <f t="shared" si="7"/>
        <v>2030</v>
      </c>
      <c r="E115" t="e">
        <f>IF(B115="Vestdanmark",VLOOKUP(C115,Biogasanlæg!$A$39:$E$55,MATCH(D115,Biogasanlæg!$A$38:$E$38,0),FALSE),VLOOKUP(C115,Biogasanlæg!$I$39:$M$55,MATCH(D115,Biogasanlæg!$I$38:$M$38,0),FALSE))</f>
        <v>#REF!</v>
      </c>
    </row>
    <row r="116" spans="1:5" x14ac:dyDescent="0.25">
      <c r="A116" t="s">
        <v>110</v>
      </c>
      <c r="B116" t="s">
        <v>23</v>
      </c>
      <c r="C116" s="99" t="str">
        <f>Biogasanlæg!A25</f>
        <v>Have/parkaffald</v>
      </c>
      <c r="D116">
        <f t="shared" si="7"/>
        <v>2030</v>
      </c>
      <c r="E116" t="e">
        <f>IF(B116="Vestdanmark",VLOOKUP(C116,Biogasanlæg!$A$39:$E$55,MATCH(D116,Biogasanlæg!$A$38:$E$38,0),FALSE),VLOOKUP(C116,Biogasanlæg!$I$39:$M$55,MATCH(D116,Biogasanlæg!$I$38:$M$38,0),FALSE))</f>
        <v>#REF!</v>
      </c>
    </row>
    <row r="117" spans="1:5" x14ac:dyDescent="0.25">
      <c r="A117" t="s">
        <v>110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110</v>
      </c>
      <c r="B118" t="s">
        <v>23</v>
      </c>
      <c r="C118" s="99" t="str">
        <f>Biogasanlæg!A27</f>
        <v>Muslinger</v>
      </c>
      <c r="D118">
        <f t="shared" si="7"/>
        <v>2030</v>
      </c>
      <c r="E118" t="e">
        <f>IF(B118="Vestdanmark",VLOOKUP(C118,Biogasanlæg!$A$39:$E$55,MATCH(D118,Biogasanlæg!$A$38:$E$38,0),FALSE),VLOOKUP(C118,Biogasanlæg!$I$39:$M$55,MATCH(D118,Biogasanlæg!$I$38:$M$38,0),FALSE))</f>
        <v>#REF!</v>
      </c>
    </row>
    <row r="119" spans="1:5" x14ac:dyDescent="0.25">
      <c r="A119" t="s">
        <v>110</v>
      </c>
      <c r="B119" t="s">
        <v>23</v>
      </c>
      <c r="C119" s="99" t="str">
        <f>Biogasanlæg!A28</f>
        <v>Tang</v>
      </c>
      <c r="D119">
        <f t="shared" si="7"/>
        <v>2030</v>
      </c>
      <c r="E119" t="e">
        <f>IF(B119="Vestdanmark",VLOOKUP(C119,Biogasanlæg!$A$39:$E$55,MATCH(D119,Biogasanlæg!$A$38:$E$38,0),FALSE),VLOOKUP(C119,Biogasanlæg!$I$39:$M$55,MATCH(D119,Biogasanlæg!$I$38:$M$38,0),FALSE))</f>
        <v>#REF!</v>
      </c>
    </row>
    <row r="120" spans="1:5" x14ac:dyDescent="0.25">
      <c r="A120" t="s">
        <v>110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 t="e">
        <f>IF(B120="Vestdanmark",VLOOKUP(C120,Biogasanlæg!$A$39:$E$55,MATCH(D120,Biogasanlæg!$A$38:$E$38,0),FALSE),VLOOKUP(C120,Biogasanlæg!$I$39:$M$55,MATCH(D120,Biogasanlæg!$I$38:$M$38,0),FALSE))</f>
        <v>#REF!</v>
      </c>
    </row>
    <row r="121" spans="1:5" x14ac:dyDescent="0.25">
      <c r="A121" t="s">
        <v>110</v>
      </c>
      <c r="B121" t="s">
        <v>23</v>
      </c>
      <c r="C121" s="101" t="str">
        <f>Biogasanlæg!A13</f>
        <v>Kvæggylle</v>
      </c>
      <c r="D121">
        <f t="shared" si="8"/>
        <v>2050</v>
      </c>
      <c r="E121" t="e">
        <f>IF(B121="Vestdanmark",VLOOKUP(C121,Biogasanlæg!$A$39:$E$55,MATCH(D121,Biogasanlæg!$A$38:$E$38,0),FALSE),VLOOKUP(C121,Biogasanlæg!$I$39:$M$55,MATCH(D121,Biogasanlæg!$I$38:$M$38,0),FALSE))</f>
        <v>#REF!</v>
      </c>
    </row>
    <row r="122" spans="1:5" x14ac:dyDescent="0.25">
      <c r="A122" t="s">
        <v>110</v>
      </c>
      <c r="B122" t="s">
        <v>23</v>
      </c>
      <c r="C122" s="101" t="str">
        <f>Biogasanlæg!A14</f>
        <v>Fjerkrægylle</v>
      </c>
      <c r="D122">
        <f t="shared" si="8"/>
        <v>2050</v>
      </c>
      <c r="E122" t="e">
        <f>IF(B122="Vestdanmark",VLOOKUP(C122,Biogasanlæg!$A$39:$E$55,MATCH(D122,Biogasanlæg!$A$38:$E$38,0),FALSE),VLOOKUP(C122,Biogasanlæg!$I$39:$M$55,MATCH(D122,Biogasanlæg!$I$38:$M$38,0),FALSE))</f>
        <v>#REF!</v>
      </c>
    </row>
    <row r="123" spans="1:5" x14ac:dyDescent="0.25">
      <c r="A123" t="s">
        <v>110</v>
      </c>
      <c r="B123" t="s">
        <v>23</v>
      </c>
      <c r="C123" s="101" t="str">
        <f>Biogasanlæg!A15</f>
        <v>Spildevandsslam</v>
      </c>
      <c r="D123">
        <f t="shared" si="8"/>
        <v>2050</v>
      </c>
      <c r="E123" t="e">
        <f>IF(B123="Vestdanmark",VLOOKUP(C123,Biogasanlæg!$A$39:$E$55,MATCH(D123,Biogasanlæg!$A$38:$E$38,0),FALSE),VLOOKUP(C123,Biogasanlæg!$I$39:$M$55,MATCH(D123,Biogasanlæg!$I$38:$M$38,0),FALSE))</f>
        <v>#REF!</v>
      </c>
    </row>
    <row r="124" spans="1:5" x14ac:dyDescent="0.25">
      <c r="A124" t="s">
        <v>110</v>
      </c>
      <c r="B124" t="s">
        <v>23</v>
      </c>
      <c r="C124" s="101" t="str">
        <f>Biogasanlæg!A18</f>
        <v>Bioaffald</v>
      </c>
      <c r="D124">
        <f t="shared" si="8"/>
        <v>2050</v>
      </c>
      <c r="E124" t="e">
        <f>IF(B124="Vestdanmark",VLOOKUP(C124,Biogasanlæg!$A$39:$E$55,MATCH(D124,Biogasanlæg!$A$38:$E$38,0),FALSE),VLOOKUP(C124,Biogasanlæg!$I$39:$M$55,MATCH(D124,Biogasanlæg!$I$38:$M$38,0),FALSE))</f>
        <v>#REF!</v>
      </c>
    </row>
    <row r="125" spans="1:5" x14ac:dyDescent="0.25">
      <c r="A125" t="s">
        <v>110</v>
      </c>
      <c r="B125" t="s">
        <v>23</v>
      </c>
      <c r="C125" s="101" t="str">
        <f>Biogasanlæg!A19</f>
        <v>Industriaffald</v>
      </c>
      <c r="D125">
        <f t="shared" si="8"/>
        <v>2050</v>
      </c>
      <c r="E125" t="e">
        <f>IF(B125="Vestdanmark",VLOOKUP(C125,Biogasanlæg!$A$39:$E$55,MATCH(D125,Biogasanlæg!$A$38:$E$38,0),FALSE),VLOOKUP(C125,Biogasanlæg!$I$39:$M$55,MATCH(D125,Biogasanlæg!$I$38:$M$38,0),FALSE))</f>
        <v>#REF!</v>
      </c>
    </row>
    <row r="126" spans="1:5" x14ac:dyDescent="0.25">
      <c r="A126" t="s">
        <v>110</v>
      </c>
      <c r="B126" t="s">
        <v>23</v>
      </c>
      <c r="C126" s="101" t="str">
        <f>Biogasanlæg!A16</f>
        <v>Dybstrøelse</v>
      </c>
      <c r="D126">
        <f t="shared" si="8"/>
        <v>2050</v>
      </c>
      <c r="E126" t="e">
        <f>IF(B126="Vestdanmark",VLOOKUP(C126,Biogasanlæg!$A$39:$E$55,MATCH(D126,Biogasanlæg!$A$38:$E$38,0),FALSE),VLOOKUP(C126,Biogasanlæg!$I$39:$M$55,MATCH(D126,Biogasanlæg!$I$38:$M$38,0),FALSE))</f>
        <v>#REF!</v>
      </c>
    </row>
    <row r="127" spans="1:5" x14ac:dyDescent="0.25">
      <c r="A127" t="s">
        <v>110</v>
      </c>
      <c r="B127" t="s">
        <v>23</v>
      </c>
      <c r="C127" s="101" t="str">
        <f>Biogasanlæg!A17</f>
        <v>Brun saft</v>
      </c>
      <c r="D127">
        <f t="shared" si="8"/>
        <v>2050</v>
      </c>
      <c r="E127" t="e">
        <f>IF(B127="Vestdanmark",VLOOKUP(C127,Biogasanlæg!$A$39:$E$55,MATCH(D127,Biogasanlæg!$A$38:$E$38,0),FALSE),VLOOKUP(C127,Biogasanlæg!$I$39:$M$55,MATCH(D127,Biogasanlæg!$I$38:$M$38,0),FALSE))</f>
        <v>#REF!</v>
      </c>
    </row>
    <row r="128" spans="1:5" x14ac:dyDescent="0.25">
      <c r="A128" t="s">
        <v>110</v>
      </c>
      <c r="B128" t="s">
        <v>23</v>
      </c>
      <c r="C128" s="101" t="str">
        <f>Biogasanlæg!A20</f>
        <v>Halm</v>
      </c>
      <c r="D128">
        <f t="shared" si="8"/>
        <v>2050</v>
      </c>
      <c r="E128" t="e">
        <f>IF(B128="Vestdanmark",VLOOKUP(C128,Biogasanlæg!$A$39:$E$55,MATCH(D128,Biogasanlæg!$A$38:$E$38,0),FALSE),VLOOKUP(C128,Biogasanlæg!$I$39:$M$55,MATCH(D128,Biogasanlæg!$I$38:$M$38,0),FALSE))</f>
        <v>#REF!</v>
      </c>
    </row>
    <row r="129" spans="1:5" x14ac:dyDescent="0.25">
      <c r="A129" t="s">
        <v>110</v>
      </c>
      <c r="B129" t="s">
        <v>23</v>
      </c>
      <c r="C129" s="101" t="str">
        <f>Biogasanlæg!A21</f>
        <v>Korn</v>
      </c>
      <c r="D129">
        <f t="shared" si="8"/>
        <v>2050</v>
      </c>
      <c r="E129" t="e">
        <f>IF(B129="Vestdanmark",VLOOKUP(C129,Biogasanlæg!$A$39:$E$55,MATCH(D129,Biogasanlæg!$A$38:$E$38,0),FALSE),VLOOKUP(C129,Biogasanlæg!$I$39:$M$55,MATCH(D129,Biogasanlæg!$I$38:$M$38,0),FALSE))</f>
        <v>#REF!</v>
      </c>
    </row>
    <row r="130" spans="1:5" x14ac:dyDescent="0.25">
      <c r="A130" t="s">
        <v>110</v>
      </c>
      <c r="B130" t="s">
        <v>23</v>
      </c>
      <c r="C130" s="101" t="str">
        <f>Biogasanlæg!A22</f>
        <v>Græs</v>
      </c>
      <c r="D130">
        <f t="shared" si="8"/>
        <v>2050</v>
      </c>
      <c r="E130" t="e">
        <f>IF(B130="Vestdanmark",VLOOKUP(C130,Biogasanlæg!$A$39:$E$55,MATCH(D130,Biogasanlæg!$A$38:$E$38,0),FALSE),VLOOKUP(C130,Biogasanlæg!$I$39:$M$55,MATCH(D130,Biogasanlæg!$I$38:$M$38,0),FALSE))</f>
        <v>#REF!</v>
      </c>
    </row>
    <row r="131" spans="1:5" x14ac:dyDescent="0.25">
      <c r="A131" t="s">
        <v>110</v>
      </c>
      <c r="B131" t="s">
        <v>23</v>
      </c>
      <c r="C131" s="101" t="str">
        <f>Biogasanlæg!A23</f>
        <v>Majs</v>
      </c>
      <c r="D131">
        <f t="shared" si="8"/>
        <v>2050</v>
      </c>
      <c r="E131" t="e">
        <f>IF(B131="Vestdanmark",VLOOKUP(C131,Biogasanlæg!$A$39:$E$55,MATCH(D131,Biogasanlæg!$A$38:$E$38,0),FALSE),VLOOKUP(C131,Biogasanlæg!$I$39:$M$55,MATCH(D131,Biogasanlæg!$I$38:$M$38,0),FALSE))</f>
        <v>#REF!</v>
      </c>
    </row>
    <row r="132" spans="1:5" x14ac:dyDescent="0.25">
      <c r="A132" t="s">
        <v>110</v>
      </c>
      <c r="B132" t="s">
        <v>23</v>
      </c>
      <c r="C132" s="101" t="str">
        <f>Biogasanlæg!A24</f>
        <v>Roer</v>
      </c>
      <c r="D132">
        <f t="shared" si="8"/>
        <v>2050</v>
      </c>
      <c r="E132" t="e">
        <f>IF(B132="Vestdanmark",VLOOKUP(C132,Biogasanlæg!$A$39:$E$55,MATCH(D132,Biogasanlæg!$A$38:$E$38,0),FALSE),VLOOKUP(C132,Biogasanlæg!$I$39:$M$55,MATCH(D132,Biogasanlæg!$I$38:$M$38,0),FALSE))</f>
        <v>#REF!</v>
      </c>
    </row>
    <row r="133" spans="1:5" x14ac:dyDescent="0.25">
      <c r="A133" t="s">
        <v>110</v>
      </c>
      <c r="B133" t="s">
        <v>23</v>
      </c>
      <c r="C133" s="101" t="str">
        <f>Biogasanlæg!A25</f>
        <v>Have/parkaffald</v>
      </c>
      <c r="D133">
        <f t="shared" si="8"/>
        <v>2050</v>
      </c>
      <c r="E133" t="e">
        <f>IF(B133="Vestdanmark",VLOOKUP(C133,Biogasanlæg!$A$39:$E$55,MATCH(D133,Biogasanlæg!$A$38:$E$38,0),FALSE),VLOOKUP(C133,Biogasanlæg!$I$39:$M$55,MATCH(D133,Biogasanlæg!$I$38:$M$38,0),FALSE))</f>
        <v>#REF!</v>
      </c>
    </row>
    <row r="134" spans="1:5" x14ac:dyDescent="0.25">
      <c r="A134" t="s">
        <v>110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110</v>
      </c>
      <c r="B135" t="s">
        <v>23</v>
      </c>
      <c r="C135" s="101" t="str">
        <f>Biogasanlæg!A27</f>
        <v>Muslinger</v>
      </c>
      <c r="D135">
        <f t="shared" si="8"/>
        <v>2050</v>
      </c>
      <c r="E135" t="e">
        <f>IF(B135="Vestdanmark",VLOOKUP(C135,Biogasanlæg!$A$39:$E$55,MATCH(D135,Biogasanlæg!$A$38:$E$38,0),FALSE),VLOOKUP(C135,Biogasanlæg!$I$39:$M$55,MATCH(D135,Biogasanlæg!$I$38:$M$38,0),FALSE))</f>
        <v>#REF!</v>
      </c>
    </row>
    <row r="136" spans="1:5" x14ac:dyDescent="0.25">
      <c r="A136" t="s">
        <v>110</v>
      </c>
      <c r="B136" t="s">
        <v>23</v>
      </c>
      <c r="C136" s="101" t="str">
        <f>Biogasanlæg!A28</f>
        <v>Tang</v>
      </c>
      <c r="D136">
        <f t="shared" si="8"/>
        <v>2050</v>
      </c>
      <c r="E136" t="e">
        <f>IF(B136="Vestdanmark",VLOOKUP(C136,Biogasanlæg!$A$39:$E$55,MATCH(D136,Biogasanlæg!$A$38:$E$38,0),FALSE),VLOOKUP(C136,Biogasanlæg!$I$39:$M$55,MATCH(D136,Biogasanlæg!$I$38:$M$38,0),FALSE))</f>
        <v>#REF!</v>
      </c>
    </row>
    <row r="137" spans="1:5" x14ac:dyDescent="0.25">
      <c r="A137" t="s">
        <v>110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 t="e">
        <f>IF(B137="Vestdanmark",VLOOKUP(C137,Biogasanlæg!$A$39:$E$55,MATCH(D137,Biogasanlæg!$A$38:$E$38,0),FALSE),VLOOKUP(C137,Biogasanlæg!$I$39:$M$55,MATCH(D137,Biogasanlæg!$I$38:$M$38,0),FALSE))</f>
        <v>#REF!</v>
      </c>
    </row>
    <row r="138" spans="1:5" x14ac:dyDescent="0.25">
      <c r="A138" t="s">
        <v>110</v>
      </c>
      <c r="B138" t="s">
        <v>24</v>
      </c>
      <c r="C138" s="101" t="str">
        <f>Biogasanlæg!A13</f>
        <v>Kvæggylle</v>
      </c>
      <c r="D138">
        <f t="shared" si="9"/>
        <v>2019</v>
      </c>
      <c r="E138" t="e">
        <f>IF(B138="Vestdanmark",VLOOKUP(C138,Biogasanlæg!$A$39:$E$55,MATCH(D138,Biogasanlæg!$A$38:$E$38,0),FALSE),VLOOKUP(C138,Biogasanlæg!$I$39:$M$55,MATCH(D138,Biogasanlæg!$I$38:$M$38,0),FALSE))</f>
        <v>#REF!</v>
      </c>
    </row>
    <row r="139" spans="1:5" x14ac:dyDescent="0.25">
      <c r="A139" t="s">
        <v>110</v>
      </c>
      <c r="B139" t="s">
        <v>24</v>
      </c>
      <c r="C139" s="101" t="str">
        <f>Biogasanlæg!A14</f>
        <v>Fjerkrægylle</v>
      </c>
      <c r="D139">
        <f t="shared" si="9"/>
        <v>2019</v>
      </c>
      <c r="E139" t="e">
        <f>IF(B139="Vestdanmark",VLOOKUP(C139,Biogasanlæg!$A$39:$E$55,MATCH(D139,Biogasanlæg!$A$38:$E$38,0),FALSE),VLOOKUP(C139,Biogasanlæg!$I$39:$M$55,MATCH(D139,Biogasanlæg!$I$38:$M$38,0),FALSE))</f>
        <v>#REF!</v>
      </c>
    </row>
    <row r="140" spans="1:5" x14ac:dyDescent="0.25">
      <c r="A140" t="s">
        <v>110</v>
      </c>
      <c r="B140" t="s">
        <v>24</v>
      </c>
      <c r="C140" s="101" t="str">
        <f>Biogasanlæg!A15</f>
        <v>Spildevandsslam</v>
      </c>
      <c r="D140">
        <f t="shared" si="9"/>
        <v>2019</v>
      </c>
      <c r="E140" t="e">
        <f>IF(B140="Vestdanmark",VLOOKUP(C140,Biogasanlæg!$A$39:$E$55,MATCH(D140,Biogasanlæg!$A$38:$E$38,0),FALSE),VLOOKUP(C140,Biogasanlæg!$I$39:$M$55,MATCH(D140,Biogasanlæg!$I$38:$M$38,0),FALSE))</f>
        <v>#REF!</v>
      </c>
    </row>
    <row r="141" spans="1:5" x14ac:dyDescent="0.25">
      <c r="A141" t="s">
        <v>110</v>
      </c>
      <c r="B141" t="s">
        <v>24</v>
      </c>
      <c r="C141" s="101" t="str">
        <f>Biogasanlæg!A18</f>
        <v>Bioaffald</v>
      </c>
      <c r="D141">
        <f t="shared" si="9"/>
        <v>2019</v>
      </c>
      <c r="E141" t="e">
        <f>IF(B141="Vestdanmark",VLOOKUP(C141,Biogasanlæg!$A$39:$E$55,MATCH(D141,Biogasanlæg!$A$38:$E$38,0),FALSE),VLOOKUP(C141,Biogasanlæg!$I$39:$M$55,MATCH(D141,Biogasanlæg!$I$38:$M$38,0),FALSE))</f>
        <v>#REF!</v>
      </c>
    </row>
    <row r="142" spans="1:5" x14ac:dyDescent="0.25">
      <c r="A142" t="s">
        <v>110</v>
      </c>
      <c r="B142" t="s">
        <v>24</v>
      </c>
      <c r="C142" s="101" t="str">
        <f>Biogasanlæg!A19</f>
        <v>Industriaffald</v>
      </c>
      <c r="D142">
        <f t="shared" si="9"/>
        <v>2019</v>
      </c>
      <c r="E142" t="e">
        <f>IF(B142="Vestdanmark",VLOOKUP(C142,Biogasanlæg!$A$39:$E$55,MATCH(D142,Biogasanlæg!$A$38:$E$38,0),FALSE),VLOOKUP(C142,Biogasanlæg!$I$39:$M$55,MATCH(D142,Biogasanlæg!$I$38:$M$38,0),FALSE))</f>
        <v>#REF!</v>
      </c>
    </row>
    <row r="143" spans="1:5" x14ac:dyDescent="0.25">
      <c r="A143" t="s">
        <v>110</v>
      </c>
      <c r="B143" t="s">
        <v>24</v>
      </c>
      <c r="C143" s="101" t="str">
        <f>Biogasanlæg!A16</f>
        <v>Dybstrøelse</v>
      </c>
      <c r="D143">
        <f t="shared" si="9"/>
        <v>2019</v>
      </c>
      <c r="E143" t="e">
        <f>IF(B143="Vestdanmark",VLOOKUP(C143,Biogasanlæg!$A$39:$E$55,MATCH(D143,Biogasanlæg!$A$38:$E$38,0),FALSE),VLOOKUP(C143,Biogasanlæg!$I$39:$M$55,MATCH(D143,Biogasanlæg!$I$38:$M$38,0),FALSE))</f>
        <v>#REF!</v>
      </c>
    </row>
    <row r="144" spans="1:5" x14ac:dyDescent="0.25">
      <c r="A144" t="s">
        <v>110</v>
      </c>
      <c r="B144" t="s">
        <v>24</v>
      </c>
      <c r="C144" s="101" t="str">
        <f>Biogasanlæg!A17</f>
        <v>Brun saft</v>
      </c>
      <c r="D144">
        <f t="shared" si="9"/>
        <v>2019</v>
      </c>
      <c r="E144" t="e">
        <f>IF(B144="Vestdanmark",VLOOKUP(C144,Biogasanlæg!$A$39:$E$55,MATCH(D144,Biogasanlæg!$A$38:$E$38,0),FALSE),VLOOKUP(C144,Biogasanlæg!$I$39:$M$55,MATCH(D144,Biogasanlæg!$I$38:$M$38,0),FALSE))</f>
        <v>#REF!</v>
      </c>
    </row>
    <row r="145" spans="1:5" x14ac:dyDescent="0.25">
      <c r="A145" t="s">
        <v>110</v>
      </c>
      <c r="B145" t="s">
        <v>24</v>
      </c>
      <c r="C145" s="101" t="str">
        <f>Biogasanlæg!A20</f>
        <v>Halm</v>
      </c>
      <c r="D145">
        <f t="shared" si="9"/>
        <v>2019</v>
      </c>
      <c r="E145" t="e">
        <f>IF(B145="Vestdanmark",VLOOKUP(C145,Biogasanlæg!$A$39:$E$55,MATCH(D145,Biogasanlæg!$A$38:$E$38,0),FALSE),VLOOKUP(C145,Biogasanlæg!$I$39:$M$55,MATCH(D145,Biogasanlæg!$I$38:$M$38,0),FALSE))</f>
        <v>#REF!</v>
      </c>
    </row>
    <row r="146" spans="1:5" x14ac:dyDescent="0.25">
      <c r="A146" t="s">
        <v>110</v>
      </c>
      <c r="B146" t="s">
        <v>24</v>
      </c>
      <c r="C146" s="101" t="str">
        <f>Biogasanlæg!A21</f>
        <v>Korn</v>
      </c>
      <c r="D146">
        <f t="shared" si="9"/>
        <v>2019</v>
      </c>
      <c r="E146" t="e">
        <f>IF(B146="Vestdanmark",VLOOKUP(C146,Biogasanlæg!$A$39:$E$55,MATCH(D146,Biogasanlæg!$A$38:$E$38,0),FALSE),VLOOKUP(C146,Biogasanlæg!$I$39:$M$55,MATCH(D146,Biogasanlæg!$I$38:$M$38,0),FALSE))</f>
        <v>#REF!</v>
      </c>
    </row>
    <row r="147" spans="1:5" x14ac:dyDescent="0.25">
      <c r="A147" t="s">
        <v>110</v>
      </c>
      <c r="B147" t="s">
        <v>24</v>
      </c>
      <c r="C147" s="101" t="str">
        <f>Biogasanlæg!A22</f>
        <v>Græs</v>
      </c>
      <c r="D147">
        <f t="shared" si="9"/>
        <v>2019</v>
      </c>
      <c r="E147" t="e">
        <f>IF(B147="Vestdanmark",VLOOKUP(C147,Biogasanlæg!$A$39:$E$55,MATCH(D147,Biogasanlæg!$A$38:$E$38,0),FALSE),VLOOKUP(C147,Biogasanlæg!$I$39:$M$55,MATCH(D147,Biogasanlæg!$I$38:$M$38,0),FALSE))</f>
        <v>#REF!</v>
      </c>
    </row>
    <row r="148" spans="1:5" x14ac:dyDescent="0.25">
      <c r="A148" t="s">
        <v>110</v>
      </c>
      <c r="B148" t="s">
        <v>24</v>
      </c>
      <c r="C148" s="101" t="str">
        <f>Biogasanlæg!A23</f>
        <v>Majs</v>
      </c>
      <c r="D148">
        <f t="shared" si="9"/>
        <v>2019</v>
      </c>
      <c r="E148" t="e">
        <f>IF(B148="Vestdanmark",VLOOKUP(C148,Biogasanlæg!$A$39:$E$55,MATCH(D148,Biogasanlæg!$A$38:$E$38,0),FALSE),VLOOKUP(C148,Biogasanlæg!$I$39:$M$55,MATCH(D148,Biogasanlæg!$I$38:$M$38,0),FALSE))</f>
        <v>#REF!</v>
      </c>
    </row>
    <row r="149" spans="1:5" x14ac:dyDescent="0.25">
      <c r="A149" t="s">
        <v>110</v>
      </c>
      <c r="B149" t="s">
        <v>24</v>
      </c>
      <c r="C149" s="101" t="str">
        <f>Biogasanlæg!A24</f>
        <v>Roer</v>
      </c>
      <c r="D149">
        <f t="shared" si="9"/>
        <v>2019</v>
      </c>
      <c r="E149" t="e">
        <f>IF(B149="Vestdanmark",VLOOKUP(C149,Biogasanlæg!$A$39:$E$55,MATCH(D149,Biogasanlæg!$A$38:$E$38,0),FALSE),VLOOKUP(C149,Biogasanlæg!$I$39:$M$55,MATCH(D149,Biogasanlæg!$I$38:$M$38,0),FALSE))</f>
        <v>#REF!</v>
      </c>
    </row>
    <row r="150" spans="1:5" x14ac:dyDescent="0.25">
      <c r="A150" t="s">
        <v>110</v>
      </c>
      <c r="B150" t="s">
        <v>24</v>
      </c>
      <c r="C150" s="101" t="str">
        <f>Biogasanlæg!A25</f>
        <v>Have/parkaffald</v>
      </c>
      <c r="D150">
        <f t="shared" si="9"/>
        <v>2019</v>
      </c>
      <c r="E150" t="e">
        <f>IF(B150="Vestdanmark",VLOOKUP(C150,Biogasanlæg!$A$39:$E$55,MATCH(D150,Biogasanlæg!$A$38:$E$38,0),FALSE),VLOOKUP(C150,Biogasanlæg!$I$39:$M$55,MATCH(D150,Biogasanlæg!$I$38:$M$38,0),FALSE))</f>
        <v>#REF!</v>
      </c>
    </row>
    <row r="151" spans="1:5" x14ac:dyDescent="0.25">
      <c r="A151" t="s">
        <v>110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110</v>
      </c>
      <c r="B152" t="s">
        <v>24</v>
      </c>
      <c r="C152" s="101" t="str">
        <f>Biogasanlæg!A27</f>
        <v>Muslinger</v>
      </c>
      <c r="D152">
        <f t="shared" si="9"/>
        <v>2019</v>
      </c>
      <c r="E152" t="e">
        <f>IF(B152="Vestdanmark",VLOOKUP(C152,Biogasanlæg!$A$39:$E$55,MATCH(D152,Biogasanlæg!$A$38:$E$38,0),FALSE),VLOOKUP(C152,Biogasanlæg!$I$39:$M$55,MATCH(D152,Biogasanlæg!$I$38:$M$38,0),FALSE))</f>
        <v>#REF!</v>
      </c>
    </row>
    <row r="153" spans="1:5" x14ac:dyDescent="0.25">
      <c r="A153" t="s">
        <v>110</v>
      </c>
      <c r="B153" t="s">
        <v>24</v>
      </c>
      <c r="C153" s="101" t="str">
        <f>Biogasanlæg!A28</f>
        <v>Tang</v>
      </c>
      <c r="D153">
        <f t="shared" si="9"/>
        <v>2019</v>
      </c>
      <c r="E153" t="e">
        <f>IF(B153="Vestdanmark",VLOOKUP(C153,Biogasanlæg!$A$39:$E$55,MATCH(D153,Biogasanlæg!$A$38:$E$38,0),FALSE),VLOOKUP(C153,Biogasanlæg!$I$39:$M$55,MATCH(D153,Biogasanlæg!$I$38:$M$38,0),FALSE))</f>
        <v>#REF!</v>
      </c>
    </row>
    <row r="154" spans="1:5" x14ac:dyDescent="0.25">
      <c r="A154" t="s">
        <v>110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 t="e">
        <f>IF(B154="Vestdanmark",VLOOKUP(C154,Biogasanlæg!$A$39:$E$55,MATCH(D154,Biogasanlæg!$A$38:$E$38,0),FALSE),VLOOKUP(C154,Biogasanlæg!$I$39:$M$55,MATCH(D154,Biogasanlæg!$I$38:$M$38,0),FALSE))</f>
        <v>#REF!</v>
      </c>
    </row>
    <row r="155" spans="1:5" x14ac:dyDescent="0.25">
      <c r="A155" t="s">
        <v>110</v>
      </c>
      <c r="B155" t="s">
        <v>24</v>
      </c>
      <c r="C155" s="101" t="str">
        <f>Biogasanlæg!A13</f>
        <v>Kvæggylle</v>
      </c>
      <c r="D155">
        <f t="shared" si="10"/>
        <v>2030</v>
      </c>
      <c r="E155" t="e">
        <f>IF(B155="Vestdanmark",VLOOKUP(C155,Biogasanlæg!$A$39:$E$55,MATCH(D155,Biogasanlæg!$A$38:$E$38,0),FALSE),VLOOKUP(C155,Biogasanlæg!$I$39:$M$55,MATCH(D155,Biogasanlæg!$I$38:$M$38,0),FALSE))</f>
        <v>#REF!</v>
      </c>
    </row>
    <row r="156" spans="1:5" x14ac:dyDescent="0.25">
      <c r="A156" t="s">
        <v>110</v>
      </c>
      <c r="B156" t="s">
        <v>24</v>
      </c>
      <c r="C156" s="101" t="str">
        <f>Biogasanlæg!A14</f>
        <v>Fjerkrægylle</v>
      </c>
      <c r="D156">
        <f t="shared" si="10"/>
        <v>2030</v>
      </c>
      <c r="E156" t="e">
        <f>IF(B156="Vestdanmark",VLOOKUP(C156,Biogasanlæg!$A$39:$E$55,MATCH(D156,Biogasanlæg!$A$38:$E$38,0),FALSE),VLOOKUP(C156,Biogasanlæg!$I$39:$M$55,MATCH(D156,Biogasanlæg!$I$38:$M$38,0),FALSE))</f>
        <v>#REF!</v>
      </c>
    </row>
    <row r="157" spans="1:5" x14ac:dyDescent="0.25">
      <c r="A157" t="s">
        <v>110</v>
      </c>
      <c r="B157" t="s">
        <v>24</v>
      </c>
      <c r="C157" s="101" t="str">
        <f>Biogasanlæg!A15</f>
        <v>Spildevandsslam</v>
      </c>
      <c r="D157">
        <f t="shared" si="10"/>
        <v>2030</v>
      </c>
      <c r="E157" t="e">
        <f>IF(B157="Vestdanmark",VLOOKUP(C157,Biogasanlæg!$A$39:$E$55,MATCH(D157,Biogasanlæg!$A$38:$E$38,0),FALSE),VLOOKUP(C157,Biogasanlæg!$I$39:$M$55,MATCH(D157,Biogasanlæg!$I$38:$M$38,0),FALSE))</f>
        <v>#REF!</v>
      </c>
    </row>
    <row r="158" spans="1:5" x14ac:dyDescent="0.25">
      <c r="A158" t="s">
        <v>110</v>
      </c>
      <c r="B158" t="s">
        <v>24</v>
      </c>
      <c r="C158" s="101" t="str">
        <f>Biogasanlæg!A18</f>
        <v>Bioaffald</v>
      </c>
      <c r="D158">
        <f t="shared" si="10"/>
        <v>2030</v>
      </c>
      <c r="E158" t="e">
        <f>IF(B158="Vestdanmark",VLOOKUP(C158,Biogasanlæg!$A$39:$E$55,MATCH(D158,Biogasanlæg!$A$38:$E$38,0),FALSE),VLOOKUP(C158,Biogasanlæg!$I$39:$M$55,MATCH(D158,Biogasanlæg!$I$38:$M$38,0),FALSE))</f>
        <v>#REF!</v>
      </c>
    </row>
    <row r="159" spans="1:5" x14ac:dyDescent="0.25">
      <c r="A159" t="s">
        <v>110</v>
      </c>
      <c r="B159" t="s">
        <v>24</v>
      </c>
      <c r="C159" s="101" t="str">
        <f>Biogasanlæg!A19</f>
        <v>Industriaffald</v>
      </c>
      <c r="D159">
        <f t="shared" si="10"/>
        <v>2030</v>
      </c>
      <c r="E159" t="e">
        <f>IF(B159="Vestdanmark",VLOOKUP(C159,Biogasanlæg!$A$39:$E$55,MATCH(D159,Biogasanlæg!$A$38:$E$38,0),FALSE),VLOOKUP(C159,Biogasanlæg!$I$39:$M$55,MATCH(D159,Biogasanlæg!$I$38:$M$38,0),FALSE))</f>
        <v>#REF!</v>
      </c>
    </row>
    <row r="160" spans="1:5" x14ac:dyDescent="0.25">
      <c r="A160" t="s">
        <v>110</v>
      </c>
      <c r="B160" t="s">
        <v>24</v>
      </c>
      <c r="C160" s="101" t="str">
        <f>Biogasanlæg!A16</f>
        <v>Dybstrøelse</v>
      </c>
      <c r="D160">
        <f t="shared" si="10"/>
        <v>2030</v>
      </c>
      <c r="E160" t="e">
        <f>IF(B160="Vestdanmark",VLOOKUP(C160,Biogasanlæg!$A$39:$E$55,MATCH(D160,Biogasanlæg!$A$38:$E$38,0),FALSE),VLOOKUP(C160,Biogasanlæg!$I$39:$M$55,MATCH(D160,Biogasanlæg!$I$38:$M$38,0),FALSE))</f>
        <v>#REF!</v>
      </c>
    </row>
    <row r="161" spans="1:5" x14ac:dyDescent="0.25">
      <c r="A161" t="s">
        <v>110</v>
      </c>
      <c r="B161" t="s">
        <v>24</v>
      </c>
      <c r="C161" s="101" t="str">
        <f>Biogasanlæg!A17</f>
        <v>Brun saft</v>
      </c>
      <c r="D161">
        <f t="shared" si="10"/>
        <v>2030</v>
      </c>
      <c r="E161" t="e">
        <f>IF(B161="Vestdanmark",VLOOKUP(C161,Biogasanlæg!$A$39:$E$55,MATCH(D161,Biogasanlæg!$A$38:$E$38,0),FALSE),VLOOKUP(C161,Biogasanlæg!$I$39:$M$55,MATCH(D161,Biogasanlæg!$I$38:$M$38,0),FALSE))</f>
        <v>#REF!</v>
      </c>
    </row>
    <row r="162" spans="1:5" x14ac:dyDescent="0.25">
      <c r="A162" t="s">
        <v>110</v>
      </c>
      <c r="B162" t="s">
        <v>24</v>
      </c>
      <c r="C162" s="101" t="str">
        <f>Biogasanlæg!A20</f>
        <v>Halm</v>
      </c>
      <c r="D162">
        <f t="shared" si="10"/>
        <v>2030</v>
      </c>
      <c r="E162" t="e">
        <f>IF(B162="Vestdanmark",VLOOKUP(C162,Biogasanlæg!$A$39:$E$55,MATCH(D162,Biogasanlæg!$A$38:$E$38,0),FALSE),VLOOKUP(C162,Biogasanlæg!$I$39:$M$55,MATCH(D162,Biogasanlæg!$I$38:$M$38,0),FALSE))</f>
        <v>#REF!</v>
      </c>
    </row>
    <row r="163" spans="1:5" x14ac:dyDescent="0.25">
      <c r="A163" t="s">
        <v>110</v>
      </c>
      <c r="B163" t="s">
        <v>24</v>
      </c>
      <c r="C163" s="101" t="str">
        <f>Biogasanlæg!A21</f>
        <v>Korn</v>
      </c>
      <c r="D163">
        <f t="shared" si="10"/>
        <v>2030</v>
      </c>
      <c r="E163" t="e">
        <f>IF(B163="Vestdanmark",VLOOKUP(C163,Biogasanlæg!$A$39:$E$55,MATCH(D163,Biogasanlæg!$A$38:$E$38,0),FALSE),VLOOKUP(C163,Biogasanlæg!$I$39:$M$55,MATCH(D163,Biogasanlæg!$I$38:$M$38,0),FALSE))</f>
        <v>#REF!</v>
      </c>
    </row>
    <row r="164" spans="1:5" x14ac:dyDescent="0.25">
      <c r="A164" t="s">
        <v>110</v>
      </c>
      <c r="B164" t="s">
        <v>24</v>
      </c>
      <c r="C164" s="101" t="str">
        <f>Biogasanlæg!A22</f>
        <v>Græs</v>
      </c>
      <c r="D164">
        <f t="shared" si="10"/>
        <v>2030</v>
      </c>
      <c r="E164" t="e">
        <f>IF(B164="Vestdanmark",VLOOKUP(C164,Biogasanlæg!$A$39:$E$55,MATCH(D164,Biogasanlæg!$A$38:$E$38,0),FALSE),VLOOKUP(C164,Biogasanlæg!$I$39:$M$55,MATCH(D164,Biogasanlæg!$I$38:$M$38,0),FALSE))</f>
        <v>#REF!</v>
      </c>
    </row>
    <row r="165" spans="1:5" x14ac:dyDescent="0.25">
      <c r="A165" t="s">
        <v>110</v>
      </c>
      <c r="B165" t="s">
        <v>24</v>
      </c>
      <c r="C165" s="101" t="str">
        <f>Biogasanlæg!A23</f>
        <v>Majs</v>
      </c>
      <c r="D165">
        <f t="shared" si="10"/>
        <v>2030</v>
      </c>
      <c r="E165" t="e">
        <f>IF(B165="Vestdanmark",VLOOKUP(C165,Biogasanlæg!$A$39:$E$55,MATCH(D165,Biogasanlæg!$A$38:$E$38,0),FALSE),VLOOKUP(C165,Biogasanlæg!$I$39:$M$55,MATCH(D165,Biogasanlæg!$I$38:$M$38,0),FALSE))</f>
        <v>#REF!</v>
      </c>
    </row>
    <row r="166" spans="1:5" x14ac:dyDescent="0.25">
      <c r="A166" t="s">
        <v>110</v>
      </c>
      <c r="B166" t="s">
        <v>24</v>
      </c>
      <c r="C166" s="101" t="str">
        <f>Biogasanlæg!A24</f>
        <v>Roer</v>
      </c>
      <c r="D166">
        <f t="shared" si="10"/>
        <v>2030</v>
      </c>
      <c r="E166" t="e">
        <f>IF(B166="Vestdanmark",VLOOKUP(C166,Biogasanlæg!$A$39:$E$55,MATCH(D166,Biogasanlæg!$A$38:$E$38,0),FALSE),VLOOKUP(C166,Biogasanlæg!$I$39:$M$55,MATCH(D166,Biogasanlæg!$I$38:$M$38,0),FALSE))</f>
        <v>#REF!</v>
      </c>
    </row>
    <row r="167" spans="1:5" x14ac:dyDescent="0.25">
      <c r="A167" t="s">
        <v>110</v>
      </c>
      <c r="B167" t="s">
        <v>24</v>
      </c>
      <c r="C167" s="101" t="str">
        <f>Biogasanlæg!A25</f>
        <v>Have/parkaffald</v>
      </c>
      <c r="D167">
        <f t="shared" si="10"/>
        <v>2030</v>
      </c>
      <c r="E167" t="e">
        <f>IF(B167="Vestdanmark",VLOOKUP(C167,Biogasanlæg!$A$39:$E$55,MATCH(D167,Biogasanlæg!$A$38:$E$38,0),FALSE),VLOOKUP(C167,Biogasanlæg!$I$39:$M$55,MATCH(D167,Biogasanlæg!$I$38:$M$38,0),FALSE))</f>
        <v>#REF!</v>
      </c>
    </row>
    <row r="168" spans="1:5" x14ac:dyDescent="0.25">
      <c r="A168" t="s">
        <v>110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110</v>
      </c>
      <c r="B169" t="s">
        <v>24</v>
      </c>
      <c r="C169" s="101" t="str">
        <f>Biogasanlæg!A27</f>
        <v>Muslinger</v>
      </c>
      <c r="D169">
        <f t="shared" si="10"/>
        <v>2030</v>
      </c>
      <c r="E169" t="e">
        <f>IF(B169="Vestdanmark",VLOOKUP(C169,Biogasanlæg!$A$39:$E$55,MATCH(D169,Biogasanlæg!$A$38:$E$38,0),FALSE),VLOOKUP(C169,Biogasanlæg!$I$39:$M$55,MATCH(D169,Biogasanlæg!$I$38:$M$38,0),FALSE))</f>
        <v>#REF!</v>
      </c>
    </row>
    <row r="170" spans="1:5" x14ac:dyDescent="0.25">
      <c r="A170" t="s">
        <v>110</v>
      </c>
      <c r="B170" t="s">
        <v>24</v>
      </c>
      <c r="C170" s="101" t="str">
        <f>Biogasanlæg!A28</f>
        <v>Tang</v>
      </c>
      <c r="D170">
        <f t="shared" si="10"/>
        <v>2030</v>
      </c>
      <c r="E170" t="e">
        <f>IF(B170="Vestdanmark",VLOOKUP(C170,Biogasanlæg!$A$39:$E$55,MATCH(D170,Biogasanlæg!$A$38:$E$38,0),FALSE),VLOOKUP(C170,Biogasanlæg!$I$39:$M$55,MATCH(D170,Biogasanlæg!$I$38:$M$38,0),FALSE))</f>
        <v>#REF!</v>
      </c>
    </row>
    <row r="171" spans="1:5" x14ac:dyDescent="0.25">
      <c r="A171" t="s">
        <v>110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 t="e">
        <f>IF(B171="Vestdanmark",VLOOKUP(C171,Biogasanlæg!$A$39:$E$55,MATCH(D171,Biogasanlæg!$A$38:$E$38,0),FALSE),VLOOKUP(C171,Biogasanlæg!$I$39:$M$55,MATCH(D171,Biogasanlæg!$I$38:$M$38,0),FALSE))</f>
        <v>#REF!</v>
      </c>
    </row>
    <row r="172" spans="1:5" x14ac:dyDescent="0.25">
      <c r="A172" t="s">
        <v>110</v>
      </c>
      <c r="B172" t="s">
        <v>24</v>
      </c>
      <c r="C172" s="101" t="str">
        <f>Biogasanlæg!A13</f>
        <v>Kvæggylle</v>
      </c>
      <c r="D172">
        <f t="shared" si="11"/>
        <v>2050</v>
      </c>
      <c r="E172" t="e">
        <f>IF(B172="Vestdanmark",VLOOKUP(C172,Biogasanlæg!$A$39:$E$55,MATCH(D172,Biogasanlæg!$A$38:$E$38,0),FALSE),VLOOKUP(C172,Biogasanlæg!$I$39:$M$55,MATCH(D172,Biogasanlæg!$I$38:$M$38,0),FALSE))</f>
        <v>#REF!</v>
      </c>
    </row>
    <row r="173" spans="1:5" x14ac:dyDescent="0.25">
      <c r="A173" t="s">
        <v>110</v>
      </c>
      <c r="B173" t="s">
        <v>24</v>
      </c>
      <c r="C173" s="101" t="str">
        <f>Biogasanlæg!A14</f>
        <v>Fjerkrægylle</v>
      </c>
      <c r="D173">
        <f t="shared" si="11"/>
        <v>2050</v>
      </c>
      <c r="E173" t="e">
        <f>IF(B173="Vestdanmark",VLOOKUP(C173,Biogasanlæg!$A$39:$E$55,MATCH(D173,Biogasanlæg!$A$38:$E$38,0),FALSE),VLOOKUP(C173,Biogasanlæg!$I$39:$M$55,MATCH(D173,Biogasanlæg!$I$38:$M$38,0),FALSE))</f>
        <v>#REF!</v>
      </c>
    </row>
    <row r="174" spans="1:5" x14ac:dyDescent="0.25">
      <c r="A174" t="s">
        <v>110</v>
      </c>
      <c r="B174" t="s">
        <v>24</v>
      </c>
      <c r="C174" s="101" t="str">
        <f>Biogasanlæg!A15</f>
        <v>Spildevandsslam</v>
      </c>
      <c r="D174">
        <f t="shared" si="11"/>
        <v>2050</v>
      </c>
      <c r="E174" t="e">
        <f>IF(B174="Vestdanmark",VLOOKUP(C174,Biogasanlæg!$A$39:$E$55,MATCH(D174,Biogasanlæg!$A$38:$E$38,0),FALSE),VLOOKUP(C174,Biogasanlæg!$I$39:$M$55,MATCH(D174,Biogasanlæg!$I$38:$M$38,0),FALSE))</f>
        <v>#REF!</v>
      </c>
    </row>
    <row r="175" spans="1:5" x14ac:dyDescent="0.25">
      <c r="A175" t="s">
        <v>110</v>
      </c>
      <c r="B175" t="s">
        <v>24</v>
      </c>
      <c r="C175" s="101" t="str">
        <f>Biogasanlæg!A18</f>
        <v>Bioaffald</v>
      </c>
      <c r="D175">
        <f t="shared" si="11"/>
        <v>2050</v>
      </c>
      <c r="E175" t="e">
        <f>IF(B175="Vestdanmark",VLOOKUP(C175,Biogasanlæg!$A$39:$E$55,MATCH(D175,Biogasanlæg!$A$38:$E$38,0),FALSE),VLOOKUP(C175,Biogasanlæg!$I$39:$M$55,MATCH(D175,Biogasanlæg!$I$38:$M$38,0),FALSE))</f>
        <v>#REF!</v>
      </c>
    </row>
    <row r="176" spans="1:5" x14ac:dyDescent="0.25">
      <c r="A176" t="s">
        <v>110</v>
      </c>
      <c r="B176" t="s">
        <v>24</v>
      </c>
      <c r="C176" s="101" t="str">
        <f>Biogasanlæg!A19</f>
        <v>Industriaffald</v>
      </c>
      <c r="D176">
        <f t="shared" si="11"/>
        <v>2050</v>
      </c>
      <c r="E176" t="e">
        <f>IF(B176="Vestdanmark",VLOOKUP(C176,Biogasanlæg!$A$39:$E$55,MATCH(D176,Biogasanlæg!$A$38:$E$38,0),FALSE),VLOOKUP(C176,Biogasanlæg!$I$39:$M$55,MATCH(D176,Biogasanlæg!$I$38:$M$38,0),FALSE))</f>
        <v>#REF!</v>
      </c>
    </row>
    <row r="177" spans="1:18" x14ac:dyDescent="0.25">
      <c r="A177" t="s">
        <v>110</v>
      </c>
      <c r="B177" t="s">
        <v>24</v>
      </c>
      <c r="C177" s="101" t="str">
        <f>Biogasanlæg!A16</f>
        <v>Dybstrøelse</v>
      </c>
      <c r="D177">
        <f t="shared" si="11"/>
        <v>2050</v>
      </c>
      <c r="E177" t="e">
        <f>IF(B177="Vestdanmark",VLOOKUP(C177,Biogasanlæg!$A$39:$E$55,MATCH(D177,Biogasanlæg!$A$38:$E$38,0),FALSE),VLOOKUP(C177,Biogasanlæg!$I$39:$M$55,MATCH(D177,Biogasanlæg!$I$38:$M$38,0),FALSE))</f>
        <v>#REF!</v>
      </c>
    </row>
    <row r="178" spans="1:18" x14ac:dyDescent="0.25">
      <c r="A178" t="s">
        <v>110</v>
      </c>
      <c r="B178" t="s">
        <v>24</v>
      </c>
      <c r="C178" s="101" t="str">
        <f>Biogasanlæg!A17</f>
        <v>Brun saft</v>
      </c>
      <c r="D178">
        <f t="shared" si="11"/>
        <v>2050</v>
      </c>
      <c r="E178" t="e">
        <f>IF(B178="Vestdanmark",VLOOKUP(C178,Biogasanlæg!$A$39:$E$55,MATCH(D178,Biogasanlæg!$A$38:$E$38,0),FALSE),VLOOKUP(C178,Biogasanlæg!$I$39:$M$55,MATCH(D178,Biogasanlæg!$I$38:$M$38,0),FALSE))</f>
        <v>#REF!</v>
      </c>
    </row>
    <row r="179" spans="1:18" x14ac:dyDescent="0.25">
      <c r="A179" t="s">
        <v>110</v>
      </c>
      <c r="B179" t="s">
        <v>24</v>
      </c>
      <c r="C179" s="101" t="str">
        <f>Biogasanlæg!A20</f>
        <v>Halm</v>
      </c>
      <c r="D179">
        <f t="shared" si="11"/>
        <v>2050</v>
      </c>
      <c r="E179" t="e">
        <f>IF(B179="Vestdanmark",VLOOKUP(C179,Biogasanlæg!$A$39:$E$55,MATCH(D179,Biogasanlæg!$A$38:$E$38,0),FALSE),VLOOKUP(C179,Biogasanlæg!$I$39:$M$55,MATCH(D179,Biogasanlæg!$I$38:$M$38,0),FALSE))</f>
        <v>#REF!</v>
      </c>
    </row>
    <row r="180" spans="1:18" x14ac:dyDescent="0.25">
      <c r="A180" t="s">
        <v>110</v>
      </c>
      <c r="B180" t="s">
        <v>24</v>
      </c>
      <c r="C180" s="101" t="str">
        <f>Biogasanlæg!A21</f>
        <v>Korn</v>
      </c>
      <c r="D180">
        <f t="shared" si="11"/>
        <v>2050</v>
      </c>
      <c r="E180" t="e">
        <f>IF(B180="Vestdanmark",VLOOKUP(C180,Biogasanlæg!$A$39:$E$55,MATCH(D180,Biogasanlæg!$A$38:$E$38,0),FALSE),VLOOKUP(C180,Biogasanlæg!$I$39:$M$55,MATCH(D180,Biogasanlæg!$I$38:$M$38,0),FALSE))</f>
        <v>#REF!</v>
      </c>
    </row>
    <row r="181" spans="1:18" x14ac:dyDescent="0.25">
      <c r="A181" t="s">
        <v>110</v>
      </c>
      <c r="B181" t="s">
        <v>24</v>
      </c>
      <c r="C181" s="101" t="str">
        <f>Biogasanlæg!A22</f>
        <v>Græs</v>
      </c>
      <c r="D181">
        <f t="shared" si="11"/>
        <v>2050</v>
      </c>
      <c r="E181" t="e">
        <f>IF(B181="Vestdanmark",VLOOKUP(C181,Biogasanlæg!$A$39:$E$55,MATCH(D181,Biogasanlæg!$A$38:$E$38,0),FALSE),VLOOKUP(C181,Biogasanlæg!$I$39:$M$55,MATCH(D181,Biogasanlæg!$I$38:$M$38,0),FALSE))</f>
        <v>#REF!</v>
      </c>
    </row>
    <row r="182" spans="1:18" x14ac:dyDescent="0.25">
      <c r="A182" t="s">
        <v>110</v>
      </c>
      <c r="B182" t="s">
        <v>24</v>
      </c>
      <c r="C182" s="101" t="str">
        <f>Biogasanlæg!A23</f>
        <v>Majs</v>
      </c>
      <c r="D182">
        <f t="shared" si="11"/>
        <v>2050</v>
      </c>
      <c r="E182" t="e">
        <f>IF(B182="Vestdanmark",VLOOKUP(C182,Biogasanlæg!$A$39:$E$55,MATCH(D182,Biogasanlæg!$A$38:$E$38,0),FALSE),VLOOKUP(C182,Biogasanlæg!$I$39:$M$55,MATCH(D182,Biogasanlæg!$I$38:$M$38,0),FALSE))</f>
        <v>#REF!</v>
      </c>
    </row>
    <row r="183" spans="1:18" x14ac:dyDescent="0.25">
      <c r="A183" t="s">
        <v>110</v>
      </c>
      <c r="B183" t="s">
        <v>24</v>
      </c>
      <c r="C183" s="101" t="str">
        <f>Biogasanlæg!A24</f>
        <v>Roer</v>
      </c>
      <c r="D183">
        <f t="shared" si="11"/>
        <v>2050</v>
      </c>
      <c r="E183" t="e">
        <f>IF(B183="Vestdanmark",VLOOKUP(C183,Biogasanlæg!$A$39:$E$55,MATCH(D183,Biogasanlæg!$A$38:$E$38,0),FALSE),VLOOKUP(C183,Biogasanlæg!$I$39:$M$55,MATCH(D183,Biogasanlæg!$I$38:$M$38,0),FALSE))</f>
        <v>#REF!</v>
      </c>
    </row>
    <row r="184" spans="1:18" x14ac:dyDescent="0.25">
      <c r="A184" t="s">
        <v>110</v>
      </c>
      <c r="B184" t="s">
        <v>24</v>
      </c>
      <c r="C184" s="101" t="str">
        <f>Biogasanlæg!A25</f>
        <v>Have/parkaffald</v>
      </c>
      <c r="D184">
        <f t="shared" si="11"/>
        <v>2050</v>
      </c>
      <c r="E184" t="e">
        <f>IF(B184="Vestdanmark",VLOOKUP(C184,Biogasanlæg!$A$39:$E$55,MATCH(D184,Biogasanlæg!$A$38:$E$38,0),FALSE),VLOOKUP(C184,Biogasanlæg!$I$39:$M$55,MATCH(D184,Biogasanlæg!$I$38:$M$38,0),FALSE))</f>
        <v>#REF!</v>
      </c>
    </row>
    <row r="185" spans="1:18" x14ac:dyDescent="0.25">
      <c r="A185" t="s">
        <v>110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110</v>
      </c>
      <c r="B186" t="s">
        <v>24</v>
      </c>
      <c r="C186" s="101" t="str">
        <f>Biogasanlæg!A27</f>
        <v>Muslinger</v>
      </c>
      <c r="D186">
        <f t="shared" si="11"/>
        <v>2050</v>
      </c>
      <c r="E186" t="e">
        <f>IF(B186="Vestdanmark",VLOOKUP(C186,Biogasanlæg!$A$39:$E$55,MATCH(D186,Biogasanlæg!$A$38:$E$38,0),FALSE),VLOOKUP(C186,Biogasanlæg!$I$39:$M$55,MATCH(D186,Biogasanlæg!$I$38:$M$38,0),FALSE))</f>
        <v>#REF!</v>
      </c>
    </row>
    <row r="187" spans="1:18" x14ac:dyDescent="0.25">
      <c r="A187" t="s">
        <v>110</v>
      </c>
      <c r="B187" t="s">
        <v>24</v>
      </c>
      <c r="C187" s="101" t="str">
        <f>Biogasanlæg!A28</f>
        <v>Tang</v>
      </c>
      <c r="D187">
        <f t="shared" si="11"/>
        <v>2050</v>
      </c>
      <c r="E187" t="e">
        <f>IF(B187="Vestdanmark",VLOOKUP(C187,Biogasanlæg!$A$39:$E$55,MATCH(D187,Biogasanlæg!$A$38:$E$38,0),FALSE),VLOOKUP(C187,Biogasanlæg!$I$39:$M$55,MATCH(D187,Biogasanlæg!$I$38:$M$38,0),FALSE))</f>
        <v>#REF!</v>
      </c>
    </row>
    <row r="188" spans="1:18" x14ac:dyDescent="0.25">
      <c r="A188" s="100" t="s">
        <v>113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51" t="e">
        <f>VLOOKUP($C188,Fodersammensætning!A$3:E$17,MATCH(D188,Fodersammensætning!$A$2:$E$2,0),FALSE)*(-SUMIFS(IF(D188=År1,IF(B188="Vestdanmark",'Resultater - Vestdanmark'!H$3:H$482,'Resultater - Østdanmark'!H$3:H$482),IF(D188=År2,IF(B188="Vestdanmark",'Resultater - Vestdanmark'!I$3:I$482,'Resultater - Østdanmark'!I$3:I$482),IF(B188="Vestdanmark",'Resultater - Vestdanmark'!J$3:J$482,'Resultater - Østdanmark'!J$3:J$482))),'Resultater - Vestdanmark'!$F$3:$F$482,"Foder",'Resultater - Vestdanmark'!$A$3:$A$482,"&lt;&gt;Foderproduktion"))/SUMIFS(IF(D188=År1,'[1]Processer - data'!H$3:H$464,IF(D188=År2,'[1]Processer - data'!I$3:I$464,'[1]Processer - data'!J$3:J$464)),'[1]Processer - data'!$A$3:$A$464,"Foderproduktion",'[1]Processer - data'!$D$3:$D$464,$C188)</f>
        <v>#REF!</v>
      </c>
      <c r="G188" s="319"/>
    </row>
    <row r="189" spans="1:18" x14ac:dyDescent="0.25">
      <c r="A189" s="100" t="s">
        <v>113</v>
      </c>
      <c r="B189" t="s">
        <v>23</v>
      </c>
      <c r="C189" s="101" t="str">
        <f>Fodersammensætning!A4</f>
        <v>Halm</v>
      </c>
      <c r="D189">
        <f t="shared" si="12"/>
        <v>2019</v>
      </c>
      <c r="E189" s="151" t="e">
        <f>VLOOKUP($C189,Fodersammensætning!A$3:E$17,MATCH(D189,Fodersammensætning!$A$2:$E$2,0),FALSE)*(-SUMIFS(IF(D189=År1,IF(B189="Vestdanmark",'Resultater - Vestdanmark'!H$3:H$482,'Resultater - Østdanmark'!H$3:H$482),IF(D189=År2,IF(B189="Vestdanmark",'Resultater - Vestdanmark'!I$3:I$482,'Resultater - Østdanmark'!I$3:I$482),IF(B189="Vestdanmark",'Resultater - Vestdanmark'!J$3:J$482,'Resultater - Østdanmark'!J$3:J$482))),'Resultater - Vestdanmark'!$F$3:$F$482,"Foder",'Resultater - Vestdanmark'!$A$3:$A$482,"&lt;&gt;Foderproduktion"))/SUMIFS(IF(D189=År1,'[1]Processer - data'!H$3:H$464,IF(D189=År2,'[1]Processer - data'!I$3:I$464,'[1]Processer - data'!J$3:J$464)),'[1]Processer - data'!$A$3:$A$464,"Foderproduktion",'[1]Processer - data'!$D$3:$D$464,$C189)</f>
        <v>#REF!</v>
      </c>
      <c r="R189" s="98" t="e">
        <f>-SUMIFS('Resultater - Vestdanmark'!H$3:H$482,'Resultater - Vestdanmark'!$F$3:$F$482,"Foder",'Resultater - Vestdanmark'!$A$3:$A$482,"&lt;&gt;Foderproduktion")</f>
        <v>#REF!</v>
      </c>
    </row>
    <row r="190" spans="1:18" x14ac:dyDescent="0.25">
      <c r="A190" s="100" t="s">
        <v>113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51" t="e">
        <f>VLOOKUP($C190,Fodersammensætning!A$3:E$17,MATCH(D190,Fodersammensætning!$A$2:$E$2,0),FALSE)*(-SUMIFS(IF(D190=År1,IF(B190="Vestdanmark",'Resultater - Vestdanmark'!H$3:H$482,'Resultater - Østdanmark'!H$3:H$482),IF(D190=År2,IF(B190="Vestdanmark",'Resultater - Vestdanmark'!I$3:I$482,'Resultater - Østdanmark'!I$3:I$482),IF(B190="Vestdanmark",'Resultater - Vestdanmark'!J$3:J$482,'Resultater - Østdanmark'!J$3:J$482))),'Resultater - Vestdanmark'!$F$3:$F$482,"Foder",'Resultater - Vestdanmark'!$A$3:$A$482,"&lt;&gt;Foderproduktion"))/SUMIFS(IF(D190=År1,'[1]Processer - data'!H$3:H$464,IF(D190=År2,'[1]Processer - data'!I$3:I$464,'[1]Processer - data'!J$3:J$464)),'[1]Processer - data'!$A$3:$A$464,"Foderproduktion",'[1]Processer - data'!$D$3:$D$464,$C190)</f>
        <v>#REF!</v>
      </c>
    </row>
    <row r="191" spans="1:18" x14ac:dyDescent="0.25">
      <c r="A191" s="100" t="s">
        <v>113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51" t="e">
        <f>VLOOKUP($C191,Fodersammensætning!A$3:E$17,MATCH(D191,Fodersammensætning!$A$2:$E$2,0),FALSE)*(-SUMIFS(IF(D191=År1,IF(B191="Vestdanmark",'Resultater - Vestdanmark'!H$3:H$482,'Resultater - Østdanmark'!H$3:H$482),IF(D191=År2,IF(B191="Vestdanmark",'Resultater - Vestdanmark'!I$3:I$482,'Resultater - Østdanmark'!I$3:I$482),IF(B191="Vestdanmark",'Resultater - Vestdanmark'!J$3:J$482,'Resultater - Østdanmark'!J$3:J$482))),'Resultater - Vestdanmark'!$F$3:$F$482,"Foder",'Resultater - Vestdanmark'!$A$3:$A$482,"&lt;&gt;Foderproduktion"))/SUMIFS(IF(D191=År1,'[1]Processer - data'!H$3:H$464,IF(D191=År2,'[1]Processer - data'!I$3:I$464,'[1]Processer - data'!J$3:J$464)),'[1]Processer - data'!$A$3:$A$464,"Foderproduktion",'[1]Processer - data'!$D$3:$D$464,$C191)</f>
        <v>#REF!</v>
      </c>
    </row>
    <row r="192" spans="1:18" x14ac:dyDescent="0.25">
      <c r="A192" s="100" t="s">
        <v>113</v>
      </c>
      <c r="B192" t="s">
        <v>23</v>
      </c>
      <c r="C192" s="101" t="str">
        <f>Fodersammensætning!A7</f>
        <v>Roer</v>
      </c>
      <c r="D192">
        <f t="shared" si="12"/>
        <v>2019</v>
      </c>
      <c r="E192" s="151" t="e">
        <f>VLOOKUP($C192,Fodersammensætning!A$3:E$17,MATCH(D192,Fodersammensætning!$A$2:$E$2,0),FALSE)*(-SUMIFS(IF(D192=År1,IF(B192="Vestdanmark",'Resultater - Vestdanmark'!H$3:H$482,'Resultater - Østdanmark'!H$3:H$482),IF(D192=År2,IF(B192="Vestdanmark",'Resultater - Vestdanmark'!I$3:I$482,'Resultater - Østdanmark'!I$3:I$482),IF(B192="Vestdanmark",'Resultater - Vestdanmark'!J$3:J$482,'Resultater - Østdanmark'!J$3:J$482))),'Resultater - Vestdanmark'!$F$3:$F$482,"Foder",'Resultater - Vestdanmark'!$A$3:$A$482,"&lt;&gt;Foderproduktion"))/SUMIFS(IF(D192=År1,'[1]Processer - data'!H$3:H$464,IF(D192=År2,'[1]Processer - data'!I$3:I$464,'[1]Processer - data'!J$3:J$464)),'[1]Processer - data'!$A$3:$A$464,"Foderproduktion",'[1]Processer - data'!$D$3:$D$464,$C192)</f>
        <v>#REF!</v>
      </c>
    </row>
    <row r="193" spans="1:7" x14ac:dyDescent="0.25">
      <c r="A193" s="100" t="s">
        <v>113</v>
      </c>
      <c r="B193" t="s">
        <v>23</v>
      </c>
      <c r="C193" s="101" t="str">
        <f>Fodersammensætning!A8</f>
        <v>Majs</v>
      </c>
      <c r="D193">
        <f t="shared" si="12"/>
        <v>2019</v>
      </c>
      <c r="E193" s="151" t="e">
        <f>VLOOKUP($C193,Fodersammensætning!A$3:E$17,MATCH(D193,Fodersammensætning!$A$2:$E$2,0),FALSE)*(-SUMIFS(IF(D193=År1,IF(B193="Vestdanmark",'Resultater - Vestdanmark'!H$3:H$482,'Resultater - Østdanmark'!H$3:H$482),IF(D193=År2,IF(B193="Vestdanmark",'Resultater - Vestdanmark'!I$3:I$482,'Resultater - Østdanmark'!I$3:I$482),IF(B193="Vestdanmark",'Resultater - Vestdanmark'!J$3:J$482,'Resultater - Østdanmark'!J$3:J$482))),'Resultater - Vestdanmark'!$F$3:$F$482,"Foder",'Resultater - Vestdanmark'!$A$3:$A$482,"&lt;&gt;Foderproduktion"))/SUMIFS(IF(D193=År1,'[1]Processer - data'!H$3:H$464,IF(D193=År2,'[1]Processer - data'!I$3:I$464,'[1]Processer - data'!J$3:J$464)),'[1]Processer - data'!$A$3:$A$464,"Foderproduktion",'[1]Processer - data'!$D$3:$D$464,$C193)</f>
        <v>#REF!</v>
      </c>
    </row>
    <row r="194" spans="1:7" x14ac:dyDescent="0.25">
      <c r="A194" s="100" t="s">
        <v>113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51" t="e">
        <f>VLOOKUP($C194,Fodersammensætning!A$3:E$17,MATCH(D194,Fodersammensætning!$A$2:$E$2,0),FALSE)*(-SUMIFS(IF(D194=År1,IF(B194="Vestdanmark",'Resultater - Vestdanmark'!H$3:H$482,'Resultater - Østdanmark'!H$3:H$482),IF(D194=År2,IF(B194="Vestdanmark",'Resultater - Vestdanmark'!I$3:I$482,'Resultater - Østdanmark'!I$3:I$482),IF(B194="Vestdanmark",'Resultater - Vestdanmark'!J$3:J$482,'Resultater - Østdanmark'!J$3:J$482))),'Resultater - Vestdanmark'!$F$3:$F$482,"Foder",'Resultater - Vestdanmark'!$A$3:$A$482,"&lt;&gt;Foderproduktion"))/SUMIFS(IF(D194=År1,'[1]Processer - data'!H$3:H$464,IF(D194=År2,'[1]Processer - data'!I$3:I$464,'[1]Processer - data'!J$3:J$464)),'[1]Processer - data'!$A$3:$A$464,"Foderproduktion",'[1]Processer - data'!$D$3:$D$464,$C194)</f>
        <v>#REF!</v>
      </c>
    </row>
    <row r="195" spans="1:7" x14ac:dyDescent="0.25">
      <c r="A195" s="100" t="s">
        <v>113</v>
      </c>
      <c r="B195" t="s">
        <v>23</v>
      </c>
      <c r="C195" s="101" t="str">
        <f>Fodersammensætning!A10</f>
        <v>Tang</v>
      </c>
      <c r="D195">
        <f t="shared" si="12"/>
        <v>2019</v>
      </c>
      <c r="E195" s="151" t="e">
        <f>VLOOKUP($C195,Fodersammensætning!A$3:E$17,MATCH(D195,Fodersammensætning!$A$2:$E$2,0),FALSE)*(-SUMIFS(IF(D195=År1,IF(B195="Vestdanmark",'Resultater - Vestdanmark'!H$3:H$482,'Resultater - Østdanmark'!H$3:H$482),IF(D195=År2,IF(B195="Vestdanmark",'Resultater - Vestdanmark'!I$3:I$482,'Resultater - Østdanmark'!I$3:I$482),IF(B195="Vestdanmark",'Resultater - Vestdanmark'!J$3:J$482,'Resultater - Østdanmark'!J$3:J$482))),'Resultater - Vestdanmark'!$F$3:$F$482,"Foder",'Resultater - Vestdanmark'!$A$3:$A$482,"&lt;&gt;Foderproduktion"))/SUMIFS(IF(D195=År1,'[1]Processer - data'!H$3:H$464,IF(D195=År2,'[1]Processer - data'!I$3:I$464,'[1]Processer - data'!J$3:J$464)),'[1]Processer - data'!$A$3:$A$464,"Foderproduktion",'[1]Processer - data'!$D$3:$D$464,$C195)</f>
        <v>#REF!</v>
      </c>
    </row>
    <row r="196" spans="1:7" x14ac:dyDescent="0.25">
      <c r="A196" s="100" t="s">
        <v>113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51" t="e">
        <f>VLOOKUP($C196,Fodersammensætning!A$3:E$17,MATCH(D196,Fodersammensætning!$A$2:$E$2,0),FALSE)*(-SUMIFS(IF(D196=År1,IF(B196="Vestdanmark",'Resultater - Vestdanmark'!H$3:H$482,'Resultater - Østdanmark'!H$3:H$482),IF(D196=År2,IF(B196="Vestdanmark",'Resultater - Vestdanmark'!I$3:I$482,'Resultater - Østdanmark'!I$3:I$482),IF(B196="Vestdanmark",'Resultater - Vestdanmark'!J$3:J$482,'Resultater - Østdanmark'!J$3:J$482))),'Resultater - Vestdanmark'!$F$3:$F$482,"Foder",'Resultater - Vestdanmark'!$A$3:$A$482,"&lt;&gt;Foderproduktion"))/SUMIFS(IF(D196=År1,'[1]Processer - data'!H$3:H$464,IF(D196=År2,'[1]Processer - data'!I$3:I$464,'[1]Processer - data'!J$3:J$464)),'[1]Processer - data'!$A$3:$A$464,"Foderproduktion",'[1]Processer - data'!$D$3:$D$464,$C196)</f>
        <v>#REF!</v>
      </c>
    </row>
    <row r="197" spans="1:7" x14ac:dyDescent="0.25">
      <c r="A197" s="100" t="s">
        <v>113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51" t="e">
        <f>VLOOKUP($C197,Fodersammensætning!A$3:E$17,MATCH(D197,Fodersammensætning!$A$2:$E$2,0),FALSE)*(-SUMIFS(IF(D197=År1,IF(B197="Vestdanmark",'Resultater - Vestdanmark'!H$3:H$482,'Resultater - Østdanmark'!H$3:H$482),IF(D197=År2,IF(B197="Vestdanmark",'Resultater - Vestdanmark'!I$3:I$482,'Resultater - Østdanmark'!I$3:I$482),IF(B197="Vestdanmark",'Resultater - Vestdanmark'!J$3:J$482,'Resultater - Østdanmark'!J$3:J$482))),'Resultater - Vestdanmark'!$F$3:$F$482,"Foder",'Resultater - Vestdanmark'!$A$3:$A$482,"&lt;&gt;Foderproduktion"))/SUMIFS(IF(D197=År1,'[1]Processer - data'!H$3:H$464,IF(D197=År2,'[1]Processer - data'!I$3:I$464,'[1]Processer - data'!J$3:J$464)),'[1]Processer - data'!$A$3:$A$464,"Foderproduktion",'[1]Processer - data'!$D$3:$D$464,$C197)</f>
        <v>#REF!</v>
      </c>
    </row>
    <row r="198" spans="1:7" x14ac:dyDescent="0.25">
      <c r="A198" s="100" t="s">
        <v>113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51" t="e">
        <f>VLOOKUP($C198,Fodersammensætning!A$3:E$17,MATCH(D198,Fodersammensætning!$A$2:$E$2,0),FALSE)*(-SUMIFS(IF(D198=År1,IF(B198="Vestdanmark",'Resultater - Vestdanmark'!H$3:H$482,'Resultater - Østdanmark'!H$3:H$482),IF(D198=År2,IF(B198="Vestdanmark",'Resultater - Vestdanmark'!I$3:I$482,'Resultater - Østdanmark'!I$3:I$482),IF(B198="Vestdanmark",'Resultater - Vestdanmark'!J$3:J$482,'Resultater - Østdanmark'!J$3:J$482))),'Resultater - Vestdanmark'!$F$3:$F$482,"Foder",'Resultater - Vestdanmark'!$A$3:$A$482,"&lt;&gt;Foderproduktion"))/SUMIFS(IF(D198=År1,'[1]Processer - data'!H$3:H$464,IF(D198=År2,'[1]Processer - data'!I$3:I$464,'[1]Processer - data'!J$3:J$464)),'[1]Processer - data'!$A$3:$A$464,"Foderproduktion",'[1]Processer - data'!$D$3:$D$464,$C198)</f>
        <v>#REF!</v>
      </c>
    </row>
    <row r="199" spans="1:7" x14ac:dyDescent="0.25">
      <c r="A199" s="100" t="s">
        <v>113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51" t="e">
        <f>VLOOKUP($C199,Fodersammensætning!A$3:E$17,MATCH(D199,Fodersammensætning!$A$2:$E$2,0),FALSE)*(-SUMIFS(IF(D199=År1,IF(B199="Vestdanmark",'Resultater - Vestdanmark'!H$3:H$482,'Resultater - Østdanmark'!H$3:H$482),IF(D199=År2,IF(B199="Vestdanmark",'Resultater - Vestdanmark'!I$3:I$482,'Resultater - Østdanmark'!I$3:I$482),IF(B199="Vestdanmark",'Resultater - Vestdanmark'!J$3:J$482,'Resultater - Østdanmark'!J$3:J$482))),'Resultater - Vestdanmark'!$F$3:$F$482,"Foder",'Resultater - Vestdanmark'!$A$3:$A$482,"&lt;&gt;Foderproduktion"))/SUMIFS(IF(D199=År1,'[1]Processer - data'!H$3:H$464,IF(D199=År2,'[1]Processer - data'!I$3:I$464,'[1]Processer - data'!J$3:J$464)),'[1]Processer - data'!$A$3:$A$464,"Foderproduktion",'[1]Processer - data'!$D$3:$D$464,$C199)</f>
        <v>#REF!</v>
      </c>
    </row>
    <row r="200" spans="1:7" x14ac:dyDescent="0.25">
      <c r="A200" s="100" t="s">
        <v>113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51" t="e">
        <f>VLOOKUP($C200,Fodersammensætning!A$3:E$17,MATCH(D200,Fodersammensætning!$A$2:$E$2,0),FALSE)*(-SUMIFS(IF(D200=År1,IF(B200="Vestdanmark",'Resultater - Vestdanmark'!H$3:H$482,'Resultater - Østdanmark'!H$3:H$482),IF(D200=År2,IF(B200="Vestdanmark",'Resultater - Vestdanmark'!I$3:I$482,'Resultater - Østdanmark'!I$3:I$482),IF(B200="Vestdanmark",'Resultater - Vestdanmark'!J$3:J$482,'Resultater - Østdanmark'!J$3:J$482))),'Resultater - Vestdanmark'!$F$3:$F$482,"Foder",'Resultater - Vestdanmark'!$A$3:$A$482,"&lt;&gt;Foderproduktion"))/SUMIFS(IF(D200=År1,'[1]Processer - data'!H$3:H$464,IF(D200=År2,'[1]Processer - data'!I$3:I$464,'[1]Processer - data'!J$3:J$464)),'[1]Processer - data'!$A$3:$A$464,"Foderproduktion",'[1]Processer - data'!$D$3:$D$464,$C200)</f>
        <v>#REF!</v>
      </c>
    </row>
    <row r="201" spans="1:7" x14ac:dyDescent="0.25">
      <c r="A201" s="100" t="s">
        <v>113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51" t="e">
        <f>VLOOKUP($C201,Fodersammensætning!A$3:E$17,MATCH(D201,Fodersammensætning!$A$2:$E$2,0),FALSE)*(-SUMIFS(IF(D201=År1,IF(B201="Vestdanmark",'Resultater - Vestdanmark'!H$3:H$482,'Resultater - Østdanmark'!H$3:H$482),IF(D201=År2,IF(B201="Vestdanmark",'Resultater - Vestdanmark'!I$3:I$482,'Resultater - Østdanmark'!I$3:I$482),IF(B201="Vestdanmark",'Resultater - Vestdanmark'!J$3:J$482,'Resultater - Østdanmark'!J$3:J$482))),'Resultater - Vestdanmark'!$F$3:$F$482,"Foder",'Resultater - Vestdanmark'!$A$3:$A$482,"&lt;&gt;Foderproduktion"))/SUMIFS(IF(D201=År1,'[1]Processer - data'!H$3:H$464,IF(D201=År2,'[1]Processer - data'!I$3:I$464,'[1]Processer - data'!J$3:J$464)),'[1]Processer - data'!$A$3:$A$464,"Foderproduktion",'[1]Processer - data'!$D$3:$D$464,$C201)</f>
        <v>#REF!</v>
      </c>
    </row>
    <row r="202" spans="1:7" x14ac:dyDescent="0.25">
      <c r="A202" s="100" t="s">
        <v>113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51" t="e">
        <f>VLOOKUP($C202,Fodersammensætning!A$3:E$17,MATCH(D202,Fodersammensætning!$A$2:$E$2,0),FALSE)*(-SUMIFS(IF(D202=År1,IF(B202="Vestdanmark",'Resultater - Vestdanmark'!H$3:H$482,'Resultater - Østdanmark'!H$3:H$482),IF(D202=År2,IF(B202="Vestdanmark",'Resultater - Vestdanmark'!I$3:I$482,'Resultater - Østdanmark'!I$3:I$482),IF(B202="Vestdanmark",'Resultater - Vestdanmark'!J$3:J$482,'Resultater - Østdanmark'!J$3:J$482))),'Resultater - Vestdanmark'!$F$3:$F$482,"Foder",'Resultater - Vestdanmark'!$A$3:$A$482,"&lt;&gt;Foderproduktion"))/SUMIFS(IF(D202=År1,'[1]Processer - data'!H$3:H$464,IF(D202=År2,'[1]Processer - data'!I$3:I$464,'[1]Processer - data'!J$3:J$464)),'[1]Processer - data'!$A$3:$A$464,"Foderproduktion",'[1]Processer - data'!$D$3:$D$464,$C202)</f>
        <v>#REF!</v>
      </c>
    </row>
    <row r="203" spans="1:7" x14ac:dyDescent="0.25">
      <c r="A203" s="100" t="s">
        <v>113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51" t="e">
        <f>VLOOKUP($C203,Fodersammensætning!A$3:E$17,MATCH(D203,Fodersammensætning!$A$2:$E$2,0),FALSE)*(-SUMIFS(IF(D203=År1,IF(B203="Vestdanmark",'Resultater - Vestdanmark'!H$3:H$482,'Resultater - Østdanmark'!H$3:H$482),IF(D203=År2,IF(B203="Vestdanmark",'Resultater - Vestdanmark'!I$3:I$482,'Resultater - Østdanmark'!I$3:I$482),IF(B203="Vestdanmark",'Resultater - Vestdanmark'!J$3:J$482,'Resultater - Østdanmark'!J$3:J$482))),'Resultater - Vestdanmark'!$F$3:$F$482,"Foder",'Resultater - Vestdanmark'!$A$3:$A$482,"&lt;&gt;Foderproduktion"))/SUMIFS(IF(D203=År1,'[1]Processer - data'!H$3:H$464,IF(D203=År2,'[1]Processer - data'!I$3:I$464,'[1]Processer - data'!J$3:J$464)),'[1]Processer - data'!$A$3:$A$464,"Foderproduktion",'[1]Processer - data'!$D$3:$D$464,$C203)</f>
        <v>#REF!</v>
      </c>
      <c r="G203" s="319"/>
    </row>
    <row r="204" spans="1:7" x14ac:dyDescent="0.25">
      <c r="A204" s="100" t="s">
        <v>113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51" t="e">
        <f>VLOOKUP($C204,Fodersammensætning!A$3:E$17,MATCH(D204,Fodersammensætning!$A$2:$E$2,0),FALSE)*(-SUMIFS(IF(D204=År1,IF(B204="Vestdanmark",'Resultater - Vestdanmark'!H$3:H$482,'Resultater - Østdanmark'!H$3:H$482),IF(D204=År2,IF(B204="Vestdanmark",'Resultater - Vestdanmark'!I$3:I$482,'Resultater - Østdanmark'!I$3:I$482),IF(B204="Vestdanmark",'Resultater - Vestdanmark'!J$3:J$482,'Resultater - Østdanmark'!J$3:J$482))),'Resultater - Vestdanmark'!$F$3:$F$482,"Foder",'Resultater - Vestdanmark'!$A$3:$A$482,"&lt;&gt;Foderproduktion"))/SUMIFS(IF(D204=År1,'[1]Processer - data'!H$3:H$464,IF(D204=År2,'[1]Processer - data'!I$3:I$464,'[1]Processer - data'!J$3:J$464)),'[1]Processer - data'!$A$3:$A$464,"Foderproduktion",'[1]Processer - data'!$D$3:$D$464,$C204)</f>
        <v>#REF!</v>
      </c>
      <c r="G204" s="319"/>
    </row>
    <row r="205" spans="1:7" x14ac:dyDescent="0.25">
      <c r="A205" s="100" t="s">
        <v>113</v>
      </c>
      <c r="B205" t="s">
        <v>23</v>
      </c>
      <c r="C205" s="101" t="str">
        <f t="shared" si="14"/>
        <v>Kartofler</v>
      </c>
      <c r="D205">
        <f t="shared" si="13"/>
        <v>2030</v>
      </c>
      <c r="E205" s="151" t="e">
        <f>VLOOKUP($C205,Fodersammensætning!A$3:E$17,MATCH(D205,Fodersammensætning!$A$2:$E$2,0),FALSE)*(-SUMIFS(IF(D205=År1,IF(B205="Vestdanmark",'Resultater - Vestdanmark'!H$3:H$482,'Resultater - Østdanmark'!H$3:H$482),IF(D205=År2,IF(B205="Vestdanmark",'Resultater - Vestdanmark'!I$3:I$482,'Resultater - Østdanmark'!I$3:I$482),IF(B205="Vestdanmark",'Resultater - Vestdanmark'!J$3:J$482,'Resultater - Østdanmark'!J$3:J$482))),'Resultater - Vestdanmark'!$F$3:$F$482,"Foder",'Resultater - Vestdanmark'!$A$3:$A$482,"&lt;&gt;Foderproduktion"))/SUMIFS(IF(D205=År1,'[1]Processer - data'!H$3:H$464,IF(D205=År2,'[1]Processer - data'!I$3:I$464,'[1]Processer - data'!J$3:J$464)),'[1]Processer - data'!$A$3:$A$464,"Foderproduktion",'[1]Processer - data'!$D$3:$D$464,$C205)</f>
        <v>#REF!</v>
      </c>
      <c r="G205" s="319"/>
    </row>
    <row r="206" spans="1:7" x14ac:dyDescent="0.25">
      <c r="A206" s="100" t="s">
        <v>113</v>
      </c>
      <c r="B206" t="s">
        <v>23</v>
      </c>
      <c r="C206" s="101" t="str">
        <f t="shared" si="14"/>
        <v>Bælgsæd</v>
      </c>
      <c r="D206">
        <f t="shared" si="13"/>
        <v>2030</v>
      </c>
      <c r="E206" s="151" t="e">
        <f>VLOOKUP($C206,Fodersammensætning!A$3:E$17,MATCH(D206,Fodersammensætning!$A$2:$E$2,0),FALSE)*(-SUMIFS(IF(D206=År1,IF(B206="Vestdanmark",'Resultater - Vestdanmark'!H$3:H$482,'Resultater - Østdanmark'!H$3:H$482),IF(D206=År2,IF(B206="Vestdanmark",'Resultater - Vestdanmark'!I$3:I$482,'Resultater - Østdanmark'!I$3:I$482),IF(B206="Vestdanmark",'Resultater - Vestdanmark'!J$3:J$482,'Resultater - Østdanmark'!J$3:J$482))),'Resultater - Vestdanmark'!$F$3:$F$482,"Foder",'Resultater - Vestdanmark'!$A$3:$A$482,"&lt;&gt;Foderproduktion"))/SUMIFS(IF(D206=År1,'[1]Processer - data'!H$3:H$464,IF(D206=År2,'[1]Processer - data'!I$3:I$464,'[1]Processer - data'!J$3:J$464)),'[1]Processer - data'!$A$3:$A$464,"Foderproduktion",'[1]Processer - data'!$D$3:$D$464,$C206)</f>
        <v>#REF!</v>
      </c>
      <c r="G206" s="319"/>
    </row>
    <row r="207" spans="1:7" x14ac:dyDescent="0.25">
      <c r="A207" s="100" t="s">
        <v>113</v>
      </c>
      <c r="B207" t="s">
        <v>23</v>
      </c>
      <c r="C207" s="101" t="str">
        <f t="shared" si="14"/>
        <v>Roer</v>
      </c>
      <c r="D207">
        <f t="shared" si="13"/>
        <v>2030</v>
      </c>
      <c r="E207" s="151" t="e">
        <f>VLOOKUP($C207,Fodersammensætning!A$3:E$17,MATCH(D207,Fodersammensætning!$A$2:$E$2,0),FALSE)*(-SUMIFS(IF(D207=År1,IF(B207="Vestdanmark",'Resultater - Vestdanmark'!H$3:H$482,'Resultater - Østdanmark'!H$3:H$482),IF(D207=År2,IF(B207="Vestdanmark",'Resultater - Vestdanmark'!I$3:I$482,'Resultater - Østdanmark'!I$3:I$482),IF(B207="Vestdanmark",'Resultater - Vestdanmark'!J$3:J$482,'Resultater - Østdanmark'!J$3:J$482))),'Resultater - Vestdanmark'!$F$3:$F$482,"Foder",'Resultater - Vestdanmark'!$A$3:$A$482,"&lt;&gt;Foderproduktion"))/SUMIFS(IF(D207=År1,'[1]Processer - data'!H$3:H$464,IF(D207=År2,'[1]Processer - data'!I$3:I$464,'[1]Processer - data'!J$3:J$464)),'[1]Processer - data'!$A$3:$A$464,"Foderproduktion",'[1]Processer - data'!$D$3:$D$464,$C207)</f>
        <v>#REF!</v>
      </c>
      <c r="G207" s="319"/>
    </row>
    <row r="208" spans="1:7" x14ac:dyDescent="0.25">
      <c r="A208" s="100" t="s">
        <v>113</v>
      </c>
      <c r="B208" t="s">
        <v>23</v>
      </c>
      <c r="C208" s="101" t="str">
        <f t="shared" si="14"/>
        <v>Majs</v>
      </c>
      <c r="D208">
        <f t="shared" si="13"/>
        <v>2030</v>
      </c>
      <c r="E208" s="151" t="e">
        <f>VLOOKUP($C208,Fodersammensætning!A$3:E$17,MATCH(D208,Fodersammensætning!$A$2:$E$2,0),FALSE)*(-SUMIFS(IF(D208=År1,IF(B208="Vestdanmark",'Resultater - Vestdanmark'!H$3:H$482,'Resultater - Østdanmark'!H$3:H$482),IF(D208=År2,IF(B208="Vestdanmark",'Resultater - Vestdanmark'!I$3:I$482,'Resultater - Østdanmark'!I$3:I$482),IF(B208="Vestdanmark",'Resultater - Vestdanmark'!J$3:J$482,'Resultater - Østdanmark'!J$3:J$482))),'Resultater - Vestdanmark'!$F$3:$F$482,"Foder",'Resultater - Vestdanmark'!$A$3:$A$482,"&lt;&gt;Foderproduktion"))/SUMIFS(IF(D208=År1,'[1]Processer - data'!H$3:H$464,IF(D208=År2,'[1]Processer - data'!I$3:I$464,'[1]Processer - data'!J$3:J$464)),'[1]Processer - data'!$A$3:$A$464,"Foderproduktion",'[1]Processer - data'!$D$3:$D$464,$C208)</f>
        <v>#REF!</v>
      </c>
      <c r="G208" s="319"/>
    </row>
    <row r="209" spans="1:7" x14ac:dyDescent="0.25">
      <c r="A209" s="100" t="s">
        <v>113</v>
      </c>
      <c r="B209" t="s">
        <v>23</v>
      </c>
      <c r="C209" s="101" t="str">
        <f t="shared" si="14"/>
        <v>Rapskage</v>
      </c>
      <c r="D209">
        <f t="shared" si="13"/>
        <v>2030</v>
      </c>
      <c r="E209" s="151" t="e">
        <f>VLOOKUP($C209,Fodersammensætning!A$3:E$17,MATCH(D209,Fodersammensætning!$A$2:$E$2,0),FALSE)*(-SUMIFS(IF(D209=År1,IF(B209="Vestdanmark",'Resultater - Vestdanmark'!H$3:H$482,'Resultater - Østdanmark'!H$3:H$482),IF(D209=År2,IF(B209="Vestdanmark",'Resultater - Vestdanmark'!I$3:I$482,'Resultater - Østdanmark'!I$3:I$482),IF(B209="Vestdanmark",'Resultater - Vestdanmark'!J$3:J$482,'Resultater - Østdanmark'!J$3:J$482))),'Resultater - Vestdanmark'!$F$3:$F$482,"Foder",'Resultater - Vestdanmark'!$A$3:$A$482,"&lt;&gt;Foderproduktion"))/SUMIFS(IF(D209=År1,'[1]Processer - data'!H$3:H$464,IF(D209=År2,'[1]Processer - data'!I$3:I$464,'[1]Processer - data'!J$3:J$464)),'[1]Processer - data'!$A$3:$A$464,"Foderproduktion",'[1]Processer - data'!$D$3:$D$464,$C209)</f>
        <v>#REF!</v>
      </c>
      <c r="G209" s="319"/>
    </row>
    <row r="210" spans="1:7" x14ac:dyDescent="0.25">
      <c r="A210" s="100" t="s">
        <v>113</v>
      </c>
      <c r="B210" t="s">
        <v>23</v>
      </c>
      <c r="C210" s="101" t="str">
        <f t="shared" si="14"/>
        <v>Tang</v>
      </c>
      <c r="D210">
        <f t="shared" si="13"/>
        <v>2030</v>
      </c>
      <c r="E210" s="151" t="e">
        <f>VLOOKUP($C210,Fodersammensætning!A$3:E$17,MATCH(D210,Fodersammensætning!$A$2:$E$2,0),FALSE)*(-SUMIFS(IF(D210=År1,IF(B210="Vestdanmark",'Resultater - Vestdanmark'!H$3:H$482,'Resultater - Østdanmark'!H$3:H$482),IF(D210=År2,IF(B210="Vestdanmark",'Resultater - Vestdanmark'!I$3:I$482,'Resultater - Østdanmark'!I$3:I$482),IF(B210="Vestdanmark",'Resultater - Vestdanmark'!J$3:J$482,'Resultater - Østdanmark'!J$3:J$482))),'Resultater - Vestdanmark'!$F$3:$F$482,"Foder",'Resultater - Vestdanmark'!$A$3:$A$482,"&lt;&gt;Foderproduktion"))/SUMIFS(IF(D210=År1,'[1]Processer - data'!H$3:H$464,IF(D210=År2,'[1]Processer - data'!I$3:I$464,'[1]Processer - data'!J$3:J$464)),'[1]Processer - data'!$A$3:$A$464,"Foderproduktion",'[1]Processer - data'!$D$3:$D$464,$C210)</f>
        <v>#REF!</v>
      </c>
      <c r="G210" s="319"/>
    </row>
    <row r="211" spans="1:7" x14ac:dyDescent="0.25">
      <c r="A211" s="100" t="s">
        <v>113</v>
      </c>
      <c r="B211" t="s">
        <v>23</v>
      </c>
      <c r="C211" s="101" t="str">
        <f t="shared" si="14"/>
        <v>Muslinger</v>
      </c>
      <c r="D211">
        <f t="shared" si="13"/>
        <v>2030</v>
      </c>
      <c r="E211" s="151" t="e">
        <f>VLOOKUP($C211,Fodersammensætning!A$3:E$17,MATCH(D211,Fodersammensætning!$A$2:$E$2,0),FALSE)*(-SUMIFS(IF(D211=År1,IF(B211="Vestdanmark",'Resultater - Vestdanmark'!H$3:H$482,'Resultater - Østdanmark'!H$3:H$482),IF(D211=År2,IF(B211="Vestdanmark",'Resultater - Vestdanmark'!I$3:I$482,'Resultater - Østdanmark'!I$3:I$482),IF(B211="Vestdanmark",'Resultater - Vestdanmark'!J$3:J$482,'Resultater - Østdanmark'!J$3:J$482))),'Resultater - Vestdanmark'!$F$3:$F$482,"Foder",'Resultater - Vestdanmark'!$A$3:$A$482,"&lt;&gt;Foderproduktion"))/SUMIFS(IF(D211=År1,'[1]Processer - data'!H$3:H$464,IF(D211=År2,'[1]Processer - data'!I$3:I$464,'[1]Processer - data'!J$3:J$464)),'[1]Processer - data'!$A$3:$A$464,"Foderproduktion",'[1]Processer - data'!$D$3:$D$464,$C211)</f>
        <v>#REF!</v>
      </c>
      <c r="G211" s="319"/>
    </row>
    <row r="212" spans="1:7" x14ac:dyDescent="0.25">
      <c r="A212" s="100" t="s">
        <v>113</v>
      </c>
      <c r="B212" t="s">
        <v>23</v>
      </c>
      <c r="C212" s="101" t="str">
        <f t="shared" si="14"/>
        <v>Græs</v>
      </c>
      <c r="D212">
        <f t="shared" si="13"/>
        <v>2030</v>
      </c>
      <c r="E212" s="151" t="e">
        <f>VLOOKUP($C212,Fodersammensætning!A$3:E$17,MATCH(D212,Fodersammensætning!$A$2:$E$2,0),FALSE)*(-SUMIFS(IF(D212=År1,IF(B212="Vestdanmark",'Resultater - Vestdanmark'!H$3:H$482,'Resultater - Østdanmark'!H$3:H$482),IF(D212=År2,IF(B212="Vestdanmark",'Resultater - Vestdanmark'!I$3:I$482,'Resultater - Østdanmark'!I$3:I$482),IF(B212="Vestdanmark",'Resultater - Vestdanmark'!J$3:J$482,'Resultater - Østdanmark'!J$3:J$482))),'Resultater - Vestdanmark'!$F$3:$F$482,"Foder",'Resultater - Vestdanmark'!$A$3:$A$482,"&lt;&gt;Foderproduktion"))/SUMIFS(IF(D212=År1,'[1]Processer - data'!H$3:H$464,IF(D212=År2,'[1]Processer - data'!I$3:I$464,'[1]Processer - data'!J$3:J$464)),'[1]Processer - data'!$A$3:$A$464,"Foderproduktion",'[1]Processer - data'!$D$3:$D$464,$C212)</f>
        <v>#REF!</v>
      </c>
      <c r="G212" s="319"/>
    </row>
    <row r="213" spans="1:7" x14ac:dyDescent="0.25">
      <c r="A213" s="100" t="s">
        <v>113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51" t="e">
        <f>VLOOKUP($C213,Fodersammensætning!A$3:E$17,MATCH(D213,Fodersammensætning!$A$2:$E$2,0),FALSE)*(-SUMIFS(IF(D213=År1,IF(B213="Vestdanmark",'Resultater - Vestdanmark'!H$3:H$482,'Resultater - Østdanmark'!H$3:H$482),IF(D213=År2,IF(B213="Vestdanmark",'Resultater - Vestdanmark'!I$3:I$482,'Resultater - Østdanmark'!I$3:I$482),IF(B213="Vestdanmark",'Resultater - Vestdanmark'!J$3:J$482,'Resultater - Østdanmark'!J$3:J$482))),'Resultater - Vestdanmark'!$F$3:$F$482,"Foder",'Resultater - Vestdanmark'!$A$3:$A$482,"&lt;&gt;Foderproduktion"))/SUMIFS(IF(D213=År1,'[1]Processer - data'!H$3:H$464,IF(D213=År2,'[1]Processer - data'!I$3:I$464,'[1]Processer - data'!J$3:J$464)),'[1]Processer - data'!$A$3:$A$464,"Foderproduktion",'[1]Processer - data'!$D$3:$D$464,$C213)</f>
        <v>#REF!</v>
      </c>
      <c r="G213" s="319"/>
    </row>
    <row r="214" spans="1:7" x14ac:dyDescent="0.25">
      <c r="A214" s="100" t="s">
        <v>113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51" t="e">
        <f>VLOOKUP($C214,Fodersammensætning!A$3:E$17,MATCH(D214,Fodersammensætning!$A$2:$E$2,0),FALSE)*(-SUMIFS(IF(D214=År1,IF(B214="Vestdanmark",'Resultater - Vestdanmark'!H$3:H$482,'Resultater - Østdanmark'!H$3:H$482),IF(D214=År2,IF(B214="Vestdanmark",'Resultater - Vestdanmark'!I$3:I$482,'Resultater - Østdanmark'!I$3:I$482),IF(B214="Vestdanmark",'Resultater - Vestdanmark'!J$3:J$482,'Resultater - Østdanmark'!J$3:J$482))),'Resultater - Vestdanmark'!$F$3:$F$482,"Foder",'Resultater - Vestdanmark'!$A$3:$A$482,"&lt;&gt;Foderproduktion"))/SUMIFS(IF(D214=År1,'[1]Processer - data'!H$3:H$464,IF(D214=År2,'[1]Processer - data'!I$3:I$464,'[1]Processer - data'!J$3:J$464)),'[1]Processer - data'!$A$3:$A$464,"Foderproduktion",'[1]Processer - data'!$D$3:$D$464,$C214)</f>
        <v>#REF!</v>
      </c>
      <c r="G214" s="319"/>
    </row>
    <row r="215" spans="1:7" x14ac:dyDescent="0.25">
      <c r="A215" s="100" t="s">
        <v>113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51" t="e">
        <f>VLOOKUP($C215,Fodersammensætning!A$3:E$17,MATCH(D215,Fodersammensætning!$A$2:$E$2,0),FALSE)*(-SUMIFS(IF(D215=År1,IF(B215="Vestdanmark",'Resultater - Vestdanmark'!H$3:H$482,'Resultater - Østdanmark'!H$3:H$482),IF(D215=År2,IF(B215="Vestdanmark",'Resultater - Vestdanmark'!I$3:I$482,'Resultater - Østdanmark'!I$3:I$482),IF(B215="Vestdanmark",'Resultater - Vestdanmark'!J$3:J$482,'Resultater - Østdanmark'!J$3:J$482))),'Resultater - Vestdanmark'!$F$3:$F$482,"Foder",'Resultater - Vestdanmark'!$A$3:$A$482,"&lt;&gt;Foderproduktion"))/SUMIFS(IF(D215=År1,'[1]Processer - data'!H$3:H$464,IF(D215=År2,'[1]Processer - data'!I$3:I$464,'[1]Processer - data'!J$3:J$464)),'[1]Processer - data'!$A$3:$A$464,"Foderproduktion",'[1]Processer - data'!$D$3:$D$464,$C215)</f>
        <v>#REF!</v>
      </c>
      <c r="G215" s="319"/>
    </row>
    <row r="216" spans="1:7" x14ac:dyDescent="0.25">
      <c r="A216" s="100" t="s">
        <v>113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51" t="e">
        <f>VLOOKUP($C216,Fodersammensætning!A$3:E$17,MATCH(D216,Fodersammensætning!$A$2:$E$2,0),FALSE)*(-SUMIFS(IF(D216=År1,IF(B216="Vestdanmark",'Resultater - Vestdanmark'!H$3:H$482,'Resultater - Østdanmark'!H$3:H$482),IF(D216=År2,IF(B216="Vestdanmark",'Resultater - Vestdanmark'!I$3:I$482,'Resultater - Østdanmark'!I$3:I$482),IF(B216="Vestdanmark",'Resultater - Vestdanmark'!J$3:J$482,'Resultater - Østdanmark'!J$3:J$482))),'Resultater - Vestdanmark'!$F$3:$F$482,"Foder",'Resultater - Vestdanmark'!$A$3:$A$482,"&lt;&gt;Foderproduktion"))/SUMIFS(IF(D216=År1,'[1]Processer - data'!H$3:H$464,IF(D216=År2,'[1]Processer - data'!I$3:I$464,'[1]Processer - data'!J$3:J$464)),'[1]Processer - data'!$A$3:$A$464,"Foderproduktion",'[1]Processer - data'!$D$3:$D$464,$C216)</f>
        <v>#REF!</v>
      </c>
      <c r="G216" s="319"/>
    </row>
    <row r="217" spans="1:7" x14ac:dyDescent="0.25">
      <c r="A217" s="100" t="s">
        <v>113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51" t="e">
        <f>VLOOKUP($C217,Fodersammensætning!A$3:E$17,MATCH(D217,Fodersammensætning!$A$2:$E$2,0),FALSE)*(-SUMIFS(IF(D217=År1,IF(B217="Vestdanmark",'Resultater - Vestdanmark'!H$3:H$482,'Resultater - Østdanmark'!H$3:H$482),IF(D217=År2,IF(B217="Vestdanmark",'Resultater - Vestdanmark'!I$3:I$482,'Resultater - Østdanmark'!I$3:I$482),IF(B217="Vestdanmark",'Resultater - Vestdanmark'!J$3:J$482,'Resultater - Østdanmark'!J$3:J$482))),'Resultater - Vestdanmark'!$F$3:$F$482,"Foder",'Resultater - Vestdanmark'!$A$3:$A$482,"&lt;&gt;Foderproduktion"))/SUMIFS(IF(D217=År1,'[1]Processer - data'!H$3:H$464,IF(D217=År2,'[1]Processer - data'!I$3:I$464,'[1]Processer - data'!J$3:J$464)),'[1]Processer - data'!$A$3:$A$464,"Foderproduktion",'[1]Processer - data'!$D$3:$D$464,$C217)</f>
        <v>#REF!</v>
      </c>
      <c r="G217" s="319"/>
    </row>
    <row r="218" spans="1:7" x14ac:dyDescent="0.25">
      <c r="A218" s="100" t="s">
        <v>113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51" t="e">
        <f>VLOOKUP($C218,Fodersammensætning!A$3:E$17,MATCH(D218,Fodersammensætning!$A$2:$E$2,0),FALSE)*(-SUMIFS(IF(D218=År1,IF(B218="Vestdanmark",'Resultater - Vestdanmark'!H$3:H$482,'Resultater - Østdanmark'!H$3:H$482),IF(D218=År2,IF(B218="Vestdanmark",'Resultater - Vestdanmark'!I$3:I$482,'Resultater - Østdanmark'!I$3:I$482),IF(B218="Vestdanmark",'Resultater - Vestdanmark'!J$3:J$482,'Resultater - Østdanmark'!J$3:J$482))),'Resultater - Vestdanmark'!$F$3:$F$482,"Foder",'Resultater - Vestdanmark'!$A$3:$A$482,"&lt;&gt;Foderproduktion"))/SUMIFS(IF(D218=År1,'[1]Processer - data'!H$3:H$464,IF(D218=År2,'[1]Processer - data'!I$3:I$464,'[1]Processer - data'!J$3:J$464)),'[1]Processer - data'!$A$3:$A$464,"Foderproduktion",'[1]Processer - data'!$D$3:$D$464,$C218)</f>
        <v>#REF!</v>
      </c>
    </row>
    <row r="219" spans="1:7" x14ac:dyDescent="0.25">
      <c r="A219" s="100" t="s">
        <v>113</v>
      </c>
      <c r="B219" t="s">
        <v>23</v>
      </c>
      <c r="C219" s="101" t="str">
        <f t="shared" si="14"/>
        <v>Halm</v>
      </c>
      <c r="D219">
        <f t="shared" si="15"/>
        <v>2050</v>
      </c>
      <c r="E219" s="151" t="e">
        <f>VLOOKUP($C219,Fodersammensætning!A$3:E$17,MATCH(D219,Fodersammensætning!$A$2:$E$2,0),FALSE)*(-SUMIFS(IF(D219=År1,IF(B219="Vestdanmark",'Resultater - Vestdanmark'!H$3:H$482,'Resultater - Østdanmark'!H$3:H$482),IF(D219=År2,IF(B219="Vestdanmark",'Resultater - Vestdanmark'!I$3:I$482,'Resultater - Østdanmark'!I$3:I$482),IF(B219="Vestdanmark",'Resultater - Vestdanmark'!J$3:J$482,'Resultater - Østdanmark'!J$3:J$482))),'Resultater - Vestdanmark'!$F$3:$F$482,"Foder",'Resultater - Vestdanmark'!$A$3:$A$482,"&lt;&gt;Foderproduktion"))/SUMIFS(IF(D219=År1,'[1]Processer - data'!H$3:H$464,IF(D219=År2,'[1]Processer - data'!I$3:I$464,'[1]Processer - data'!J$3:J$464)),'[1]Processer - data'!$A$3:$A$464,"Foderproduktion",'[1]Processer - data'!$D$3:$D$464,$C219)</f>
        <v>#REF!</v>
      </c>
    </row>
    <row r="220" spans="1:7" x14ac:dyDescent="0.25">
      <c r="A220" s="100" t="s">
        <v>113</v>
      </c>
      <c r="B220" t="s">
        <v>23</v>
      </c>
      <c r="C220" s="101" t="str">
        <f t="shared" si="14"/>
        <v>Kartofler</v>
      </c>
      <c r="D220">
        <f t="shared" si="15"/>
        <v>2050</v>
      </c>
      <c r="E220" s="151" t="e">
        <f>VLOOKUP($C220,Fodersammensætning!A$3:E$17,MATCH(D220,Fodersammensætning!$A$2:$E$2,0),FALSE)*(-SUMIFS(IF(D220=År1,IF(B220="Vestdanmark",'Resultater - Vestdanmark'!H$3:H$482,'Resultater - Østdanmark'!H$3:H$482),IF(D220=År2,IF(B220="Vestdanmark",'Resultater - Vestdanmark'!I$3:I$482,'Resultater - Østdanmark'!I$3:I$482),IF(B220="Vestdanmark",'Resultater - Vestdanmark'!J$3:J$482,'Resultater - Østdanmark'!J$3:J$482))),'Resultater - Vestdanmark'!$F$3:$F$482,"Foder",'Resultater - Vestdanmark'!$A$3:$A$482,"&lt;&gt;Foderproduktion"))/SUMIFS(IF(D220=År1,'[1]Processer - data'!H$3:H$464,IF(D220=År2,'[1]Processer - data'!I$3:I$464,'[1]Processer - data'!J$3:J$464)),'[1]Processer - data'!$A$3:$A$464,"Foderproduktion",'[1]Processer - data'!$D$3:$D$464,$C220)</f>
        <v>#REF!</v>
      </c>
    </row>
    <row r="221" spans="1:7" x14ac:dyDescent="0.25">
      <c r="A221" s="100" t="s">
        <v>113</v>
      </c>
      <c r="B221" t="s">
        <v>23</v>
      </c>
      <c r="C221" s="101" t="str">
        <f t="shared" si="14"/>
        <v>Bælgsæd</v>
      </c>
      <c r="D221">
        <f t="shared" si="15"/>
        <v>2050</v>
      </c>
      <c r="E221" s="151" t="e">
        <f>VLOOKUP($C221,Fodersammensætning!A$3:E$17,MATCH(D221,Fodersammensætning!$A$2:$E$2,0),FALSE)*(-SUMIFS(IF(D221=År1,IF(B221="Vestdanmark",'Resultater - Vestdanmark'!H$3:H$482,'Resultater - Østdanmark'!H$3:H$482),IF(D221=År2,IF(B221="Vestdanmark",'Resultater - Vestdanmark'!I$3:I$482,'Resultater - Østdanmark'!I$3:I$482),IF(B221="Vestdanmark",'Resultater - Vestdanmark'!J$3:J$482,'Resultater - Østdanmark'!J$3:J$482))),'Resultater - Vestdanmark'!$F$3:$F$482,"Foder",'Resultater - Vestdanmark'!$A$3:$A$482,"&lt;&gt;Foderproduktion"))/SUMIFS(IF(D221=År1,'[1]Processer - data'!H$3:H$464,IF(D221=År2,'[1]Processer - data'!I$3:I$464,'[1]Processer - data'!J$3:J$464)),'[1]Processer - data'!$A$3:$A$464,"Foderproduktion",'[1]Processer - data'!$D$3:$D$464,$C221)</f>
        <v>#REF!</v>
      </c>
    </row>
    <row r="222" spans="1:7" x14ac:dyDescent="0.25">
      <c r="A222" s="100" t="s">
        <v>113</v>
      </c>
      <c r="B222" t="s">
        <v>23</v>
      </c>
      <c r="C222" s="101" t="str">
        <f t="shared" si="14"/>
        <v>Roer</v>
      </c>
      <c r="D222">
        <f t="shared" si="15"/>
        <v>2050</v>
      </c>
      <c r="E222" s="151" t="e">
        <f>VLOOKUP($C222,Fodersammensætning!A$3:E$17,MATCH(D222,Fodersammensætning!$A$2:$E$2,0),FALSE)*(-SUMIFS(IF(D222=År1,IF(B222="Vestdanmark",'Resultater - Vestdanmark'!H$3:H$482,'Resultater - Østdanmark'!H$3:H$482),IF(D222=År2,IF(B222="Vestdanmark",'Resultater - Vestdanmark'!I$3:I$482,'Resultater - Østdanmark'!I$3:I$482),IF(B222="Vestdanmark",'Resultater - Vestdanmark'!J$3:J$482,'Resultater - Østdanmark'!J$3:J$482))),'Resultater - Vestdanmark'!$F$3:$F$482,"Foder",'Resultater - Vestdanmark'!$A$3:$A$482,"&lt;&gt;Foderproduktion"))/SUMIFS(IF(D222=År1,'[1]Processer - data'!H$3:H$464,IF(D222=År2,'[1]Processer - data'!I$3:I$464,'[1]Processer - data'!J$3:J$464)),'[1]Processer - data'!$A$3:$A$464,"Foderproduktion",'[1]Processer - data'!$D$3:$D$464,$C222)</f>
        <v>#REF!</v>
      </c>
    </row>
    <row r="223" spans="1:7" x14ac:dyDescent="0.25">
      <c r="A223" s="100" t="s">
        <v>113</v>
      </c>
      <c r="B223" t="s">
        <v>23</v>
      </c>
      <c r="C223" s="101" t="str">
        <f t="shared" si="14"/>
        <v>Majs</v>
      </c>
      <c r="D223">
        <f t="shared" si="15"/>
        <v>2050</v>
      </c>
      <c r="E223" s="151" t="e">
        <f>VLOOKUP($C223,Fodersammensætning!A$3:E$17,MATCH(D223,Fodersammensætning!$A$2:$E$2,0),FALSE)*(-SUMIFS(IF(D223=År1,IF(B223="Vestdanmark",'Resultater - Vestdanmark'!H$3:H$482,'Resultater - Østdanmark'!H$3:H$482),IF(D223=År2,IF(B223="Vestdanmark",'Resultater - Vestdanmark'!I$3:I$482,'Resultater - Østdanmark'!I$3:I$482),IF(B223="Vestdanmark",'Resultater - Vestdanmark'!J$3:J$482,'Resultater - Østdanmark'!J$3:J$482))),'Resultater - Vestdanmark'!$F$3:$F$482,"Foder",'Resultater - Vestdanmark'!$A$3:$A$482,"&lt;&gt;Foderproduktion"))/SUMIFS(IF(D223=År1,'[1]Processer - data'!H$3:H$464,IF(D223=År2,'[1]Processer - data'!I$3:I$464,'[1]Processer - data'!J$3:J$464)),'[1]Processer - data'!$A$3:$A$464,"Foderproduktion",'[1]Processer - data'!$D$3:$D$464,$C223)</f>
        <v>#REF!</v>
      </c>
    </row>
    <row r="224" spans="1:7" x14ac:dyDescent="0.25">
      <c r="A224" s="100" t="s">
        <v>113</v>
      </c>
      <c r="B224" t="s">
        <v>23</v>
      </c>
      <c r="C224" s="101" t="str">
        <f t="shared" si="14"/>
        <v>Rapskage</v>
      </c>
      <c r="D224">
        <f t="shared" si="15"/>
        <v>2050</v>
      </c>
      <c r="E224" s="151" t="e">
        <f>VLOOKUP($C224,Fodersammensætning!A$3:E$17,MATCH(D224,Fodersammensætning!$A$2:$E$2,0),FALSE)*(-SUMIFS(IF(D224=År1,IF(B224="Vestdanmark",'Resultater - Vestdanmark'!H$3:H$482,'Resultater - Østdanmark'!H$3:H$482),IF(D224=År2,IF(B224="Vestdanmark",'Resultater - Vestdanmark'!I$3:I$482,'Resultater - Østdanmark'!I$3:I$482),IF(B224="Vestdanmark",'Resultater - Vestdanmark'!J$3:J$482,'Resultater - Østdanmark'!J$3:J$482))),'Resultater - Vestdanmark'!$F$3:$F$482,"Foder",'Resultater - Vestdanmark'!$A$3:$A$482,"&lt;&gt;Foderproduktion"))/SUMIFS(IF(D224=År1,'[1]Processer - data'!H$3:H$464,IF(D224=År2,'[1]Processer - data'!I$3:I$464,'[1]Processer - data'!J$3:J$464)),'[1]Processer - data'!$A$3:$A$464,"Foderproduktion",'[1]Processer - data'!$D$3:$D$464,$C224)</f>
        <v>#REF!</v>
      </c>
    </row>
    <row r="225" spans="1:5" x14ac:dyDescent="0.25">
      <c r="A225" s="100" t="s">
        <v>113</v>
      </c>
      <c r="B225" t="s">
        <v>23</v>
      </c>
      <c r="C225" s="101" t="str">
        <f t="shared" si="14"/>
        <v>Tang</v>
      </c>
      <c r="D225">
        <f t="shared" si="15"/>
        <v>2050</v>
      </c>
      <c r="E225" s="151" t="e">
        <f>VLOOKUP($C225,Fodersammensætning!A$3:E$17,MATCH(D225,Fodersammensætning!$A$2:$E$2,0),FALSE)*(-SUMIFS(IF(D225=År1,IF(B225="Vestdanmark",'Resultater - Vestdanmark'!H$3:H$482,'Resultater - Østdanmark'!H$3:H$482),IF(D225=År2,IF(B225="Vestdanmark",'Resultater - Vestdanmark'!I$3:I$482,'Resultater - Østdanmark'!I$3:I$482),IF(B225="Vestdanmark",'Resultater - Vestdanmark'!J$3:J$482,'Resultater - Østdanmark'!J$3:J$482))),'Resultater - Vestdanmark'!$F$3:$F$482,"Foder",'Resultater - Vestdanmark'!$A$3:$A$482,"&lt;&gt;Foderproduktion"))/SUMIFS(IF(D225=År1,'[1]Processer - data'!H$3:H$464,IF(D225=År2,'[1]Processer - data'!I$3:I$464,'[1]Processer - data'!J$3:J$464)),'[1]Processer - data'!$A$3:$A$464,"Foderproduktion",'[1]Processer - data'!$D$3:$D$464,$C225)</f>
        <v>#REF!</v>
      </c>
    </row>
    <row r="226" spans="1:5" x14ac:dyDescent="0.25">
      <c r="A226" s="100" t="s">
        <v>113</v>
      </c>
      <c r="B226" t="s">
        <v>23</v>
      </c>
      <c r="C226" s="101" t="str">
        <f t="shared" si="14"/>
        <v>Muslinger</v>
      </c>
      <c r="D226">
        <f t="shared" si="15"/>
        <v>2050</v>
      </c>
      <c r="E226" s="151" t="e">
        <f>VLOOKUP($C226,Fodersammensætning!A$3:E$17,MATCH(D226,Fodersammensætning!$A$2:$E$2,0),FALSE)*(-SUMIFS(IF(D226=År1,IF(B226="Vestdanmark",'Resultater - Vestdanmark'!H$3:H$482,'Resultater - Østdanmark'!H$3:H$482),IF(D226=År2,IF(B226="Vestdanmark",'Resultater - Vestdanmark'!I$3:I$482,'Resultater - Østdanmark'!I$3:I$482),IF(B226="Vestdanmark",'Resultater - Vestdanmark'!J$3:J$482,'Resultater - Østdanmark'!J$3:J$482))),'Resultater - Vestdanmark'!$F$3:$F$482,"Foder",'Resultater - Vestdanmark'!$A$3:$A$482,"&lt;&gt;Foderproduktion"))/SUMIFS(IF(D226=År1,'[1]Processer - data'!H$3:H$464,IF(D226=År2,'[1]Processer - data'!I$3:I$464,'[1]Processer - data'!J$3:J$464)),'[1]Processer - data'!$A$3:$A$464,"Foderproduktion",'[1]Processer - data'!$D$3:$D$464,$C226)</f>
        <v>#REF!</v>
      </c>
    </row>
    <row r="227" spans="1:5" x14ac:dyDescent="0.25">
      <c r="A227" s="100" t="s">
        <v>113</v>
      </c>
      <c r="B227" t="s">
        <v>23</v>
      </c>
      <c r="C227" s="101" t="str">
        <f t="shared" si="14"/>
        <v>Græs</v>
      </c>
      <c r="D227">
        <f t="shared" si="15"/>
        <v>2050</v>
      </c>
      <c r="E227" s="151" t="e">
        <f>VLOOKUP($C227,Fodersammensætning!A$3:E$17,MATCH(D227,Fodersammensætning!$A$2:$E$2,0),FALSE)*(-SUMIFS(IF(D227=År1,IF(B227="Vestdanmark",'Resultater - Vestdanmark'!H$3:H$482,'Resultater - Østdanmark'!H$3:H$482),IF(D227=År2,IF(B227="Vestdanmark",'Resultater - Vestdanmark'!I$3:I$482,'Resultater - Østdanmark'!I$3:I$482),IF(B227="Vestdanmark",'Resultater - Vestdanmark'!J$3:J$482,'Resultater - Østdanmark'!J$3:J$482))),'Resultater - Vestdanmark'!$F$3:$F$482,"Foder",'Resultater - Vestdanmark'!$A$3:$A$482,"&lt;&gt;Foderproduktion"))/SUMIFS(IF(D227=År1,'[1]Processer - data'!H$3:H$464,IF(D227=År2,'[1]Processer - data'!I$3:I$464,'[1]Processer - data'!J$3:J$464)),'[1]Processer - data'!$A$3:$A$464,"Foderproduktion",'[1]Processer - data'!$D$3:$D$464,$C227)</f>
        <v>#REF!</v>
      </c>
    </row>
    <row r="228" spans="1:5" x14ac:dyDescent="0.25">
      <c r="A228" s="100" t="s">
        <v>113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51" t="e">
        <f>VLOOKUP($C228,Fodersammensætning!A$3:E$17,MATCH(D228,Fodersammensætning!$A$2:$E$2,0),FALSE)*(-SUMIFS(IF(D228=År1,IF(B228="Vestdanmark",'Resultater - Vestdanmark'!H$3:H$482,'Resultater - Østdanmark'!H$3:H$482),IF(D228=År2,IF(B228="Vestdanmark",'Resultater - Vestdanmark'!I$3:I$482,'Resultater - Østdanmark'!I$3:I$482),IF(B228="Vestdanmark",'Resultater - Vestdanmark'!J$3:J$482,'Resultater - Østdanmark'!J$3:J$482))),'Resultater - Vestdanmark'!$F$3:$F$482,"Foder",'Resultater - Vestdanmark'!$A$3:$A$482,"&lt;&gt;Foderproduktion"))/SUMIFS(IF(D228=År1,'[1]Processer - data'!H$3:H$464,IF(D228=År2,'[1]Processer - data'!I$3:I$464,'[1]Processer - data'!J$3:J$464)),'[1]Processer - data'!$A$3:$A$464,"Foderproduktion",'[1]Processer - data'!$D$3:$D$464,$C228)</f>
        <v>#REF!</v>
      </c>
    </row>
    <row r="229" spans="1:5" x14ac:dyDescent="0.25">
      <c r="A229" s="100" t="s">
        <v>113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51" t="e">
        <f>VLOOKUP($C229,Fodersammensætning!A$3:E$17,MATCH(D229,Fodersammensætning!$A$2:$E$2,0),FALSE)*(-SUMIFS(IF(D229=År1,IF(B229="Vestdanmark",'Resultater - Vestdanmark'!H$3:H$482,'Resultater - Østdanmark'!H$3:H$482),IF(D229=År2,IF(B229="Vestdanmark",'Resultater - Vestdanmark'!I$3:I$482,'Resultater - Østdanmark'!I$3:I$482),IF(B229="Vestdanmark",'Resultater - Vestdanmark'!J$3:J$482,'Resultater - Østdanmark'!J$3:J$482))),'Resultater - Vestdanmark'!$F$3:$F$482,"Foder",'Resultater - Vestdanmark'!$A$3:$A$482,"&lt;&gt;Foderproduktion"))/SUMIFS(IF(D229=År1,'[1]Processer - data'!H$3:H$464,IF(D229=År2,'[1]Processer - data'!I$3:I$464,'[1]Processer - data'!J$3:J$464)),'[1]Processer - data'!$A$3:$A$464,"Foderproduktion",'[1]Processer - data'!$D$3:$D$464,$C229)</f>
        <v>#REF!</v>
      </c>
    </row>
    <row r="230" spans="1:5" x14ac:dyDescent="0.25">
      <c r="A230" s="100" t="s">
        <v>113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51" t="e">
        <f>VLOOKUP($C230,Fodersammensætning!A$3:E$17,MATCH(D230,Fodersammensætning!$A$2:$E$2,0),FALSE)*(-SUMIFS(IF(D230=År1,IF(B230="Vestdanmark",'Resultater - Vestdanmark'!H$3:H$482,'Resultater - Østdanmark'!H$3:H$482),IF(D230=År2,IF(B230="Vestdanmark",'Resultater - Vestdanmark'!I$3:I$482,'Resultater - Østdanmark'!I$3:I$482),IF(B230="Vestdanmark",'Resultater - Vestdanmark'!J$3:J$482,'Resultater - Østdanmark'!J$3:J$482))),'Resultater - Vestdanmark'!$F$3:$F$482,"Foder",'Resultater - Vestdanmark'!$A$3:$A$482,"&lt;&gt;Foderproduktion"))/SUMIFS(IF(D230=År1,'[1]Processer - data'!H$3:H$464,IF(D230=År2,'[1]Processer - data'!I$3:I$464,'[1]Processer - data'!J$3:J$464)),'[1]Processer - data'!$A$3:$A$464,"Foderproduktion",'[1]Processer - data'!$D$3:$D$464,$C230)</f>
        <v>#REF!</v>
      </c>
    </row>
    <row r="231" spans="1:5" x14ac:dyDescent="0.25">
      <c r="A231" s="100" t="s">
        <v>113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51" t="e">
        <f>VLOOKUP($C231,Fodersammensætning!A$3:E$17,MATCH(D231,Fodersammensætning!$A$2:$E$2,0),FALSE)*(-SUMIFS(IF(D231=År1,IF(B231="Vestdanmark",'Resultater - Vestdanmark'!H$3:H$482,'Resultater - Østdanmark'!H$3:H$482),IF(D231=År2,IF(B231="Vestdanmark",'Resultater - Vestdanmark'!I$3:I$482,'Resultater - Østdanmark'!I$3:I$482),IF(B231="Vestdanmark",'Resultater - Vestdanmark'!J$3:J$482,'Resultater - Østdanmark'!J$3:J$482))),'Resultater - Vestdanmark'!$F$3:$F$482,"Foder",'Resultater - Vestdanmark'!$A$3:$A$482,"&lt;&gt;Foderproduktion"))/SUMIFS(IF(D231=År1,'[1]Processer - data'!H$3:H$464,IF(D231=År2,'[1]Processer - data'!I$3:I$464,'[1]Processer - data'!J$3:J$464)),'[1]Processer - data'!$A$3:$A$464,"Foderproduktion",'[1]Processer - data'!$D$3:$D$464,$C231)</f>
        <v>#REF!</v>
      </c>
    </row>
    <row r="232" spans="1:5" x14ac:dyDescent="0.25">
      <c r="A232" s="100" t="s">
        <v>113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51" t="e">
        <f>VLOOKUP($C232,Fodersammensætning!A$3:E$17,MATCH(D232,Fodersammensætning!$A$2:$E$2,0),FALSE)*(-SUMIFS(IF(D232=År1,IF(B232="Vestdanmark",'Resultater - Vestdanmark'!H$3:H$482,'Resultater - Østdanmark'!H$3:H$482),IF(D232=År2,IF(B232="Vestdanmark",'Resultater - Vestdanmark'!I$3:I$482,'Resultater - Østdanmark'!I$3:I$482),IF(B232="Vestdanmark",'Resultater - Vestdanmark'!J$3:J$482,'Resultater - Østdanmark'!J$3:J$482))),'Resultater - Vestdanmark'!$F$3:$F$482,"Foder",'Resultater - Vestdanmark'!$A$3:$A$482,"&lt;&gt;Foderproduktion"))/SUMIFS(IF(D232=År1,'[1]Processer - data'!H$3:H$464,IF(D232=År2,'[1]Processer - data'!I$3:I$464,'[1]Processer - data'!J$3:J$464)),'[1]Processer - data'!$A$3:$A$464,"Foderproduktion",'[1]Processer - data'!$D$3:$D$464,$C232)</f>
        <v>#REF!</v>
      </c>
    </row>
    <row r="233" spans="1:5" x14ac:dyDescent="0.25">
      <c r="A233" s="100" t="s">
        <v>113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51" t="e">
        <f>VLOOKUP($C233,Fodersammensætning!A$3:E$17,MATCH(D233,Fodersammensætning!$A$2:$E$2,0),FALSE)*(-SUMIFS(IF(D233=År1,IF(B233="Vestdanmark",'Resultater - Vestdanmark'!H$3:H$482,'Resultater - Østdanmark'!H$3:H$482),IF(D233=År2,IF(B233="Vestdanmark",'Resultater - Vestdanmark'!I$3:I$482,'Resultater - Østdanmark'!I$3:I$482),IF(B233="Vestdanmark",'Resultater - Vestdanmark'!J$3:J$482,'Resultater - Østdanmark'!J$3:J$482))),'Resultater - Vestdanmark'!$F$3:$F$482,"Foder",'Resultater - Vestdanmark'!$A$3:$A$482,"&lt;&gt;Foderproduktion"))/SUMIFS(IF(D233=År1,'[1]Processer - data'!H$3:H$464,IF(D233=År2,'[1]Processer - data'!I$3:I$464,'[1]Processer - data'!J$3:J$464)),'[1]Processer - data'!$A$3:$A$464,"Foderproduktion",'[1]Processer - data'!$D$3:$D$464,$C233)</f>
        <v>#REF!</v>
      </c>
    </row>
    <row r="234" spans="1:5" x14ac:dyDescent="0.25">
      <c r="A234" s="100" t="s">
        <v>113</v>
      </c>
      <c r="B234" t="s">
        <v>24</v>
      </c>
      <c r="C234" s="101" t="str">
        <f t="shared" si="14"/>
        <v>Halm</v>
      </c>
      <c r="D234">
        <f t="shared" si="16"/>
        <v>2019</v>
      </c>
      <c r="E234" s="151" t="e">
        <f>VLOOKUP($C234,Fodersammensætning!A$3:E$17,MATCH(D234,Fodersammensætning!$A$2:$E$2,0),FALSE)*(-SUMIFS(IF(D234=År1,IF(B234="Vestdanmark",'Resultater - Vestdanmark'!H$3:H$482,'Resultater - Østdanmark'!H$3:H$482),IF(D234=År2,IF(B234="Vestdanmark",'Resultater - Vestdanmark'!I$3:I$482,'Resultater - Østdanmark'!I$3:I$482),IF(B234="Vestdanmark",'Resultater - Vestdanmark'!J$3:J$482,'Resultater - Østdanmark'!J$3:J$482))),'Resultater - Vestdanmark'!$F$3:$F$482,"Foder",'Resultater - Vestdanmark'!$A$3:$A$482,"&lt;&gt;Foderproduktion"))/SUMIFS(IF(D234=År1,'[1]Processer - data'!H$3:H$464,IF(D234=År2,'[1]Processer - data'!I$3:I$464,'[1]Processer - data'!J$3:J$464)),'[1]Processer - data'!$A$3:$A$464,"Foderproduktion",'[1]Processer - data'!$D$3:$D$464,$C234)</f>
        <v>#REF!</v>
      </c>
    </row>
    <row r="235" spans="1:5" x14ac:dyDescent="0.25">
      <c r="A235" s="100" t="s">
        <v>113</v>
      </c>
      <c r="B235" t="s">
        <v>24</v>
      </c>
      <c r="C235" s="101" t="str">
        <f t="shared" si="14"/>
        <v>Kartofler</v>
      </c>
      <c r="D235">
        <f t="shared" si="16"/>
        <v>2019</v>
      </c>
      <c r="E235" s="151" t="e">
        <f>VLOOKUP($C235,Fodersammensætning!A$3:E$17,MATCH(D235,Fodersammensætning!$A$2:$E$2,0),FALSE)*(-SUMIFS(IF(D235=År1,IF(B235="Vestdanmark",'Resultater - Vestdanmark'!H$3:H$482,'Resultater - Østdanmark'!H$3:H$482),IF(D235=År2,IF(B235="Vestdanmark",'Resultater - Vestdanmark'!I$3:I$482,'Resultater - Østdanmark'!I$3:I$482),IF(B235="Vestdanmark",'Resultater - Vestdanmark'!J$3:J$482,'Resultater - Østdanmark'!J$3:J$482))),'Resultater - Vestdanmark'!$F$3:$F$482,"Foder",'Resultater - Vestdanmark'!$A$3:$A$482,"&lt;&gt;Foderproduktion"))/SUMIFS(IF(D235=År1,'[1]Processer - data'!H$3:H$464,IF(D235=År2,'[1]Processer - data'!I$3:I$464,'[1]Processer - data'!J$3:J$464)),'[1]Processer - data'!$A$3:$A$464,"Foderproduktion",'[1]Processer - data'!$D$3:$D$464,$C235)</f>
        <v>#REF!</v>
      </c>
    </row>
    <row r="236" spans="1:5" x14ac:dyDescent="0.25">
      <c r="A236" s="100" t="s">
        <v>113</v>
      </c>
      <c r="B236" t="s">
        <v>24</v>
      </c>
      <c r="C236" s="101" t="str">
        <f t="shared" si="14"/>
        <v>Bælgsæd</v>
      </c>
      <c r="D236">
        <f t="shared" si="16"/>
        <v>2019</v>
      </c>
      <c r="E236" s="151" t="e">
        <f>VLOOKUP($C236,Fodersammensætning!A$3:E$17,MATCH(D236,Fodersammensætning!$A$2:$E$2,0),FALSE)*(-SUMIFS(IF(D236=År1,IF(B236="Vestdanmark",'Resultater - Vestdanmark'!H$3:H$482,'Resultater - Østdanmark'!H$3:H$482),IF(D236=År2,IF(B236="Vestdanmark",'Resultater - Vestdanmark'!I$3:I$482,'Resultater - Østdanmark'!I$3:I$482),IF(B236="Vestdanmark",'Resultater - Vestdanmark'!J$3:J$482,'Resultater - Østdanmark'!J$3:J$482))),'Resultater - Vestdanmark'!$F$3:$F$482,"Foder",'Resultater - Vestdanmark'!$A$3:$A$482,"&lt;&gt;Foderproduktion"))/SUMIFS(IF(D236=År1,'[1]Processer - data'!H$3:H$464,IF(D236=År2,'[1]Processer - data'!I$3:I$464,'[1]Processer - data'!J$3:J$464)),'[1]Processer - data'!$A$3:$A$464,"Foderproduktion",'[1]Processer - data'!$D$3:$D$464,$C236)</f>
        <v>#REF!</v>
      </c>
    </row>
    <row r="237" spans="1:5" x14ac:dyDescent="0.25">
      <c r="A237" s="100" t="s">
        <v>113</v>
      </c>
      <c r="B237" t="s">
        <v>24</v>
      </c>
      <c r="C237" s="101" t="str">
        <f t="shared" si="14"/>
        <v>Roer</v>
      </c>
      <c r="D237">
        <f t="shared" si="16"/>
        <v>2019</v>
      </c>
      <c r="E237" s="151" t="e">
        <f>VLOOKUP($C237,Fodersammensætning!A$3:E$17,MATCH(D237,Fodersammensætning!$A$2:$E$2,0),FALSE)*(-SUMIFS(IF(D237=År1,IF(B237="Vestdanmark",'Resultater - Vestdanmark'!H$3:H$482,'Resultater - Østdanmark'!H$3:H$482),IF(D237=År2,IF(B237="Vestdanmark",'Resultater - Vestdanmark'!I$3:I$482,'Resultater - Østdanmark'!I$3:I$482),IF(B237="Vestdanmark",'Resultater - Vestdanmark'!J$3:J$482,'Resultater - Østdanmark'!J$3:J$482))),'Resultater - Vestdanmark'!$F$3:$F$482,"Foder",'Resultater - Vestdanmark'!$A$3:$A$482,"&lt;&gt;Foderproduktion"))/SUMIFS(IF(D237=År1,'[1]Processer - data'!H$3:H$464,IF(D237=År2,'[1]Processer - data'!I$3:I$464,'[1]Processer - data'!J$3:J$464)),'[1]Processer - data'!$A$3:$A$464,"Foderproduktion",'[1]Processer - data'!$D$3:$D$464,$C237)</f>
        <v>#REF!</v>
      </c>
    </row>
    <row r="238" spans="1:5" x14ac:dyDescent="0.25">
      <c r="A238" s="100" t="s">
        <v>113</v>
      </c>
      <c r="B238" t="s">
        <v>24</v>
      </c>
      <c r="C238" s="101" t="str">
        <f t="shared" si="14"/>
        <v>Majs</v>
      </c>
      <c r="D238">
        <f t="shared" si="16"/>
        <v>2019</v>
      </c>
      <c r="E238" s="151" t="e">
        <f>VLOOKUP($C238,Fodersammensætning!A$3:E$17,MATCH(D238,Fodersammensætning!$A$2:$E$2,0),FALSE)*(-SUMIFS(IF(D238=År1,IF(B238="Vestdanmark",'Resultater - Vestdanmark'!H$3:H$482,'Resultater - Østdanmark'!H$3:H$482),IF(D238=År2,IF(B238="Vestdanmark",'Resultater - Vestdanmark'!I$3:I$482,'Resultater - Østdanmark'!I$3:I$482),IF(B238="Vestdanmark",'Resultater - Vestdanmark'!J$3:J$482,'Resultater - Østdanmark'!J$3:J$482))),'Resultater - Vestdanmark'!$F$3:$F$482,"Foder",'Resultater - Vestdanmark'!$A$3:$A$482,"&lt;&gt;Foderproduktion"))/SUMIFS(IF(D238=År1,'[1]Processer - data'!H$3:H$464,IF(D238=År2,'[1]Processer - data'!I$3:I$464,'[1]Processer - data'!J$3:J$464)),'[1]Processer - data'!$A$3:$A$464,"Foderproduktion",'[1]Processer - data'!$D$3:$D$464,$C238)</f>
        <v>#REF!</v>
      </c>
    </row>
    <row r="239" spans="1:5" x14ac:dyDescent="0.25">
      <c r="A239" s="100" t="s">
        <v>113</v>
      </c>
      <c r="B239" t="s">
        <v>24</v>
      </c>
      <c r="C239" s="101" t="str">
        <f t="shared" si="14"/>
        <v>Rapskage</v>
      </c>
      <c r="D239">
        <f t="shared" si="16"/>
        <v>2019</v>
      </c>
      <c r="E239" s="151" t="e">
        <f>VLOOKUP($C239,Fodersammensætning!A$3:E$17,MATCH(D239,Fodersammensætning!$A$2:$E$2,0),FALSE)*(-SUMIFS(IF(D239=År1,IF(B239="Vestdanmark",'Resultater - Vestdanmark'!H$3:H$482,'Resultater - Østdanmark'!H$3:H$482),IF(D239=År2,IF(B239="Vestdanmark",'Resultater - Vestdanmark'!I$3:I$482,'Resultater - Østdanmark'!I$3:I$482),IF(B239="Vestdanmark",'Resultater - Vestdanmark'!J$3:J$482,'Resultater - Østdanmark'!J$3:J$482))),'Resultater - Vestdanmark'!$F$3:$F$482,"Foder",'Resultater - Vestdanmark'!$A$3:$A$482,"&lt;&gt;Foderproduktion"))/SUMIFS(IF(D239=År1,'[1]Processer - data'!H$3:H$464,IF(D239=År2,'[1]Processer - data'!I$3:I$464,'[1]Processer - data'!J$3:J$464)),'[1]Processer - data'!$A$3:$A$464,"Foderproduktion",'[1]Processer - data'!$D$3:$D$464,$C239)</f>
        <v>#REF!</v>
      </c>
    </row>
    <row r="240" spans="1:5" x14ac:dyDescent="0.25">
      <c r="A240" s="100" t="s">
        <v>113</v>
      </c>
      <c r="B240" t="s">
        <v>24</v>
      </c>
      <c r="C240" s="101" t="str">
        <f t="shared" si="14"/>
        <v>Tang</v>
      </c>
      <c r="D240">
        <f t="shared" si="16"/>
        <v>2019</v>
      </c>
      <c r="E240" s="151" t="e">
        <f>VLOOKUP($C240,Fodersammensætning!A$3:E$17,MATCH(D240,Fodersammensætning!$A$2:$E$2,0),FALSE)*(-SUMIFS(IF(D240=År1,IF(B240="Vestdanmark",'Resultater - Vestdanmark'!H$3:H$482,'Resultater - Østdanmark'!H$3:H$482),IF(D240=År2,IF(B240="Vestdanmark",'Resultater - Vestdanmark'!I$3:I$482,'Resultater - Østdanmark'!I$3:I$482),IF(B240="Vestdanmark",'Resultater - Vestdanmark'!J$3:J$482,'Resultater - Østdanmark'!J$3:J$482))),'Resultater - Vestdanmark'!$F$3:$F$482,"Foder",'Resultater - Vestdanmark'!$A$3:$A$482,"&lt;&gt;Foderproduktion"))/SUMIFS(IF(D240=År1,'[1]Processer - data'!H$3:H$464,IF(D240=År2,'[1]Processer - data'!I$3:I$464,'[1]Processer - data'!J$3:J$464)),'[1]Processer - data'!$A$3:$A$464,"Foderproduktion",'[1]Processer - data'!$D$3:$D$464,$C240)</f>
        <v>#REF!</v>
      </c>
    </row>
    <row r="241" spans="1:5" x14ac:dyDescent="0.25">
      <c r="A241" s="100" t="s">
        <v>113</v>
      </c>
      <c r="B241" t="s">
        <v>24</v>
      </c>
      <c r="C241" s="101" t="str">
        <f t="shared" si="14"/>
        <v>Muslinger</v>
      </c>
      <c r="D241">
        <f t="shared" si="16"/>
        <v>2019</v>
      </c>
      <c r="E241" s="151" t="e">
        <f>VLOOKUP($C241,Fodersammensætning!A$3:E$17,MATCH(D241,Fodersammensætning!$A$2:$E$2,0),FALSE)*(-SUMIFS(IF(D241=År1,IF(B241="Vestdanmark",'Resultater - Vestdanmark'!H$3:H$482,'Resultater - Østdanmark'!H$3:H$482),IF(D241=År2,IF(B241="Vestdanmark",'Resultater - Vestdanmark'!I$3:I$482,'Resultater - Østdanmark'!I$3:I$482),IF(B241="Vestdanmark",'Resultater - Vestdanmark'!J$3:J$482,'Resultater - Østdanmark'!J$3:J$482))),'Resultater - Vestdanmark'!$F$3:$F$482,"Foder",'Resultater - Vestdanmark'!$A$3:$A$482,"&lt;&gt;Foderproduktion"))/SUMIFS(IF(D241=År1,'[1]Processer - data'!H$3:H$464,IF(D241=År2,'[1]Processer - data'!I$3:I$464,'[1]Processer - data'!J$3:J$464)),'[1]Processer - data'!$A$3:$A$464,"Foderproduktion",'[1]Processer - data'!$D$3:$D$464,$C241)</f>
        <v>#REF!</v>
      </c>
    </row>
    <row r="242" spans="1:5" x14ac:dyDescent="0.25">
      <c r="A242" s="100" t="s">
        <v>113</v>
      </c>
      <c r="B242" t="s">
        <v>24</v>
      </c>
      <c r="C242" s="101" t="str">
        <f t="shared" si="14"/>
        <v>Græs</v>
      </c>
      <c r="D242">
        <f t="shared" si="16"/>
        <v>2019</v>
      </c>
      <c r="E242" s="151" t="e">
        <f>VLOOKUP($C242,Fodersammensætning!A$3:E$17,MATCH(D242,Fodersammensætning!$A$2:$E$2,0),FALSE)*(-SUMIFS(IF(D242=År1,IF(B242="Vestdanmark",'Resultater - Vestdanmark'!H$3:H$482,'Resultater - Østdanmark'!H$3:H$482),IF(D242=År2,IF(B242="Vestdanmark",'Resultater - Vestdanmark'!I$3:I$482,'Resultater - Østdanmark'!I$3:I$482),IF(B242="Vestdanmark",'Resultater - Vestdanmark'!J$3:J$482,'Resultater - Østdanmark'!J$3:J$482))),'Resultater - Vestdanmark'!$F$3:$F$482,"Foder",'Resultater - Vestdanmark'!$A$3:$A$482,"&lt;&gt;Foderproduktion"))/SUMIFS(IF(D242=År1,'[1]Processer - data'!H$3:H$464,IF(D242=År2,'[1]Processer - data'!I$3:I$464,'[1]Processer - data'!J$3:J$464)),'[1]Processer - data'!$A$3:$A$464,"Foderproduktion",'[1]Processer - data'!$D$3:$D$464,$C242)</f>
        <v>#REF!</v>
      </c>
    </row>
    <row r="243" spans="1:5" x14ac:dyDescent="0.25">
      <c r="A243" s="100" t="s">
        <v>113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51" t="e">
        <f>VLOOKUP($C243,Fodersammensætning!A$3:E$17,MATCH(D243,Fodersammensætning!$A$2:$E$2,0),FALSE)*(-SUMIFS(IF(D243=År1,IF(B243="Vestdanmark",'Resultater - Vestdanmark'!H$3:H$482,'Resultater - Østdanmark'!H$3:H$482),IF(D243=År2,IF(B243="Vestdanmark",'Resultater - Vestdanmark'!I$3:I$482,'Resultater - Østdanmark'!I$3:I$482),IF(B243="Vestdanmark",'Resultater - Vestdanmark'!J$3:J$482,'Resultater - Østdanmark'!J$3:J$482))),'Resultater - Vestdanmark'!$F$3:$F$482,"Foder",'Resultater - Vestdanmark'!$A$3:$A$482,"&lt;&gt;Foderproduktion"))/SUMIFS(IF(D243=År1,'[1]Processer - data'!H$3:H$464,IF(D243=År2,'[1]Processer - data'!I$3:I$464,'[1]Processer - data'!J$3:J$464)),'[1]Processer - data'!$A$3:$A$464,"Foderproduktion",'[1]Processer - data'!$D$3:$D$464,$C243)</f>
        <v>#REF!</v>
      </c>
    </row>
    <row r="244" spans="1:5" x14ac:dyDescent="0.25">
      <c r="A244" s="100" t="s">
        <v>113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51" t="e">
        <f>VLOOKUP($C244,Fodersammensætning!A$3:E$17,MATCH(D244,Fodersammensætning!$A$2:$E$2,0),FALSE)*(-SUMIFS(IF(D244=År1,IF(B244="Vestdanmark",'Resultater - Vestdanmark'!H$3:H$482,'Resultater - Østdanmark'!H$3:H$482),IF(D244=År2,IF(B244="Vestdanmark",'Resultater - Vestdanmark'!I$3:I$482,'Resultater - Østdanmark'!I$3:I$482),IF(B244="Vestdanmark",'Resultater - Vestdanmark'!J$3:J$482,'Resultater - Østdanmark'!J$3:J$482))),'Resultater - Vestdanmark'!$F$3:$F$482,"Foder",'Resultater - Vestdanmark'!$A$3:$A$482,"&lt;&gt;Foderproduktion"))/SUMIFS(IF(D244=År1,'[1]Processer - data'!H$3:H$464,IF(D244=År2,'[1]Processer - data'!I$3:I$464,'[1]Processer - data'!J$3:J$464)),'[1]Processer - data'!$A$3:$A$464,"Foderproduktion",'[1]Processer - data'!$D$3:$D$464,$C244)</f>
        <v>#REF!</v>
      </c>
    </row>
    <row r="245" spans="1:5" x14ac:dyDescent="0.25">
      <c r="A245" s="100" t="s">
        <v>113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51" t="e">
        <f>VLOOKUP($C245,Fodersammensætning!A$3:E$17,MATCH(D245,Fodersammensætning!$A$2:$E$2,0),FALSE)*(-SUMIFS(IF(D245=År1,IF(B245="Vestdanmark",'Resultater - Vestdanmark'!H$3:H$482,'Resultater - Østdanmark'!H$3:H$482),IF(D245=År2,IF(B245="Vestdanmark",'Resultater - Vestdanmark'!I$3:I$482,'Resultater - Østdanmark'!I$3:I$482),IF(B245="Vestdanmark",'Resultater - Vestdanmark'!J$3:J$482,'Resultater - Østdanmark'!J$3:J$482))),'Resultater - Vestdanmark'!$F$3:$F$482,"Foder",'Resultater - Vestdanmark'!$A$3:$A$482,"&lt;&gt;Foderproduktion"))/SUMIFS(IF(D245=År1,'[1]Processer - data'!H$3:H$464,IF(D245=År2,'[1]Processer - data'!I$3:I$464,'[1]Processer - data'!J$3:J$464)),'[1]Processer - data'!$A$3:$A$464,"Foderproduktion",'[1]Processer - data'!$D$3:$D$464,$C245)</f>
        <v>#REF!</v>
      </c>
    </row>
    <row r="246" spans="1:5" x14ac:dyDescent="0.25">
      <c r="A246" s="100" t="s">
        <v>113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51" t="e">
        <f>VLOOKUP($C246,Fodersammensætning!A$3:E$17,MATCH(D246,Fodersammensætning!$A$2:$E$2,0),FALSE)*(-SUMIFS(IF(D246=År1,IF(B246="Vestdanmark",'Resultater - Vestdanmark'!H$3:H$482,'Resultater - Østdanmark'!H$3:H$482),IF(D246=År2,IF(B246="Vestdanmark",'Resultater - Vestdanmark'!I$3:I$482,'Resultater - Østdanmark'!I$3:I$482),IF(B246="Vestdanmark",'Resultater - Vestdanmark'!J$3:J$482,'Resultater - Østdanmark'!J$3:J$482))),'Resultater - Vestdanmark'!$F$3:$F$482,"Foder",'Resultater - Vestdanmark'!$A$3:$A$482,"&lt;&gt;Foderproduktion"))/SUMIFS(IF(D246=År1,'[1]Processer - data'!H$3:H$464,IF(D246=År2,'[1]Processer - data'!I$3:I$464,'[1]Processer - data'!J$3:J$464)),'[1]Processer - data'!$A$3:$A$464,"Foderproduktion",'[1]Processer - data'!$D$3:$D$464,$C246)</f>
        <v>#REF!</v>
      </c>
    </row>
    <row r="247" spans="1:5" x14ac:dyDescent="0.25">
      <c r="A247" s="100" t="s">
        <v>113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51" t="e">
        <f>VLOOKUP($C247,Fodersammensætning!A$3:E$17,MATCH(D247,Fodersammensætning!$A$2:$E$2,0),FALSE)*(-SUMIFS(IF(D247=År1,IF(B247="Vestdanmark",'Resultater - Vestdanmark'!H$3:H$482,'Resultater - Østdanmark'!H$3:H$482),IF(D247=År2,IF(B247="Vestdanmark",'Resultater - Vestdanmark'!I$3:I$482,'Resultater - Østdanmark'!I$3:I$482),IF(B247="Vestdanmark",'Resultater - Vestdanmark'!J$3:J$482,'Resultater - Østdanmark'!J$3:J$482))),'Resultater - Vestdanmark'!$F$3:$F$482,"Foder",'Resultater - Vestdanmark'!$A$3:$A$482,"&lt;&gt;Foderproduktion"))/SUMIFS(IF(D247=År1,'[1]Processer - data'!H$3:H$464,IF(D247=År2,'[1]Processer - data'!I$3:I$464,'[1]Processer - data'!J$3:J$464)),'[1]Processer - data'!$A$3:$A$464,"Foderproduktion",'[1]Processer - data'!$D$3:$D$464,$C247)</f>
        <v>#REF!</v>
      </c>
    </row>
    <row r="248" spans="1:5" x14ac:dyDescent="0.25">
      <c r="A248" s="100" t="s">
        <v>113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51" t="e">
        <f>VLOOKUP($C248,Fodersammensætning!A$3:E$17,MATCH(D248,Fodersammensætning!$A$2:$E$2,0),FALSE)*(-SUMIFS(IF(D248=År1,IF(B248="Vestdanmark",'Resultater - Vestdanmark'!H$3:H$482,'Resultater - Østdanmark'!H$3:H$482),IF(D248=År2,IF(B248="Vestdanmark",'Resultater - Vestdanmark'!I$3:I$482,'Resultater - Østdanmark'!I$3:I$482),IF(B248="Vestdanmark",'Resultater - Vestdanmark'!J$3:J$482,'Resultater - Østdanmark'!J$3:J$482))),'Resultater - Vestdanmark'!$F$3:$F$482,"Foder",'Resultater - Vestdanmark'!$A$3:$A$482,"&lt;&gt;Foderproduktion"))/SUMIFS(IF(D248=År1,'[1]Processer - data'!H$3:H$464,IF(D248=År2,'[1]Processer - data'!I$3:I$464,'[1]Processer - data'!J$3:J$464)),'[1]Processer - data'!$A$3:$A$464,"Foderproduktion",'[1]Processer - data'!$D$3:$D$464,$C248)</f>
        <v>#REF!</v>
      </c>
    </row>
    <row r="249" spans="1:5" x14ac:dyDescent="0.25">
      <c r="A249" s="100" t="s">
        <v>113</v>
      </c>
      <c r="B249" t="s">
        <v>24</v>
      </c>
      <c r="C249" s="101" t="str">
        <f t="shared" si="14"/>
        <v>Halm</v>
      </c>
      <c r="D249">
        <f t="shared" si="17"/>
        <v>2030</v>
      </c>
      <c r="E249" s="151" t="e">
        <f>VLOOKUP($C249,Fodersammensætning!A$3:E$17,MATCH(D249,Fodersammensætning!$A$2:$E$2,0),FALSE)*(-SUMIFS(IF(D249=År1,IF(B249="Vestdanmark",'Resultater - Vestdanmark'!H$3:H$482,'Resultater - Østdanmark'!H$3:H$482),IF(D249=År2,IF(B249="Vestdanmark",'Resultater - Vestdanmark'!I$3:I$482,'Resultater - Østdanmark'!I$3:I$482),IF(B249="Vestdanmark",'Resultater - Vestdanmark'!J$3:J$482,'Resultater - Østdanmark'!J$3:J$482))),'Resultater - Vestdanmark'!$F$3:$F$482,"Foder",'Resultater - Vestdanmark'!$A$3:$A$482,"&lt;&gt;Foderproduktion"))/SUMIFS(IF(D249=År1,'[1]Processer - data'!H$3:H$464,IF(D249=År2,'[1]Processer - data'!I$3:I$464,'[1]Processer - data'!J$3:J$464)),'[1]Processer - data'!$A$3:$A$464,"Foderproduktion",'[1]Processer - data'!$D$3:$D$464,$C249)</f>
        <v>#REF!</v>
      </c>
    </row>
    <row r="250" spans="1:5" x14ac:dyDescent="0.25">
      <c r="A250" s="100" t="s">
        <v>113</v>
      </c>
      <c r="B250" t="s">
        <v>24</v>
      </c>
      <c r="C250" s="101" t="str">
        <f t="shared" si="14"/>
        <v>Kartofler</v>
      </c>
      <c r="D250">
        <f t="shared" si="17"/>
        <v>2030</v>
      </c>
      <c r="E250" s="151" t="e">
        <f>VLOOKUP($C250,Fodersammensætning!A$3:E$17,MATCH(D250,Fodersammensætning!$A$2:$E$2,0),FALSE)*(-SUMIFS(IF(D250=År1,IF(B250="Vestdanmark",'Resultater - Vestdanmark'!H$3:H$482,'Resultater - Østdanmark'!H$3:H$482),IF(D250=År2,IF(B250="Vestdanmark",'Resultater - Vestdanmark'!I$3:I$482,'Resultater - Østdanmark'!I$3:I$482),IF(B250="Vestdanmark",'Resultater - Vestdanmark'!J$3:J$482,'Resultater - Østdanmark'!J$3:J$482))),'Resultater - Vestdanmark'!$F$3:$F$482,"Foder",'Resultater - Vestdanmark'!$A$3:$A$482,"&lt;&gt;Foderproduktion"))/SUMIFS(IF(D250=År1,'[1]Processer - data'!H$3:H$464,IF(D250=År2,'[1]Processer - data'!I$3:I$464,'[1]Processer - data'!J$3:J$464)),'[1]Processer - data'!$A$3:$A$464,"Foderproduktion",'[1]Processer - data'!$D$3:$D$464,$C250)</f>
        <v>#REF!</v>
      </c>
    </row>
    <row r="251" spans="1:5" x14ac:dyDescent="0.25">
      <c r="A251" s="100" t="s">
        <v>113</v>
      </c>
      <c r="B251" t="s">
        <v>24</v>
      </c>
      <c r="C251" s="101" t="str">
        <f t="shared" si="14"/>
        <v>Bælgsæd</v>
      </c>
      <c r="D251">
        <f t="shared" si="17"/>
        <v>2030</v>
      </c>
      <c r="E251" s="151" t="e">
        <f>VLOOKUP($C251,Fodersammensætning!A$3:E$17,MATCH(D251,Fodersammensætning!$A$2:$E$2,0),FALSE)*(-SUMIFS(IF(D251=År1,IF(B251="Vestdanmark",'Resultater - Vestdanmark'!H$3:H$482,'Resultater - Østdanmark'!H$3:H$482),IF(D251=År2,IF(B251="Vestdanmark",'Resultater - Vestdanmark'!I$3:I$482,'Resultater - Østdanmark'!I$3:I$482),IF(B251="Vestdanmark",'Resultater - Vestdanmark'!J$3:J$482,'Resultater - Østdanmark'!J$3:J$482))),'Resultater - Vestdanmark'!$F$3:$F$482,"Foder",'Resultater - Vestdanmark'!$A$3:$A$482,"&lt;&gt;Foderproduktion"))/SUMIFS(IF(D251=År1,'[1]Processer - data'!H$3:H$464,IF(D251=År2,'[1]Processer - data'!I$3:I$464,'[1]Processer - data'!J$3:J$464)),'[1]Processer - data'!$A$3:$A$464,"Foderproduktion",'[1]Processer - data'!$D$3:$D$464,$C251)</f>
        <v>#REF!</v>
      </c>
    </row>
    <row r="252" spans="1:5" x14ac:dyDescent="0.25">
      <c r="A252" s="100" t="s">
        <v>113</v>
      </c>
      <c r="B252" t="s">
        <v>24</v>
      </c>
      <c r="C252" s="101" t="str">
        <f t="shared" si="14"/>
        <v>Roer</v>
      </c>
      <c r="D252">
        <f t="shared" si="17"/>
        <v>2030</v>
      </c>
      <c r="E252" s="151" t="e">
        <f>VLOOKUP($C252,Fodersammensætning!A$3:E$17,MATCH(D252,Fodersammensætning!$A$2:$E$2,0),FALSE)*(-SUMIFS(IF(D252=År1,IF(B252="Vestdanmark",'Resultater - Vestdanmark'!H$3:H$482,'Resultater - Østdanmark'!H$3:H$482),IF(D252=År2,IF(B252="Vestdanmark",'Resultater - Vestdanmark'!I$3:I$482,'Resultater - Østdanmark'!I$3:I$482),IF(B252="Vestdanmark",'Resultater - Vestdanmark'!J$3:J$482,'Resultater - Østdanmark'!J$3:J$482))),'Resultater - Vestdanmark'!$F$3:$F$482,"Foder",'Resultater - Vestdanmark'!$A$3:$A$482,"&lt;&gt;Foderproduktion"))/SUMIFS(IF(D252=År1,'[1]Processer - data'!H$3:H$464,IF(D252=År2,'[1]Processer - data'!I$3:I$464,'[1]Processer - data'!J$3:J$464)),'[1]Processer - data'!$A$3:$A$464,"Foderproduktion",'[1]Processer - data'!$D$3:$D$464,$C252)</f>
        <v>#REF!</v>
      </c>
    </row>
    <row r="253" spans="1:5" x14ac:dyDescent="0.25">
      <c r="A253" s="100" t="s">
        <v>113</v>
      </c>
      <c r="B253" t="s">
        <v>24</v>
      </c>
      <c r="C253" s="101" t="str">
        <f t="shared" si="14"/>
        <v>Majs</v>
      </c>
      <c r="D253">
        <f t="shared" si="17"/>
        <v>2030</v>
      </c>
      <c r="E253" s="151" t="e">
        <f>VLOOKUP($C253,Fodersammensætning!A$3:E$17,MATCH(D253,Fodersammensætning!$A$2:$E$2,0),FALSE)*(-SUMIFS(IF(D253=År1,IF(B253="Vestdanmark",'Resultater - Vestdanmark'!H$3:H$482,'Resultater - Østdanmark'!H$3:H$482),IF(D253=År2,IF(B253="Vestdanmark",'Resultater - Vestdanmark'!I$3:I$482,'Resultater - Østdanmark'!I$3:I$482),IF(B253="Vestdanmark",'Resultater - Vestdanmark'!J$3:J$482,'Resultater - Østdanmark'!J$3:J$482))),'Resultater - Vestdanmark'!$F$3:$F$482,"Foder",'Resultater - Vestdanmark'!$A$3:$A$482,"&lt;&gt;Foderproduktion"))/SUMIFS(IF(D253=År1,'[1]Processer - data'!H$3:H$464,IF(D253=År2,'[1]Processer - data'!I$3:I$464,'[1]Processer - data'!J$3:J$464)),'[1]Processer - data'!$A$3:$A$464,"Foderproduktion",'[1]Processer - data'!$D$3:$D$464,$C253)</f>
        <v>#REF!</v>
      </c>
    </row>
    <row r="254" spans="1:5" x14ac:dyDescent="0.25">
      <c r="A254" s="100" t="s">
        <v>113</v>
      </c>
      <c r="B254" t="s">
        <v>24</v>
      </c>
      <c r="C254" s="101" t="str">
        <f t="shared" si="14"/>
        <v>Rapskage</v>
      </c>
      <c r="D254">
        <f t="shared" si="17"/>
        <v>2030</v>
      </c>
      <c r="E254" s="151" t="e">
        <f>VLOOKUP($C254,Fodersammensætning!A$3:E$17,MATCH(D254,Fodersammensætning!$A$2:$E$2,0),FALSE)*(-SUMIFS(IF(D254=År1,IF(B254="Vestdanmark",'Resultater - Vestdanmark'!H$3:H$482,'Resultater - Østdanmark'!H$3:H$482),IF(D254=År2,IF(B254="Vestdanmark",'Resultater - Vestdanmark'!I$3:I$482,'Resultater - Østdanmark'!I$3:I$482),IF(B254="Vestdanmark",'Resultater - Vestdanmark'!J$3:J$482,'Resultater - Østdanmark'!J$3:J$482))),'Resultater - Vestdanmark'!$F$3:$F$482,"Foder",'Resultater - Vestdanmark'!$A$3:$A$482,"&lt;&gt;Foderproduktion"))/SUMIFS(IF(D254=År1,'[1]Processer - data'!H$3:H$464,IF(D254=År2,'[1]Processer - data'!I$3:I$464,'[1]Processer - data'!J$3:J$464)),'[1]Processer - data'!$A$3:$A$464,"Foderproduktion",'[1]Processer - data'!$D$3:$D$464,$C254)</f>
        <v>#REF!</v>
      </c>
    </row>
    <row r="255" spans="1:5" x14ac:dyDescent="0.25">
      <c r="A255" s="100" t="s">
        <v>113</v>
      </c>
      <c r="B255" t="s">
        <v>24</v>
      </c>
      <c r="C255" s="101" t="str">
        <f t="shared" si="14"/>
        <v>Tang</v>
      </c>
      <c r="D255">
        <f t="shared" si="17"/>
        <v>2030</v>
      </c>
      <c r="E255" s="151" t="e">
        <f>VLOOKUP($C255,Fodersammensætning!A$3:E$17,MATCH(D255,Fodersammensætning!$A$2:$E$2,0),FALSE)*(-SUMIFS(IF(D255=År1,IF(B255="Vestdanmark",'Resultater - Vestdanmark'!H$3:H$482,'Resultater - Østdanmark'!H$3:H$482),IF(D255=År2,IF(B255="Vestdanmark",'Resultater - Vestdanmark'!I$3:I$482,'Resultater - Østdanmark'!I$3:I$482),IF(B255="Vestdanmark",'Resultater - Vestdanmark'!J$3:J$482,'Resultater - Østdanmark'!J$3:J$482))),'Resultater - Vestdanmark'!$F$3:$F$482,"Foder",'Resultater - Vestdanmark'!$A$3:$A$482,"&lt;&gt;Foderproduktion"))/SUMIFS(IF(D255=År1,'[1]Processer - data'!H$3:H$464,IF(D255=År2,'[1]Processer - data'!I$3:I$464,'[1]Processer - data'!J$3:J$464)),'[1]Processer - data'!$A$3:$A$464,"Foderproduktion",'[1]Processer - data'!$D$3:$D$464,$C255)</f>
        <v>#REF!</v>
      </c>
    </row>
    <row r="256" spans="1:5" x14ac:dyDescent="0.25">
      <c r="A256" s="100" t="s">
        <v>113</v>
      </c>
      <c r="B256" t="s">
        <v>24</v>
      </c>
      <c r="C256" s="101" t="str">
        <f t="shared" si="14"/>
        <v>Muslinger</v>
      </c>
      <c r="D256">
        <f t="shared" si="17"/>
        <v>2030</v>
      </c>
      <c r="E256" s="151" t="e">
        <f>VLOOKUP($C256,Fodersammensætning!A$3:E$17,MATCH(D256,Fodersammensætning!$A$2:$E$2,0),FALSE)*(-SUMIFS(IF(D256=År1,IF(B256="Vestdanmark",'Resultater - Vestdanmark'!H$3:H$482,'Resultater - Østdanmark'!H$3:H$482),IF(D256=År2,IF(B256="Vestdanmark",'Resultater - Vestdanmark'!I$3:I$482,'Resultater - Østdanmark'!I$3:I$482),IF(B256="Vestdanmark",'Resultater - Vestdanmark'!J$3:J$482,'Resultater - Østdanmark'!J$3:J$482))),'Resultater - Vestdanmark'!$F$3:$F$482,"Foder",'Resultater - Vestdanmark'!$A$3:$A$482,"&lt;&gt;Foderproduktion"))/SUMIFS(IF(D256=År1,'[1]Processer - data'!H$3:H$464,IF(D256=År2,'[1]Processer - data'!I$3:I$464,'[1]Processer - data'!J$3:J$464)),'[1]Processer - data'!$A$3:$A$464,"Foderproduktion",'[1]Processer - data'!$D$3:$D$464,$C256)</f>
        <v>#REF!</v>
      </c>
    </row>
    <row r="257" spans="1:5" x14ac:dyDescent="0.25">
      <c r="A257" s="100" t="s">
        <v>113</v>
      </c>
      <c r="B257" t="s">
        <v>24</v>
      </c>
      <c r="C257" s="101" t="str">
        <f t="shared" si="14"/>
        <v>Græs</v>
      </c>
      <c r="D257">
        <f t="shared" si="17"/>
        <v>2030</v>
      </c>
      <c r="E257" s="151" t="e">
        <f>VLOOKUP($C257,Fodersammensætning!A$3:E$17,MATCH(D257,Fodersammensætning!$A$2:$E$2,0),FALSE)*(-SUMIFS(IF(D257=År1,IF(B257="Vestdanmark",'Resultater - Vestdanmark'!H$3:H$482,'Resultater - Østdanmark'!H$3:H$482),IF(D257=År2,IF(B257="Vestdanmark",'Resultater - Vestdanmark'!I$3:I$482,'Resultater - Østdanmark'!I$3:I$482),IF(B257="Vestdanmark",'Resultater - Vestdanmark'!J$3:J$482,'Resultater - Østdanmark'!J$3:J$482))),'Resultater - Vestdanmark'!$F$3:$F$482,"Foder",'Resultater - Vestdanmark'!$A$3:$A$482,"&lt;&gt;Foderproduktion"))/SUMIFS(IF(D257=År1,'[1]Processer - data'!H$3:H$464,IF(D257=År2,'[1]Processer - data'!I$3:I$464,'[1]Processer - data'!J$3:J$464)),'[1]Processer - data'!$A$3:$A$464,"Foderproduktion",'[1]Processer - data'!$D$3:$D$464,$C257)</f>
        <v>#REF!</v>
      </c>
    </row>
    <row r="258" spans="1:5" x14ac:dyDescent="0.25">
      <c r="A258" s="100" t="s">
        <v>113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51" t="e">
        <f>VLOOKUP($C258,Fodersammensætning!A$3:E$17,MATCH(D258,Fodersammensætning!$A$2:$E$2,0),FALSE)*(-SUMIFS(IF(D258=År1,IF(B258="Vestdanmark",'Resultater - Vestdanmark'!H$3:H$482,'Resultater - Østdanmark'!H$3:H$482),IF(D258=År2,IF(B258="Vestdanmark",'Resultater - Vestdanmark'!I$3:I$482,'Resultater - Østdanmark'!I$3:I$482),IF(B258="Vestdanmark",'Resultater - Vestdanmark'!J$3:J$482,'Resultater - Østdanmark'!J$3:J$482))),'Resultater - Vestdanmark'!$F$3:$F$482,"Foder",'Resultater - Vestdanmark'!$A$3:$A$482,"&lt;&gt;Foderproduktion"))/SUMIFS(IF(D258=År1,'[1]Processer - data'!H$3:H$464,IF(D258=År2,'[1]Processer - data'!I$3:I$464,'[1]Processer - data'!J$3:J$464)),'[1]Processer - data'!$A$3:$A$464,"Foderproduktion",'[1]Processer - data'!$D$3:$D$464,$C258)</f>
        <v>#REF!</v>
      </c>
    </row>
    <row r="259" spans="1:5" x14ac:dyDescent="0.25">
      <c r="A259" s="100" t="s">
        <v>113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51" t="e">
        <f>VLOOKUP($C259,Fodersammensætning!A$3:E$17,MATCH(D259,Fodersammensætning!$A$2:$E$2,0),FALSE)*(-SUMIFS(IF(D259=År1,IF(B259="Vestdanmark",'Resultater - Vestdanmark'!H$3:H$482,'Resultater - Østdanmark'!H$3:H$482),IF(D259=År2,IF(B259="Vestdanmark",'Resultater - Vestdanmark'!I$3:I$482,'Resultater - Østdanmark'!I$3:I$482),IF(B259="Vestdanmark",'Resultater - Vestdanmark'!J$3:J$482,'Resultater - Østdanmark'!J$3:J$482))),'Resultater - Vestdanmark'!$F$3:$F$482,"Foder",'Resultater - Vestdanmark'!$A$3:$A$482,"&lt;&gt;Foderproduktion"))/SUMIFS(IF(D259=År1,'[1]Processer - data'!H$3:H$464,IF(D259=År2,'[1]Processer - data'!I$3:I$464,'[1]Processer - data'!J$3:J$464)),'[1]Processer - data'!$A$3:$A$464,"Foderproduktion",'[1]Processer - data'!$D$3:$D$464,$C259)</f>
        <v>#REF!</v>
      </c>
    </row>
    <row r="260" spans="1:5" x14ac:dyDescent="0.25">
      <c r="A260" s="100" t="s">
        <v>113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51" t="e">
        <f>VLOOKUP($C260,Fodersammensætning!A$3:E$17,MATCH(D260,Fodersammensætning!$A$2:$E$2,0),FALSE)*(-SUMIFS(IF(D260=År1,IF(B260="Vestdanmark",'Resultater - Vestdanmark'!H$3:H$482,'Resultater - Østdanmark'!H$3:H$482),IF(D260=År2,IF(B260="Vestdanmark",'Resultater - Vestdanmark'!I$3:I$482,'Resultater - Østdanmark'!I$3:I$482),IF(B260="Vestdanmark",'Resultater - Vestdanmark'!J$3:J$482,'Resultater - Østdanmark'!J$3:J$482))),'Resultater - Vestdanmark'!$F$3:$F$482,"Foder",'Resultater - Vestdanmark'!$A$3:$A$482,"&lt;&gt;Foderproduktion"))/SUMIFS(IF(D260=År1,'[1]Processer - data'!H$3:H$464,IF(D260=År2,'[1]Processer - data'!I$3:I$464,'[1]Processer - data'!J$3:J$464)),'[1]Processer - data'!$A$3:$A$464,"Foderproduktion",'[1]Processer - data'!$D$3:$D$464,$C260)</f>
        <v>#REF!</v>
      </c>
    </row>
    <row r="261" spans="1:5" x14ac:dyDescent="0.25">
      <c r="A261" s="100" t="s">
        <v>113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51" t="e">
        <f>VLOOKUP($C261,Fodersammensætning!A$3:E$17,MATCH(D261,Fodersammensætning!$A$2:$E$2,0),FALSE)*(-SUMIFS(IF(D261=År1,IF(B261="Vestdanmark",'Resultater - Vestdanmark'!H$3:H$482,'Resultater - Østdanmark'!H$3:H$482),IF(D261=År2,IF(B261="Vestdanmark",'Resultater - Vestdanmark'!I$3:I$482,'Resultater - Østdanmark'!I$3:I$482),IF(B261="Vestdanmark",'Resultater - Vestdanmark'!J$3:J$482,'Resultater - Østdanmark'!J$3:J$482))),'Resultater - Vestdanmark'!$F$3:$F$482,"Foder",'Resultater - Vestdanmark'!$A$3:$A$482,"&lt;&gt;Foderproduktion"))/SUMIFS(IF(D261=År1,'[1]Processer - data'!H$3:H$464,IF(D261=År2,'[1]Processer - data'!I$3:I$464,'[1]Processer - data'!J$3:J$464)),'[1]Processer - data'!$A$3:$A$464,"Foderproduktion",'[1]Processer - data'!$D$3:$D$464,$C261)</f>
        <v>#REF!</v>
      </c>
    </row>
    <row r="262" spans="1:5" x14ac:dyDescent="0.25">
      <c r="A262" s="100" t="s">
        <v>113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51" t="e">
        <f>VLOOKUP($C262,Fodersammensætning!A$3:E$17,MATCH(D262,Fodersammensætning!$A$2:$E$2,0),FALSE)*(-SUMIFS(IF(D262=År1,IF(B262="Vestdanmark",'Resultater - Vestdanmark'!H$3:H$482,'Resultater - Østdanmark'!H$3:H$482),IF(D262=År2,IF(B262="Vestdanmark",'Resultater - Vestdanmark'!I$3:I$482,'Resultater - Østdanmark'!I$3:I$482),IF(B262="Vestdanmark",'Resultater - Vestdanmark'!J$3:J$482,'Resultater - Østdanmark'!J$3:J$482))),'Resultater - Vestdanmark'!$F$3:$F$482,"Foder",'Resultater - Vestdanmark'!$A$3:$A$482,"&lt;&gt;Foderproduktion"))/SUMIFS(IF(D262=År1,'[1]Processer - data'!H$3:H$464,IF(D262=År2,'[1]Processer - data'!I$3:I$464,'[1]Processer - data'!J$3:J$464)),'[1]Processer - data'!$A$3:$A$464,"Foderproduktion",'[1]Processer - data'!$D$3:$D$464,$C262)</f>
        <v>#REF!</v>
      </c>
    </row>
    <row r="263" spans="1:5" x14ac:dyDescent="0.25">
      <c r="A263" s="100" t="s">
        <v>113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51" t="e">
        <f>VLOOKUP($C263,Fodersammensætning!A$3:E$17,MATCH(D263,Fodersammensætning!$A$2:$E$2,0),FALSE)*(-SUMIFS(IF(D263=År1,IF(B263="Vestdanmark",'Resultater - Vestdanmark'!H$3:H$482,'Resultater - Østdanmark'!H$3:H$482),IF(D263=År2,IF(B263="Vestdanmark",'Resultater - Vestdanmark'!I$3:I$482,'Resultater - Østdanmark'!I$3:I$482),IF(B263="Vestdanmark",'Resultater - Vestdanmark'!J$3:J$482,'Resultater - Østdanmark'!J$3:J$482))),'Resultater - Vestdanmark'!$F$3:$F$482,"Foder",'Resultater - Vestdanmark'!$A$3:$A$482,"&lt;&gt;Foderproduktion"))/SUMIFS(IF(D263=År1,'[1]Processer - data'!H$3:H$464,IF(D263=År2,'[1]Processer - data'!I$3:I$464,'[1]Processer - data'!J$3:J$464)),'[1]Processer - data'!$A$3:$A$464,"Foderproduktion",'[1]Processer - data'!$D$3:$D$464,$C263)</f>
        <v>#REF!</v>
      </c>
    </row>
    <row r="264" spans="1:5" x14ac:dyDescent="0.25">
      <c r="A264" s="100" t="s">
        <v>113</v>
      </c>
      <c r="B264" t="s">
        <v>24</v>
      </c>
      <c r="C264" s="101" t="str">
        <f t="shared" si="14"/>
        <v>Halm</v>
      </c>
      <c r="D264">
        <f t="shared" si="18"/>
        <v>2050</v>
      </c>
      <c r="E264" s="151" t="e">
        <f>VLOOKUP($C264,Fodersammensætning!A$3:E$17,MATCH(D264,Fodersammensætning!$A$2:$E$2,0),FALSE)*(-SUMIFS(IF(D264=År1,IF(B264="Vestdanmark",'Resultater - Vestdanmark'!H$3:H$482,'Resultater - Østdanmark'!H$3:H$482),IF(D264=År2,IF(B264="Vestdanmark",'Resultater - Vestdanmark'!I$3:I$482,'Resultater - Østdanmark'!I$3:I$482),IF(B264="Vestdanmark",'Resultater - Vestdanmark'!J$3:J$482,'Resultater - Østdanmark'!J$3:J$482))),'Resultater - Vestdanmark'!$F$3:$F$482,"Foder",'Resultater - Vestdanmark'!$A$3:$A$482,"&lt;&gt;Foderproduktion"))/SUMIFS(IF(D264=År1,'[1]Processer - data'!H$3:H$464,IF(D264=År2,'[1]Processer - data'!I$3:I$464,'[1]Processer - data'!J$3:J$464)),'[1]Processer - data'!$A$3:$A$464,"Foderproduktion",'[1]Processer - data'!$D$3:$D$464,$C264)</f>
        <v>#REF!</v>
      </c>
    </row>
    <row r="265" spans="1:5" x14ac:dyDescent="0.25">
      <c r="A265" s="100" t="s">
        <v>113</v>
      </c>
      <c r="B265" t="s">
        <v>24</v>
      </c>
      <c r="C265" s="101" t="str">
        <f t="shared" si="14"/>
        <v>Kartofler</v>
      </c>
      <c r="D265">
        <f t="shared" si="18"/>
        <v>2050</v>
      </c>
      <c r="E265" s="151" t="e">
        <f>VLOOKUP($C265,Fodersammensætning!A$3:E$17,MATCH(D265,Fodersammensætning!$A$2:$E$2,0),FALSE)*(-SUMIFS(IF(D265=År1,IF(B265="Vestdanmark",'Resultater - Vestdanmark'!H$3:H$482,'Resultater - Østdanmark'!H$3:H$482),IF(D265=År2,IF(B265="Vestdanmark",'Resultater - Vestdanmark'!I$3:I$482,'Resultater - Østdanmark'!I$3:I$482),IF(B265="Vestdanmark",'Resultater - Vestdanmark'!J$3:J$482,'Resultater - Østdanmark'!J$3:J$482))),'Resultater - Vestdanmark'!$F$3:$F$482,"Foder",'Resultater - Vestdanmark'!$A$3:$A$482,"&lt;&gt;Foderproduktion"))/SUMIFS(IF(D265=År1,'[1]Processer - data'!H$3:H$464,IF(D265=År2,'[1]Processer - data'!I$3:I$464,'[1]Processer - data'!J$3:J$464)),'[1]Processer - data'!$A$3:$A$464,"Foderproduktion",'[1]Processer - data'!$D$3:$D$464,$C265)</f>
        <v>#REF!</v>
      </c>
    </row>
    <row r="266" spans="1:5" x14ac:dyDescent="0.25">
      <c r="A266" s="100" t="s">
        <v>113</v>
      </c>
      <c r="B266" t="s">
        <v>24</v>
      </c>
      <c r="C266" s="101" t="str">
        <f t="shared" si="14"/>
        <v>Bælgsæd</v>
      </c>
      <c r="D266">
        <f t="shared" si="18"/>
        <v>2050</v>
      </c>
      <c r="E266" s="151" t="e">
        <f>VLOOKUP($C266,Fodersammensætning!A$3:E$17,MATCH(D266,Fodersammensætning!$A$2:$E$2,0),FALSE)*(-SUMIFS(IF(D266=År1,IF(B266="Vestdanmark",'Resultater - Vestdanmark'!H$3:H$482,'Resultater - Østdanmark'!H$3:H$482),IF(D266=År2,IF(B266="Vestdanmark",'Resultater - Vestdanmark'!I$3:I$482,'Resultater - Østdanmark'!I$3:I$482),IF(B266="Vestdanmark",'Resultater - Vestdanmark'!J$3:J$482,'Resultater - Østdanmark'!J$3:J$482))),'Resultater - Vestdanmark'!$F$3:$F$482,"Foder",'Resultater - Vestdanmark'!$A$3:$A$482,"&lt;&gt;Foderproduktion"))/SUMIFS(IF(D266=År1,'[1]Processer - data'!H$3:H$464,IF(D266=År2,'[1]Processer - data'!I$3:I$464,'[1]Processer - data'!J$3:J$464)),'[1]Processer - data'!$A$3:$A$464,"Foderproduktion",'[1]Processer - data'!$D$3:$D$464,$C266)</f>
        <v>#REF!</v>
      </c>
    </row>
    <row r="267" spans="1:5" x14ac:dyDescent="0.25">
      <c r="A267" s="100" t="s">
        <v>113</v>
      </c>
      <c r="B267" t="s">
        <v>24</v>
      </c>
      <c r="C267" s="101" t="str">
        <f t="shared" si="14"/>
        <v>Roer</v>
      </c>
      <c r="D267">
        <f t="shared" si="18"/>
        <v>2050</v>
      </c>
      <c r="E267" s="151" t="e">
        <f>VLOOKUP($C267,Fodersammensætning!A$3:E$17,MATCH(D267,Fodersammensætning!$A$2:$E$2,0),FALSE)*(-SUMIFS(IF(D267=År1,IF(B267="Vestdanmark",'Resultater - Vestdanmark'!H$3:H$482,'Resultater - Østdanmark'!H$3:H$482),IF(D267=År2,IF(B267="Vestdanmark",'Resultater - Vestdanmark'!I$3:I$482,'Resultater - Østdanmark'!I$3:I$482),IF(B267="Vestdanmark",'Resultater - Vestdanmark'!J$3:J$482,'Resultater - Østdanmark'!J$3:J$482))),'Resultater - Vestdanmark'!$F$3:$F$482,"Foder",'Resultater - Vestdanmark'!$A$3:$A$482,"&lt;&gt;Foderproduktion"))/SUMIFS(IF(D267=År1,'[1]Processer - data'!H$3:H$464,IF(D267=År2,'[1]Processer - data'!I$3:I$464,'[1]Processer - data'!J$3:J$464)),'[1]Processer - data'!$A$3:$A$464,"Foderproduktion",'[1]Processer - data'!$D$3:$D$464,$C267)</f>
        <v>#REF!</v>
      </c>
    </row>
    <row r="268" spans="1:5" x14ac:dyDescent="0.25">
      <c r="A268" s="100" t="s">
        <v>113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51" t="e">
        <f>VLOOKUP($C268,Fodersammensætning!A$3:E$17,MATCH(D268,Fodersammensætning!$A$2:$E$2,0),FALSE)*(-SUMIFS(IF(D268=År1,IF(B268="Vestdanmark",'Resultater - Vestdanmark'!H$3:H$482,'Resultater - Østdanmark'!H$3:H$482),IF(D268=År2,IF(B268="Vestdanmark",'Resultater - Vestdanmark'!I$3:I$482,'Resultater - Østdanmark'!I$3:I$482),IF(B268="Vestdanmark",'Resultater - Vestdanmark'!J$3:J$482,'Resultater - Østdanmark'!J$3:J$482))),'Resultater - Vestdanmark'!$F$3:$F$482,"Foder",'Resultater - Vestdanmark'!$A$3:$A$482,"&lt;&gt;Foderproduktion"))/SUMIFS(IF(D268=År1,'[1]Processer - data'!H$3:H$464,IF(D268=År2,'[1]Processer - data'!I$3:I$464,'[1]Processer - data'!J$3:J$464)),'[1]Processer - data'!$A$3:$A$464,"Foderproduktion",'[1]Processer - data'!$D$3:$D$464,$C268)</f>
        <v>#REF!</v>
      </c>
    </row>
    <row r="269" spans="1:5" x14ac:dyDescent="0.25">
      <c r="A269" s="100" t="s">
        <v>113</v>
      </c>
      <c r="B269" t="s">
        <v>24</v>
      </c>
      <c r="C269" s="101" t="str">
        <f t="shared" si="19"/>
        <v>Rapskage</v>
      </c>
      <c r="D269">
        <f t="shared" si="18"/>
        <v>2050</v>
      </c>
      <c r="E269" s="151" t="e">
        <f>VLOOKUP($C269,Fodersammensætning!A$3:E$17,MATCH(D269,Fodersammensætning!$A$2:$E$2,0),FALSE)*(-SUMIFS(IF(D269=År1,IF(B269="Vestdanmark",'Resultater - Vestdanmark'!H$3:H$482,'Resultater - Østdanmark'!H$3:H$482),IF(D269=År2,IF(B269="Vestdanmark",'Resultater - Vestdanmark'!I$3:I$482,'Resultater - Østdanmark'!I$3:I$482),IF(B269="Vestdanmark",'Resultater - Vestdanmark'!J$3:J$482,'Resultater - Østdanmark'!J$3:J$482))),'Resultater - Vestdanmark'!$F$3:$F$482,"Foder",'Resultater - Vestdanmark'!$A$3:$A$482,"&lt;&gt;Foderproduktion"))/SUMIFS(IF(D269=År1,'[1]Processer - data'!H$3:H$464,IF(D269=År2,'[1]Processer - data'!I$3:I$464,'[1]Processer - data'!J$3:J$464)),'[1]Processer - data'!$A$3:$A$464,"Foderproduktion",'[1]Processer - data'!$D$3:$D$464,$C269)</f>
        <v>#REF!</v>
      </c>
    </row>
    <row r="270" spans="1:5" x14ac:dyDescent="0.25">
      <c r="A270" s="100" t="s">
        <v>113</v>
      </c>
      <c r="B270" t="s">
        <v>24</v>
      </c>
      <c r="C270" s="101" t="str">
        <f t="shared" si="19"/>
        <v>Tang</v>
      </c>
      <c r="D270">
        <f t="shared" si="18"/>
        <v>2050</v>
      </c>
      <c r="E270" s="151" t="e">
        <f>VLOOKUP($C270,Fodersammensætning!A$3:E$17,MATCH(D270,Fodersammensætning!$A$2:$E$2,0),FALSE)*(-SUMIFS(IF(D270=År1,IF(B270="Vestdanmark",'Resultater - Vestdanmark'!H$3:H$482,'Resultater - Østdanmark'!H$3:H$482),IF(D270=År2,IF(B270="Vestdanmark",'Resultater - Vestdanmark'!I$3:I$482,'Resultater - Østdanmark'!I$3:I$482),IF(B270="Vestdanmark",'Resultater - Vestdanmark'!J$3:J$482,'Resultater - Østdanmark'!J$3:J$482))),'Resultater - Vestdanmark'!$F$3:$F$482,"Foder",'Resultater - Vestdanmark'!$A$3:$A$482,"&lt;&gt;Foderproduktion"))/SUMIFS(IF(D270=År1,'[1]Processer - data'!H$3:H$464,IF(D270=År2,'[1]Processer - data'!I$3:I$464,'[1]Processer - data'!J$3:J$464)),'[1]Processer - data'!$A$3:$A$464,"Foderproduktion",'[1]Processer - data'!$D$3:$D$464,$C270)</f>
        <v>#REF!</v>
      </c>
    </row>
    <row r="271" spans="1:5" x14ac:dyDescent="0.25">
      <c r="A271" s="100" t="s">
        <v>113</v>
      </c>
      <c r="B271" t="s">
        <v>24</v>
      </c>
      <c r="C271" s="101" t="str">
        <f t="shared" si="19"/>
        <v>Muslinger</v>
      </c>
      <c r="D271">
        <f t="shared" si="18"/>
        <v>2050</v>
      </c>
      <c r="E271" s="151" t="e">
        <f>VLOOKUP($C271,Fodersammensætning!A$3:E$17,MATCH(D271,Fodersammensætning!$A$2:$E$2,0),FALSE)*(-SUMIFS(IF(D271=År1,IF(B271="Vestdanmark",'Resultater - Vestdanmark'!H$3:H$482,'Resultater - Østdanmark'!H$3:H$482),IF(D271=År2,IF(B271="Vestdanmark",'Resultater - Vestdanmark'!I$3:I$482,'Resultater - Østdanmark'!I$3:I$482),IF(B271="Vestdanmark",'Resultater - Vestdanmark'!J$3:J$482,'Resultater - Østdanmark'!J$3:J$482))),'Resultater - Vestdanmark'!$F$3:$F$482,"Foder",'Resultater - Vestdanmark'!$A$3:$A$482,"&lt;&gt;Foderproduktion"))/SUMIFS(IF(D271=År1,'[1]Processer - data'!H$3:H$464,IF(D271=År2,'[1]Processer - data'!I$3:I$464,'[1]Processer - data'!J$3:J$464)),'[1]Processer - data'!$A$3:$A$464,"Foderproduktion",'[1]Processer - data'!$D$3:$D$464,$C271)</f>
        <v>#REF!</v>
      </c>
    </row>
    <row r="272" spans="1:5" x14ac:dyDescent="0.25">
      <c r="A272" s="100" t="s">
        <v>113</v>
      </c>
      <c r="B272" t="s">
        <v>24</v>
      </c>
      <c r="C272" s="101" t="str">
        <f t="shared" si="19"/>
        <v>Græs</v>
      </c>
      <c r="D272">
        <f t="shared" si="18"/>
        <v>2050</v>
      </c>
      <c r="E272" s="151" t="e">
        <f>VLOOKUP($C272,Fodersammensætning!A$3:E$17,MATCH(D272,Fodersammensætning!$A$2:$E$2,0),FALSE)*(-SUMIFS(IF(D272=År1,IF(B272="Vestdanmark",'Resultater - Vestdanmark'!H$3:H$482,'Resultater - Østdanmark'!H$3:H$482),IF(D272=År2,IF(B272="Vestdanmark",'Resultater - Vestdanmark'!I$3:I$482,'Resultater - Østdanmark'!I$3:I$482),IF(B272="Vestdanmark",'Resultater - Vestdanmark'!J$3:J$482,'Resultater - Østdanmark'!J$3:J$482))),'Resultater - Vestdanmark'!$F$3:$F$482,"Foder",'Resultater - Vestdanmark'!$A$3:$A$482,"&lt;&gt;Foderproduktion"))/SUMIFS(IF(D272=År1,'[1]Processer - data'!H$3:H$464,IF(D272=År2,'[1]Processer - data'!I$3:I$464,'[1]Processer - data'!J$3:J$464)),'[1]Processer - data'!$A$3:$A$464,"Foderproduktion",'[1]Processer - data'!$D$3:$D$464,$C272)</f>
        <v>#REF!</v>
      </c>
    </row>
    <row r="273" spans="1:7" x14ac:dyDescent="0.25">
      <c r="A273" s="100" t="s">
        <v>113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51" t="e">
        <f>VLOOKUP($C273,Fodersammensætning!A$3:E$17,MATCH(D273,Fodersammensætning!$A$2:$E$2,0),FALSE)*(-SUMIFS(IF(D273=År1,IF(B273="Vestdanmark",'Resultater - Vestdanmark'!H$3:H$482,'Resultater - Østdanmark'!H$3:H$482),IF(D273=År2,IF(B273="Vestdanmark",'Resultater - Vestdanmark'!I$3:I$482,'Resultater - Østdanmark'!I$3:I$482),IF(B273="Vestdanmark",'Resultater - Vestdanmark'!J$3:J$482,'Resultater - Østdanmark'!J$3:J$482))),'Resultater - Vestdanmark'!$F$3:$F$482,"Foder",'Resultater - Vestdanmark'!$A$3:$A$482,"&lt;&gt;Foderproduktion"))/SUMIFS(IF(D273=År1,'[1]Processer - data'!H$3:H$464,IF(D273=År2,'[1]Processer - data'!I$3:I$464,'[1]Processer - data'!J$3:J$464)),'[1]Processer - data'!$A$3:$A$464,"Foderproduktion",'[1]Processer - data'!$D$3:$D$464,$C273)</f>
        <v>#REF!</v>
      </c>
    </row>
    <row r="274" spans="1:7" x14ac:dyDescent="0.25">
      <c r="A274" s="100" t="s">
        <v>113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51" t="e">
        <f>VLOOKUP($C274,Fodersammensætning!A$3:E$17,MATCH(D274,Fodersammensætning!$A$2:$E$2,0),FALSE)*(-SUMIFS(IF(D274=År1,IF(B274="Vestdanmark",'Resultater - Vestdanmark'!H$3:H$482,'Resultater - Østdanmark'!H$3:H$482),IF(D274=År2,IF(B274="Vestdanmark",'Resultater - Vestdanmark'!I$3:I$482,'Resultater - Østdanmark'!I$3:I$482),IF(B274="Vestdanmark",'Resultater - Vestdanmark'!J$3:J$482,'Resultater - Østdanmark'!J$3:J$482))),'Resultater - Vestdanmark'!$F$3:$F$482,"Foder",'Resultater - Vestdanmark'!$A$3:$A$482,"&lt;&gt;Foderproduktion"))/SUMIFS(IF(D274=År1,'[1]Processer - data'!H$3:H$464,IF(D274=År2,'[1]Processer - data'!I$3:I$464,'[1]Processer - data'!J$3:J$464)),'[1]Processer - data'!$A$3:$A$464,"Foderproduktion",'[1]Processer - data'!$D$3:$D$464,$C274)</f>
        <v>#REF!</v>
      </c>
    </row>
    <row r="275" spans="1:7" x14ac:dyDescent="0.25">
      <c r="A275" s="100" t="s">
        <v>113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51" t="e">
        <f>VLOOKUP($C275,Fodersammensætning!A$3:E$17,MATCH(D275,Fodersammensætning!$A$2:$E$2,0),FALSE)*(-SUMIFS(IF(D275=År1,IF(B275="Vestdanmark",'Resultater - Vestdanmark'!H$3:H$482,'Resultater - Østdanmark'!H$3:H$482),IF(D275=År2,IF(B275="Vestdanmark",'Resultater - Vestdanmark'!I$3:I$482,'Resultater - Østdanmark'!I$3:I$482),IF(B275="Vestdanmark",'Resultater - Vestdanmark'!J$3:J$482,'Resultater - Østdanmark'!J$3:J$482))),'Resultater - Vestdanmark'!$F$3:$F$482,"Foder",'Resultater - Vestdanmark'!$A$3:$A$482,"&lt;&gt;Foderproduktion"))/SUMIFS(IF(D275=År1,'[1]Processer - data'!H$3:H$464,IF(D275=År2,'[1]Processer - data'!I$3:I$464,'[1]Processer - data'!J$3:J$464)),'[1]Processer - data'!$A$3:$A$464,"Foderproduktion",'[1]Processer - data'!$D$3:$D$464,$C275)</f>
        <v>#REF!</v>
      </c>
    </row>
    <row r="276" spans="1:7" x14ac:dyDescent="0.25">
      <c r="A276" s="100" t="s">
        <v>113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51" t="e">
        <f>VLOOKUP($C276,Fodersammensætning!A$3:E$17,MATCH(D276,Fodersammensætning!$A$2:$E$2,0),FALSE)*(-SUMIFS(IF(D276=År1,IF(B276="Vestdanmark",'Resultater - Vestdanmark'!H$3:H$482,'Resultater - Østdanmark'!H$3:H$482),IF(D276=År2,IF(B276="Vestdanmark",'Resultater - Vestdanmark'!I$3:I$482,'Resultater - Østdanmark'!I$3:I$482),IF(B276="Vestdanmark",'Resultater - Vestdanmark'!J$3:J$482,'Resultater - Østdanmark'!J$3:J$482))),'Resultater - Vestdanmark'!$F$3:$F$482,"Foder",'Resultater - Vestdanmark'!$A$3:$A$482,"&lt;&gt;Foderproduktion"))/SUMIFS(IF(D276=År1,'[1]Processer - data'!H$3:H$464,IF(D276=År2,'[1]Processer - data'!I$3:I$464,'[1]Processer - data'!J$3:J$464)),'[1]Processer - data'!$A$3:$A$464,"Foderproduktion",'[1]Processer - data'!$D$3:$D$464,$C276)</f>
        <v>#REF!</v>
      </c>
    </row>
    <row r="277" spans="1:7" x14ac:dyDescent="0.25">
      <c r="A277" s="100" t="s">
        <v>113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51" t="e">
        <f>VLOOKUP($C277,Fodersammensætning!A$3:E$17,MATCH(D277,Fodersammensætning!$A$2:$E$2,0),FALSE)*(-SUMIFS(IF(D277=År1,IF(B277="Vestdanmark",'Resultater - Vestdanmark'!H$3:H$482,'Resultater - Østdanmark'!H$3:H$482),IF(D277=År2,IF(B277="Vestdanmark",'Resultater - Vestdanmark'!I$3:I$482,'Resultater - Østdanmark'!I$3:I$482),IF(B277="Vestdanmark",'Resultater - Vestdanmark'!J$3:J$482,'Resultater - Østdanmark'!J$3:J$482))),'Resultater - Vestdanmark'!$F$3:$F$482,"Foder",'Resultater - Vestdanmark'!$A$3:$A$482,"&lt;&gt;Foderproduktion"))/SUMIFS(IF(D277=År1,'[1]Processer - data'!H$3:H$464,IF(D277=År2,'[1]Processer - data'!I$3:I$464,'[1]Processer - data'!J$3:J$464)),'[1]Processer - data'!$A$3:$A$464,"Foderproduktion",'[1]Processer - data'!$D$3:$D$464,$C277)</f>
        <v>#REF!</v>
      </c>
    </row>
    <row r="278" spans="1:7" x14ac:dyDescent="0.25">
      <c r="A278" t="s">
        <v>121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t="e">
        <f>IF(SUMIFS(Restprodukter!$G$2:$G$37,Restprodukter!$A$2:$A$37,C278,Restprodukter!$B$2:$B$37,B278,Restprodukter!$C$2:$C$37,D278)&gt;=0,SUMIFS(Restprodukter!$G$2:$G$37,Restprodukter!$A$2:$A$37,C278,Restprodukter!$B$2:$B$37,B278,Restprodukter!$C$2:$C$37,D278)*IF(A278="Energi",1-VLOOKUP(C278,'Forbrug til andet'!$A$9:$D$14,MATCH('Forbrug af biomasse'!D278,'Forbrug til andet'!$A$8:$D$8,0),FALSE),VLOOKUP(C278,'Forbrug til andet'!$A$9:$D$14,MATCH('Forbrug af biomasse'!D278,'Forbrug til andet'!$A$8:$D$8,0),FALSE)),0)</f>
        <v>#REF!</v>
      </c>
      <c r="F278">
        <v>1</v>
      </c>
    </row>
    <row r="279" spans="1:7" x14ac:dyDescent="0.25">
      <c r="A279" t="s">
        <v>121</v>
      </c>
      <c r="B279" t="s">
        <v>23</v>
      </c>
      <c r="C279" t="str">
        <f>'Forbrug til andet'!A10</f>
        <v>Rapsolie</v>
      </c>
      <c r="D279">
        <f t="shared" si="20"/>
        <v>2019</v>
      </c>
      <c r="E279" t="e">
        <f>IF(SUMIFS(Restprodukter!$G$2:$G$37,Restprodukter!$A$2:$A$37,C279,Restprodukter!$B$2:$B$37,B279,Restprodukter!$C$2:$C$37,D279)&gt;=0,SUMIFS(Restprodukter!$G$2:$G$37,Restprodukter!$A$2:$A$37,C279,Restprodukter!$B$2:$B$37,B279,Restprodukter!$C$2:$C$37,D279)*IF(A279="Energi",1-VLOOKUP(C279,'Forbrug til andet'!$A$9:$D$14,MATCH('Forbrug af biomasse'!D279,'Forbrug til andet'!$A$8:$D$8,0),FALSE),VLOOKUP(C279,'Forbrug til andet'!$A$9:$D$14,MATCH('Forbrug af biomasse'!D279,'Forbrug til andet'!$A$8:$D$8,0),FALSE)),0)</f>
        <v>#REF!</v>
      </c>
      <c r="F279" s="171">
        <v>1</v>
      </c>
    </row>
    <row r="280" spans="1:7" x14ac:dyDescent="0.25">
      <c r="A280" t="s">
        <v>121</v>
      </c>
      <c r="B280" t="s">
        <v>23</v>
      </c>
      <c r="C280" t="str">
        <f>'Forbrug til andet'!A11</f>
        <v>Pil &amp; poppel</v>
      </c>
      <c r="D280">
        <f t="shared" si="20"/>
        <v>2019</v>
      </c>
      <c r="E280" t="e">
        <f>IF(SUMIFS(Restprodukter!$G$2:$G$37,Restprodukter!$A$2:$A$37,C280,Restprodukter!$B$2:$B$37,B280,Restprodukter!$C$2:$C$37,D280)&gt;=0,SUMIFS(Restprodukter!$G$2:$G$37,Restprodukter!$A$2:$A$37,C280,Restprodukter!$B$2:$B$37,B280,Restprodukter!$C$2:$C$37,D280)*IF(A280="Energi",1-VLOOKUP(C280,'Forbrug til andet'!$A$9:$D$14,MATCH('Forbrug af biomasse'!D280,'Forbrug til andet'!$A$8:$D$8,0),FALSE),VLOOKUP(C280,'Forbrug til andet'!$A$9:$D$14,MATCH('Forbrug af biomasse'!D280,'Forbrug til andet'!$A$8:$D$8,0),FALSE)),0)</f>
        <v>#REF!</v>
      </c>
      <c r="F280" s="171">
        <v>1</v>
      </c>
    </row>
    <row r="281" spans="1:7" x14ac:dyDescent="0.25">
      <c r="A281" t="s">
        <v>121</v>
      </c>
      <c r="B281" t="s">
        <v>23</v>
      </c>
      <c r="C281" t="str">
        <f>'Forbrug til andet'!A12</f>
        <v>Træ til energi</v>
      </c>
      <c r="D281">
        <f t="shared" si="20"/>
        <v>2019</v>
      </c>
      <c r="E281" t="e">
        <f>IF(SUMIFS(Restprodukter!$G$2:$G$37,Restprodukter!$A$2:$A$37,C281,Restprodukter!$B$2:$B$37,B281,Restprodukter!$C$2:$C$37,D281)&gt;=0,SUMIFS(Restprodukter!$G$2:$G$37,Restprodukter!$A$2:$A$37,C281,Restprodukter!$B$2:$B$37,B281,Restprodukter!$C$2:$C$37,D281)*IF(A281="Energi",1-VLOOKUP(C281,'Forbrug til andet'!$A$9:$D$14,MATCH('Forbrug af biomasse'!D281,'Forbrug til andet'!$A$8:$D$8,0),FALSE),VLOOKUP(C281,'Forbrug til andet'!$A$9:$D$14,MATCH('Forbrug af biomasse'!D281,'Forbrug til andet'!$A$8:$D$8,0),FALSE)),0)</f>
        <v>#REF!</v>
      </c>
      <c r="F281" s="171">
        <v>1</v>
      </c>
    </row>
    <row r="282" spans="1:7" x14ac:dyDescent="0.25">
      <c r="A282" t="s">
        <v>121</v>
      </c>
      <c r="B282" t="s">
        <v>23</v>
      </c>
      <c r="C282" t="str">
        <f>'Forbrug til andet'!A13</f>
        <v>Have/parkaffald</v>
      </c>
      <c r="D282">
        <f t="shared" si="20"/>
        <v>2019</v>
      </c>
      <c r="E282" t="e">
        <f>IF(SUMIFS(Restprodukter!$G$2:$G$37,Restprodukter!$A$2:$A$37,C282,Restprodukter!$B$2:$B$37,B282,Restprodukter!$C$2:$C$37,D282)&gt;=0,SUMIFS(Restprodukter!$G$2:$G$37,Restprodukter!$A$2:$A$37,C282,Restprodukter!$B$2:$B$37,B282,Restprodukter!$C$2:$C$37,D282)*IF(A282="Energi",1-VLOOKUP(C282,'Forbrug til andet'!$A$9:$D$14,MATCH('Forbrug af biomasse'!D282,'Forbrug til andet'!$A$8:$D$8,0),FALSE),VLOOKUP(C282,'Forbrug til andet'!$A$9:$D$14,MATCH('Forbrug af biomasse'!D282,'Forbrug til andet'!$A$8:$D$8,0),FALSE)),0)</f>
        <v>#REF!</v>
      </c>
      <c r="F282" s="171">
        <v>1</v>
      </c>
    </row>
    <row r="283" spans="1:7" x14ac:dyDescent="0.25">
      <c r="A283" t="s">
        <v>121</v>
      </c>
      <c r="B283" t="s">
        <v>23</v>
      </c>
      <c r="C283" t="str">
        <f>'Forbrug til andet'!A14</f>
        <v>Bioaffald</v>
      </c>
      <c r="D283">
        <f t="shared" si="20"/>
        <v>2019</v>
      </c>
      <c r="E283" t="e">
        <f>IF(SUMIFS(Restprodukter!$G$2:$G$37,Restprodukter!$A$2:$A$37,C283,Restprodukter!$B$2:$B$37,B283,Restprodukter!$C$2:$C$37,D283)&gt;=0,SUMIFS(Restprodukter!$G$2:$G$37,Restprodukter!$A$2:$A$37,C283,Restprodukter!$B$2:$B$37,B283,Restprodukter!$C$2:$C$37,D283)*IF(A283="Energi",1-VLOOKUP(C283,'Forbrug til andet'!$A$9:$D$14,MATCH('Forbrug af biomasse'!D283,'Forbrug til andet'!$A$8:$D$8,0),FALSE),VLOOKUP(C283,'Forbrug til andet'!$A$9:$D$14,MATCH('Forbrug af biomasse'!D283,'Forbrug til andet'!$A$8:$D$8,0),FALSE)),0)</f>
        <v>#REF!</v>
      </c>
      <c r="F283" s="171">
        <v>1</v>
      </c>
    </row>
    <row r="284" spans="1:7" x14ac:dyDescent="0.25">
      <c r="A284" t="s">
        <v>165</v>
      </c>
      <c r="B284" t="s">
        <v>23</v>
      </c>
      <c r="C284" t="str">
        <f t="shared" ref="C284:C289" si="21">C278</f>
        <v>Halm</v>
      </c>
      <c r="D284">
        <f t="shared" si="20"/>
        <v>2019</v>
      </c>
      <c r="E284" t="e">
        <f>IF(SUMIFS(Restprodukter!$G$2:$G$37,Restprodukter!$A$2:$A$37,C284,Restprodukter!$B$2:$B$37,B284,Restprodukter!$C$2:$C$37,D284)&gt;=0,SUMIFS(Restprodukter!$G$2:$G$37,Restprodukter!$A$2:$A$37,C284,Restprodukter!$B$2:$B$37,B284,Restprodukter!$C$2:$C$37,D284)*IF(A284="Energi",1-VLOOKUP(C284,'Forbrug til andet'!$A$9:$D$14,MATCH('Forbrug af biomasse'!D284,'Forbrug til andet'!$A$8:$D$8,0),FALSE),VLOOKUP(C284,'Forbrug til andet'!$A$9:$D$14,MATCH('Forbrug af biomasse'!D284,'Forbrug til andet'!$A$8:$D$8,0),FALSE)),0)</f>
        <v>#REF!</v>
      </c>
      <c r="F284" s="171">
        <v>1</v>
      </c>
      <c r="G284">
        <v>1</v>
      </c>
    </row>
    <row r="285" spans="1:7" x14ac:dyDescent="0.25">
      <c r="A285" t="s">
        <v>165</v>
      </c>
      <c r="B285" t="s">
        <v>23</v>
      </c>
      <c r="C285" t="str">
        <f t="shared" si="21"/>
        <v>Rapsolie</v>
      </c>
      <c r="D285">
        <f t="shared" si="20"/>
        <v>2019</v>
      </c>
      <c r="E285" t="e">
        <f>IF(SUMIFS(Restprodukter!$G$2:$G$37,Restprodukter!$A$2:$A$37,C285,Restprodukter!$B$2:$B$37,B285,Restprodukter!$C$2:$C$37,D285)&gt;=0,SUMIFS(Restprodukter!$G$2:$G$37,Restprodukter!$A$2:$A$37,C285,Restprodukter!$B$2:$B$37,B285,Restprodukter!$C$2:$C$37,D285)*IF(A285="Energi",1-VLOOKUP(C285,'Forbrug til andet'!$A$9:$D$14,MATCH('Forbrug af biomasse'!D285,'Forbrug til andet'!$A$8:$D$8,0),FALSE),VLOOKUP(C285,'Forbrug til andet'!$A$9:$D$14,MATCH('Forbrug af biomasse'!D285,'Forbrug til andet'!$A$8:$D$8,0),FALSE)),0)</f>
        <v>#REF!</v>
      </c>
      <c r="F285" s="171">
        <v>1</v>
      </c>
      <c r="G285" s="171">
        <v>1</v>
      </c>
    </row>
    <row r="286" spans="1:7" x14ac:dyDescent="0.25">
      <c r="A286" t="s">
        <v>165</v>
      </c>
      <c r="B286" t="s">
        <v>23</v>
      </c>
      <c r="C286" t="str">
        <f t="shared" si="21"/>
        <v>Pil &amp; poppel</v>
      </c>
      <c r="D286">
        <f t="shared" si="20"/>
        <v>2019</v>
      </c>
      <c r="E286" t="e">
        <f>IF(SUMIFS(Restprodukter!$G$2:$G$37,Restprodukter!$A$2:$A$37,C286,Restprodukter!$B$2:$B$37,B286,Restprodukter!$C$2:$C$37,D286)&gt;=0,SUMIFS(Restprodukter!$G$2:$G$37,Restprodukter!$A$2:$A$37,C286,Restprodukter!$B$2:$B$37,B286,Restprodukter!$C$2:$C$37,D286)*IF(A286="Energi",1-VLOOKUP(C286,'Forbrug til andet'!$A$9:$D$14,MATCH('Forbrug af biomasse'!D286,'Forbrug til andet'!$A$8:$D$8,0),FALSE),VLOOKUP(C286,'Forbrug til andet'!$A$9:$D$14,MATCH('Forbrug af biomasse'!D286,'Forbrug til andet'!$A$8:$D$8,0),FALSE)),0)</f>
        <v>#REF!</v>
      </c>
      <c r="F286" s="171">
        <v>1</v>
      </c>
      <c r="G286" s="171">
        <v>1</v>
      </c>
    </row>
    <row r="287" spans="1:7" x14ac:dyDescent="0.25">
      <c r="A287" t="s">
        <v>165</v>
      </c>
      <c r="B287" t="s">
        <v>23</v>
      </c>
      <c r="C287" t="str">
        <f t="shared" si="21"/>
        <v>Træ til energi</v>
      </c>
      <c r="D287">
        <f t="shared" si="20"/>
        <v>2019</v>
      </c>
      <c r="E287" t="e">
        <f>IF(SUMIFS(Restprodukter!$G$2:$G$37,Restprodukter!$A$2:$A$37,C287,Restprodukter!$B$2:$B$37,B287,Restprodukter!$C$2:$C$37,D287)&gt;=0,SUMIFS(Restprodukter!$G$2:$G$37,Restprodukter!$A$2:$A$37,C287,Restprodukter!$B$2:$B$37,B287,Restprodukter!$C$2:$C$37,D287)*IF(A287="Energi",1-VLOOKUP(C287,'Forbrug til andet'!$A$9:$D$14,MATCH('Forbrug af biomasse'!D287,'Forbrug til andet'!$A$8:$D$8,0),FALSE),VLOOKUP(C287,'Forbrug til andet'!$A$9:$D$14,MATCH('Forbrug af biomasse'!D287,'Forbrug til andet'!$A$8:$D$8,0),FALSE)),0)</f>
        <v>#REF!</v>
      </c>
      <c r="F287" s="171">
        <v>1</v>
      </c>
      <c r="G287" s="171">
        <v>1</v>
      </c>
    </row>
    <row r="288" spans="1:7" x14ac:dyDescent="0.25">
      <c r="A288" t="s">
        <v>165</v>
      </c>
      <c r="B288" t="s">
        <v>23</v>
      </c>
      <c r="C288" t="str">
        <f t="shared" si="21"/>
        <v>Have/parkaffald</v>
      </c>
      <c r="D288">
        <f t="shared" si="20"/>
        <v>2019</v>
      </c>
      <c r="E288" t="e">
        <f>IF(SUMIFS(Restprodukter!$G$2:$G$37,Restprodukter!$A$2:$A$37,C288,Restprodukter!$B$2:$B$37,B288,Restprodukter!$C$2:$C$37,D288)&gt;=0,SUMIFS(Restprodukter!$G$2:$G$37,Restprodukter!$A$2:$A$37,C288,Restprodukter!$B$2:$B$37,B288,Restprodukter!$C$2:$C$37,D288)*IF(A288="Energi",1-VLOOKUP(C288,'Forbrug til andet'!$A$9:$D$14,MATCH('Forbrug af biomasse'!D288,'Forbrug til andet'!$A$8:$D$8,0),FALSE),VLOOKUP(C288,'Forbrug til andet'!$A$9:$D$14,MATCH('Forbrug af biomasse'!D288,'Forbrug til andet'!$A$8:$D$8,0),FALSE)),0)</f>
        <v>#REF!</v>
      </c>
      <c r="F288" s="171">
        <v>1</v>
      </c>
      <c r="G288" s="171">
        <v>1</v>
      </c>
    </row>
    <row r="289" spans="1:7" x14ac:dyDescent="0.25">
      <c r="A289" t="s">
        <v>165</v>
      </c>
      <c r="B289" t="s">
        <v>23</v>
      </c>
      <c r="C289" t="str">
        <f t="shared" si="21"/>
        <v>Bioaffald</v>
      </c>
      <c r="D289">
        <f t="shared" si="20"/>
        <v>2019</v>
      </c>
      <c r="E289" t="e">
        <f>IF(SUMIFS(Restprodukter!$G$2:$G$37,Restprodukter!$A$2:$A$37,C289,Restprodukter!$B$2:$B$37,B289,Restprodukter!$C$2:$C$37,D289)&gt;=0,SUMIFS(Restprodukter!$G$2:$G$37,Restprodukter!$A$2:$A$37,C289,Restprodukter!$B$2:$B$37,B289,Restprodukter!$C$2:$C$37,D289)*IF(A289="Energi",1-VLOOKUP(C289,'Forbrug til andet'!$A$9:$D$14,MATCH('Forbrug af biomasse'!D289,'Forbrug til andet'!$A$8:$D$8,0),FALSE),VLOOKUP(C289,'Forbrug til andet'!$A$9:$D$14,MATCH('Forbrug af biomasse'!D289,'Forbrug til andet'!$A$8:$D$8,0),FALSE)),0)</f>
        <v>#REF!</v>
      </c>
      <c r="F289" s="171">
        <v>1</v>
      </c>
      <c r="G289" s="171">
        <v>1</v>
      </c>
    </row>
    <row r="290" spans="1:7" x14ac:dyDescent="0.25">
      <c r="A290" t="s">
        <v>121</v>
      </c>
      <c r="B290" t="s">
        <v>24</v>
      </c>
      <c r="C290" t="str">
        <f t="shared" ref="C290:C315" si="22">C284</f>
        <v>Halm</v>
      </c>
      <c r="D290">
        <f t="shared" si="20"/>
        <v>2019</v>
      </c>
      <c r="E290" t="e">
        <f>IF(SUMIFS(Restprodukter!$G$2:$G$37,Restprodukter!$A$2:$A$37,C290,Restprodukter!$B$2:$B$37,B290,Restprodukter!$C$2:$C$37,D290)&gt;=0,SUMIFS(Restprodukter!$G$2:$G$37,Restprodukter!$A$2:$A$37,C290,Restprodukter!$B$2:$B$37,B290,Restprodukter!$C$2:$C$37,D290)*IF(A290="Energi",1-VLOOKUP(C290,'Forbrug til andet'!$A$9:$D$14,MATCH('Forbrug af biomasse'!D290,'Forbrug til andet'!$A$8:$D$8,0),FALSE),VLOOKUP(C290,'Forbrug til andet'!$A$9:$D$14,MATCH('Forbrug af biomasse'!D290,'Forbrug til andet'!$A$8:$D$8,0),FALSE)),0)</f>
        <v>#REF!</v>
      </c>
      <c r="F290" s="171">
        <v>1</v>
      </c>
    </row>
    <row r="291" spans="1:7" x14ac:dyDescent="0.25">
      <c r="A291" t="s">
        <v>121</v>
      </c>
      <c r="B291" t="s">
        <v>24</v>
      </c>
      <c r="C291" t="str">
        <f t="shared" si="22"/>
        <v>Rapsolie</v>
      </c>
      <c r="D291">
        <f t="shared" si="20"/>
        <v>2019</v>
      </c>
      <c r="E291" t="e">
        <f>IF(SUMIFS(Restprodukter!$G$2:$G$37,Restprodukter!$A$2:$A$37,C291,Restprodukter!$B$2:$B$37,B291,Restprodukter!$C$2:$C$37,D291)&gt;=0,SUMIFS(Restprodukter!$G$2:$G$37,Restprodukter!$A$2:$A$37,C291,Restprodukter!$B$2:$B$37,B291,Restprodukter!$C$2:$C$37,D291)*IF(A291="Energi",1-VLOOKUP(C291,'Forbrug til andet'!$A$9:$D$14,MATCH('Forbrug af biomasse'!D291,'Forbrug til andet'!$A$8:$D$8,0),FALSE),VLOOKUP(C291,'Forbrug til andet'!$A$9:$D$14,MATCH('Forbrug af biomasse'!D291,'Forbrug til andet'!$A$8:$D$8,0),FALSE)),0)</f>
        <v>#REF!</v>
      </c>
      <c r="F291" s="171">
        <v>1</v>
      </c>
    </row>
    <row r="292" spans="1:7" x14ac:dyDescent="0.25">
      <c r="A292" t="s">
        <v>121</v>
      </c>
      <c r="B292" t="s">
        <v>24</v>
      </c>
      <c r="C292" t="str">
        <f t="shared" si="22"/>
        <v>Pil &amp; poppel</v>
      </c>
      <c r="D292">
        <f t="shared" si="20"/>
        <v>2019</v>
      </c>
      <c r="E292" t="e">
        <f>IF(SUMIFS(Restprodukter!$G$2:$G$37,Restprodukter!$A$2:$A$37,C292,Restprodukter!$B$2:$B$37,B292,Restprodukter!$C$2:$C$37,D292)&gt;=0,SUMIFS(Restprodukter!$G$2:$G$37,Restprodukter!$A$2:$A$37,C292,Restprodukter!$B$2:$B$37,B292,Restprodukter!$C$2:$C$37,D292)*IF(A292="Energi",1-VLOOKUP(C292,'Forbrug til andet'!$A$9:$D$14,MATCH('Forbrug af biomasse'!D292,'Forbrug til andet'!$A$8:$D$8,0),FALSE),VLOOKUP(C292,'Forbrug til andet'!$A$9:$D$14,MATCH('Forbrug af biomasse'!D292,'Forbrug til andet'!$A$8:$D$8,0),FALSE)),0)</f>
        <v>#REF!</v>
      </c>
      <c r="F292" s="171">
        <v>1</v>
      </c>
    </row>
    <row r="293" spans="1:7" x14ac:dyDescent="0.25">
      <c r="A293" t="s">
        <v>121</v>
      </c>
      <c r="B293" t="s">
        <v>24</v>
      </c>
      <c r="C293" t="str">
        <f t="shared" si="22"/>
        <v>Træ til energi</v>
      </c>
      <c r="D293">
        <f t="shared" si="20"/>
        <v>2019</v>
      </c>
      <c r="E293" t="e">
        <f>IF(SUMIFS(Restprodukter!$G$2:$G$37,Restprodukter!$A$2:$A$37,C293,Restprodukter!$B$2:$B$37,B293,Restprodukter!$C$2:$C$37,D293)&gt;=0,SUMIFS(Restprodukter!$G$2:$G$37,Restprodukter!$A$2:$A$37,C293,Restprodukter!$B$2:$B$37,B293,Restprodukter!$C$2:$C$37,D293)*IF(A293="Energi",1-VLOOKUP(C293,'Forbrug til andet'!$A$9:$D$14,MATCH('Forbrug af biomasse'!D293,'Forbrug til andet'!$A$8:$D$8,0),FALSE),VLOOKUP(C293,'Forbrug til andet'!$A$9:$D$14,MATCH('Forbrug af biomasse'!D293,'Forbrug til andet'!$A$8:$D$8,0),FALSE)),0)</f>
        <v>#REF!</v>
      </c>
      <c r="F293" s="171">
        <v>1</v>
      </c>
    </row>
    <row r="294" spans="1:7" x14ac:dyDescent="0.25">
      <c r="A294" t="s">
        <v>121</v>
      </c>
      <c r="B294" t="s">
        <v>24</v>
      </c>
      <c r="C294" t="str">
        <f t="shared" si="22"/>
        <v>Have/parkaffald</v>
      </c>
      <c r="D294">
        <f t="shared" si="20"/>
        <v>2019</v>
      </c>
      <c r="E294" t="e">
        <f>IF(SUMIFS(Restprodukter!$G$2:$G$37,Restprodukter!$A$2:$A$37,C294,Restprodukter!$B$2:$B$37,B294,Restprodukter!$C$2:$C$37,D294)&gt;=0,SUMIFS(Restprodukter!$G$2:$G$37,Restprodukter!$A$2:$A$37,C294,Restprodukter!$B$2:$B$37,B294,Restprodukter!$C$2:$C$37,D294)*IF(A294="Energi",1-VLOOKUP(C294,'Forbrug til andet'!$A$9:$D$14,MATCH('Forbrug af biomasse'!D294,'Forbrug til andet'!$A$8:$D$8,0),FALSE),VLOOKUP(C294,'Forbrug til andet'!$A$9:$D$14,MATCH('Forbrug af biomasse'!D294,'Forbrug til andet'!$A$8:$D$8,0),FALSE)),0)</f>
        <v>#REF!</v>
      </c>
      <c r="F294" s="171">
        <v>1</v>
      </c>
    </row>
    <row r="295" spans="1:7" x14ac:dyDescent="0.25">
      <c r="A295" t="s">
        <v>121</v>
      </c>
      <c r="B295" t="s">
        <v>24</v>
      </c>
      <c r="C295" t="str">
        <f t="shared" si="22"/>
        <v>Bioaffald</v>
      </c>
      <c r="D295">
        <f t="shared" si="20"/>
        <v>2019</v>
      </c>
      <c r="E295" t="e">
        <f>IF(SUMIFS(Restprodukter!$G$2:$G$37,Restprodukter!$A$2:$A$37,C295,Restprodukter!$B$2:$B$37,B295,Restprodukter!$C$2:$C$37,D295)&gt;=0,SUMIFS(Restprodukter!$G$2:$G$37,Restprodukter!$A$2:$A$37,C295,Restprodukter!$B$2:$B$37,B295,Restprodukter!$C$2:$C$37,D295)*IF(A295="Energi",1-VLOOKUP(C295,'Forbrug til andet'!$A$9:$D$14,MATCH('Forbrug af biomasse'!D295,'Forbrug til andet'!$A$8:$D$8,0),FALSE),VLOOKUP(C295,'Forbrug til andet'!$A$9:$D$14,MATCH('Forbrug af biomasse'!D295,'Forbrug til andet'!$A$8:$D$8,0),FALSE)),0)</f>
        <v>#REF!</v>
      </c>
      <c r="F295" s="171">
        <v>1</v>
      </c>
    </row>
    <row r="296" spans="1:7" x14ac:dyDescent="0.25">
      <c r="A296" t="s">
        <v>165</v>
      </c>
      <c r="B296" t="s">
        <v>24</v>
      </c>
      <c r="C296" t="str">
        <f t="shared" si="22"/>
        <v>Halm</v>
      </c>
      <c r="D296">
        <f t="shared" si="20"/>
        <v>2019</v>
      </c>
      <c r="E296" t="e">
        <f>IF(SUMIFS(Restprodukter!$G$2:$G$37,Restprodukter!$A$2:$A$37,C296,Restprodukter!$B$2:$B$37,B296,Restprodukter!$C$2:$C$37,D296)&gt;=0,SUMIFS(Restprodukter!$G$2:$G$37,Restprodukter!$A$2:$A$37,C296,Restprodukter!$B$2:$B$37,B296,Restprodukter!$C$2:$C$37,D296)*IF(A296="Energi",1-VLOOKUP(C296,'Forbrug til andet'!$A$9:$D$14,MATCH('Forbrug af biomasse'!D296,'Forbrug til andet'!$A$8:$D$8,0),FALSE),VLOOKUP(C296,'Forbrug til andet'!$A$9:$D$14,MATCH('Forbrug af biomasse'!D296,'Forbrug til andet'!$A$8:$D$8,0),FALSE)),0)</f>
        <v>#REF!</v>
      </c>
      <c r="F296" s="171">
        <v>1</v>
      </c>
      <c r="G296" s="171">
        <v>1</v>
      </c>
    </row>
    <row r="297" spans="1:7" x14ac:dyDescent="0.25">
      <c r="A297" t="s">
        <v>165</v>
      </c>
      <c r="B297" t="s">
        <v>24</v>
      </c>
      <c r="C297" t="str">
        <f t="shared" si="22"/>
        <v>Rapsolie</v>
      </c>
      <c r="D297">
        <f t="shared" si="20"/>
        <v>2019</v>
      </c>
      <c r="E297" t="e">
        <f>IF(SUMIFS(Restprodukter!$G$2:$G$37,Restprodukter!$A$2:$A$37,C297,Restprodukter!$B$2:$B$37,B297,Restprodukter!$C$2:$C$37,D297)&gt;=0,SUMIFS(Restprodukter!$G$2:$G$37,Restprodukter!$A$2:$A$37,C297,Restprodukter!$B$2:$B$37,B297,Restprodukter!$C$2:$C$37,D297)*IF(A297="Energi",1-VLOOKUP(C297,'Forbrug til andet'!$A$9:$D$14,MATCH('Forbrug af biomasse'!D297,'Forbrug til andet'!$A$8:$D$8,0),FALSE),VLOOKUP(C297,'Forbrug til andet'!$A$9:$D$14,MATCH('Forbrug af biomasse'!D297,'Forbrug til andet'!$A$8:$D$8,0),FALSE)),0)</f>
        <v>#REF!</v>
      </c>
      <c r="F297" s="171">
        <v>1</v>
      </c>
      <c r="G297" s="171">
        <v>1</v>
      </c>
    </row>
    <row r="298" spans="1:7" x14ac:dyDescent="0.25">
      <c r="A298" t="s">
        <v>165</v>
      </c>
      <c r="B298" t="s">
        <v>24</v>
      </c>
      <c r="C298" t="str">
        <f t="shared" si="22"/>
        <v>Pil &amp; poppel</v>
      </c>
      <c r="D298">
        <f t="shared" si="20"/>
        <v>2019</v>
      </c>
      <c r="E298" t="e">
        <f>IF(SUMIFS(Restprodukter!$G$2:$G$37,Restprodukter!$A$2:$A$37,C298,Restprodukter!$B$2:$B$37,B298,Restprodukter!$C$2:$C$37,D298)&gt;=0,SUMIFS(Restprodukter!$G$2:$G$37,Restprodukter!$A$2:$A$37,C298,Restprodukter!$B$2:$B$37,B298,Restprodukter!$C$2:$C$37,D298)*IF(A298="Energi",1-VLOOKUP(C298,'Forbrug til andet'!$A$9:$D$14,MATCH('Forbrug af biomasse'!D298,'Forbrug til andet'!$A$8:$D$8,0),FALSE),VLOOKUP(C298,'Forbrug til andet'!$A$9:$D$14,MATCH('Forbrug af biomasse'!D298,'Forbrug til andet'!$A$8:$D$8,0),FALSE)),0)</f>
        <v>#REF!</v>
      </c>
      <c r="F298" s="171">
        <v>1</v>
      </c>
      <c r="G298" s="171">
        <v>1</v>
      </c>
    </row>
    <row r="299" spans="1:7" x14ac:dyDescent="0.25">
      <c r="A299" t="s">
        <v>165</v>
      </c>
      <c r="B299" t="s">
        <v>24</v>
      </c>
      <c r="C299" t="str">
        <f t="shared" si="22"/>
        <v>Træ til energi</v>
      </c>
      <c r="D299">
        <f t="shared" si="20"/>
        <v>2019</v>
      </c>
      <c r="E299" t="e">
        <f>IF(SUMIFS(Restprodukter!$G$2:$G$37,Restprodukter!$A$2:$A$37,C299,Restprodukter!$B$2:$B$37,B299,Restprodukter!$C$2:$C$37,D299)&gt;=0,SUMIFS(Restprodukter!$G$2:$G$37,Restprodukter!$A$2:$A$37,C299,Restprodukter!$B$2:$B$37,B299,Restprodukter!$C$2:$C$37,D299)*IF(A299="Energi",1-VLOOKUP(C299,'Forbrug til andet'!$A$9:$D$14,MATCH('Forbrug af biomasse'!D299,'Forbrug til andet'!$A$8:$D$8,0),FALSE),VLOOKUP(C299,'Forbrug til andet'!$A$9:$D$14,MATCH('Forbrug af biomasse'!D299,'Forbrug til andet'!$A$8:$D$8,0),FALSE)),0)</f>
        <v>#REF!</v>
      </c>
      <c r="F299" s="171">
        <v>1</v>
      </c>
      <c r="G299" s="171">
        <v>1</v>
      </c>
    </row>
    <row r="300" spans="1:7" x14ac:dyDescent="0.25">
      <c r="A300" t="s">
        <v>165</v>
      </c>
      <c r="B300" t="s">
        <v>24</v>
      </c>
      <c r="C300" t="str">
        <f t="shared" si="22"/>
        <v>Have/parkaffald</v>
      </c>
      <c r="D300">
        <f t="shared" si="20"/>
        <v>2019</v>
      </c>
      <c r="E300" t="e">
        <f>IF(SUMIFS(Restprodukter!$G$2:$G$37,Restprodukter!$A$2:$A$37,C300,Restprodukter!$B$2:$B$37,B300,Restprodukter!$C$2:$C$37,D300)&gt;=0,SUMIFS(Restprodukter!$G$2:$G$37,Restprodukter!$A$2:$A$37,C300,Restprodukter!$B$2:$B$37,B300,Restprodukter!$C$2:$C$37,D300)*IF(A300="Energi",1-VLOOKUP(C300,'Forbrug til andet'!$A$9:$D$14,MATCH('Forbrug af biomasse'!D300,'Forbrug til andet'!$A$8:$D$8,0),FALSE),VLOOKUP(C300,'Forbrug til andet'!$A$9:$D$14,MATCH('Forbrug af biomasse'!D300,'Forbrug til andet'!$A$8:$D$8,0),FALSE)),0)</f>
        <v>#REF!</v>
      </c>
      <c r="F300" s="171">
        <v>1</v>
      </c>
      <c r="G300" s="171">
        <v>1</v>
      </c>
    </row>
    <row r="301" spans="1:7" x14ac:dyDescent="0.25">
      <c r="A301" t="s">
        <v>165</v>
      </c>
      <c r="B301" t="s">
        <v>24</v>
      </c>
      <c r="C301" t="str">
        <f t="shared" si="22"/>
        <v>Bioaffald</v>
      </c>
      <c r="D301">
        <f t="shared" si="20"/>
        <v>2019</v>
      </c>
      <c r="E301" t="e">
        <f>IF(SUMIFS(Restprodukter!$G$2:$G$37,Restprodukter!$A$2:$A$37,C301,Restprodukter!$B$2:$B$37,B301,Restprodukter!$C$2:$C$37,D301)&gt;=0,SUMIFS(Restprodukter!$G$2:$G$37,Restprodukter!$A$2:$A$37,C301,Restprodukter!$B$2:$B$37,B301,Restprodukter!$C$2:$C$37,D301)*IF(A301="Energi",1-VLOOKUP(C301,'Forbrug til andet'!$A$9:$D$14,MATCH('Forbrug af biomasse'!D301,'Forbrug til andet'!$A$8:$D$8,0),FALSE),VLOOKUP(C301,'Forbrug til andet'!$A$9:$D$14,MATCH('Forbrug af biomasse'!D301,'Forbrug til andet'!$A$8:$D$8,0),FALSE)),0)</f>
        <v>#REF!</v>
      </c>
      <c r="F301" s="171">
        <v>1</v>
      </c>
      <c r="G301" s="171">
        <v>1</v>
      </c>
    </row>
    <row r="302" spans="1:7" x14ac:dyDescent="0.25">
      <c r="A302" t="s">
        <v>121</v>
      </c>
      <c r="B302" t="s">
        <v>23</v>
      </c>
      <c r="C302" t="str">
        <f t="shared" si="22"/>
        <v>Halm</v>
      </c>
      <c r="D302">
        <f t="shared" ref="D302:D325" si="23">År2</f>
        <v>2030</v>
      </c>
      <c r="E302" t="e">
        <f>IF(SUMIFS(Restprodukter!$G$2:$G$37,Restprodukter!$A$2:$A$37,C302,Restprodukter!$B$2:$B$37,B302,Restprodukter!$C$2:$C$37,D302)&gt;=0,SUMIFS(Restprodukter!$G$2:$G$37,Restprodukter!$A$2:$A$37,C302,Restprodukter!$B$2:$B$37,B302,Restprodukter!$C$2:$C$37,D302)*IF(A302="Energi",1-VLOOKUP(C302,'Forbrug til andet'!$A$9:$D$14,MATCH('Forbrug af biomasse'!D302,'Forbrug til andet'!$A$8:$D$8,0),FALSE),VLOOKUP(C302,'Forbrug til andet'!$A$9:$D$14,MATCH('Forbrug af biomasse'!D302,'Forbrug til andet'!$A$8:$D$8,0),FALSE)),0)</f>
        <v>#REF!</v>
      </c>
      <c r="F302" s="171">
        <v>1</v>
      </c>
    </row>
    <row r="303" spans="1:7" x14ac:dyDescent="0.25">
      <c r="A303" t="s">
        <v>121</v>
      </c>
      <c r="B303" t="s">
        <v>23</v>
      </c>
      <c r="C303" t="str">
        <f t="shared" si="22"/>
        <v>Rapsolie</v>
      </c>
      <c r="D303">
        <f t="shared" si="23"/>
        <v>2030</v>
      </c>
      <c r="E303" t="e">
        <f>IF(SUMIFS(Restprodukter!$G$2:$G$37,Restprodukter!$A$2:$A$37,C303,Restprodukter!$B$2:$B$37,B303,Restprodukter!$C$2:$C$37,D303)&gt;=0,SUMIFS(Restprodukter!$G$2:$G$37,Restprodukter!$A$2:$A$37,C303,Restprodukter!$B$2:$B$37,B303,Restprodukter!$C$2:$C$37,D303)*IF(A303="Energi",1-VLOOKUP(C303,'Forbrug til andet'!$A$9:$D$14,MATCH('Forbrug af biomasse'!D303,'Forbrug til andet'!$A$8:$D$8,0),FALSE),VLOOKUP(C303,'Forbrug til andet'!$A$9:$D$14,MATCH('Forbrug af biomasse'!D303,'Forbrug til andet'!$A$8:$D$8,0),FALSE)),0)</f>
        <v>#REF!</v>
      </c>
      <c r="F303" s="171">
        <v>1</v>
      </c>
    </row>
    <row r="304" spans="1:7" x14ac:dyDescent="0.25">
      <c r="A304" t="s">
        <v>121</v>
      </c>
      <c r="B304" t="s">
        <v>23</v>
      </c>
      <c r="C304" t="str">
        <f t="shared" si="22"/>
        <v>Pil &amp; poppel</v>
      </c>
      <c r="D304">
        <f t="shared" si="23"/>
        <v>2030</v>
      </c>
      <c r="E304" t="e">
        <f>IF(SUMIFS(Restprodukter!$G$2:$G$37,Restprodukter!$A$2:$A$37,C304,Restprodukter!$B$2:$B$37,B304,Restprodukter!$C$2:$C$37,D304)&gt;=0,SUMIFS(Restprodukter!$G$2:$G$37,Restprodukter!$A$2:$A$37,C304,Restprodukter!$B$2:$B$37,B304,Restprodukter!$C$2:$C$37,D304)*IF(A304="Energi",1-VLOOKUP(C304,'Forbrug til andet'!$A$9:$D$14,MATCH('Forbrug af biomasse'!D304,'Forbrug til andet'!$A$8:$D$8,0),FALSE),VLOOKUP(C304,'Forbrug til andet'!$A$9:$D$14,MATCH('Forbrug af biomasse'!D304,'Forbrug til andet'!$A$8:$D$8,0),FALSE)),0)</f>
        <v>#REF!</v>
      </c>
      <c r="F304" s="171">
        <v>1</v>
      </c>
    </row>
    <row r="305" spans="1:7" x14ac:dyDescent="0.25">
      <c r="A305" t="s">
        <v>121</v>
      </c>
      <c r="B305" t="s">
        <v>23</v>
      </c>
      <c r="C305" t="str">
        <f t="shared" si="22"/>
        <v>Træ til energi</v>
      </c>
      <c r="D305">
        <f t="shared" si="23"/>
        <v>2030</v>
      </c>
      <c r="E305" t="e">
        <f>IF(SUMIFS(Restprodukter!$G$2:$G$37,Restprodukter!$A$2:$A$37,C305,Restprodukter!$B$2:$B$37,B305,Restprodukter!$C$2:$C$37,D305)&gt;=0,SUMIFS(Restprodukter!$G$2:$G$37,Restprodukter!$A$2:$A$37,C305,Restprodukter!$B$2:$B$37,B305,Restprodukter!$C$2:$C$37,D305)*IF(A305="Energi",1-VLOOKUP(C305,'Forbrug til andet'!$A$9:$D$14,MATCH('Forbrug af biomasse'!D305,'Forbrug til andet'!$A$8:$D$8,0),FALSE),VLOOKUP(C305,'Forbrug til andet'!$A$9:$D$14,MATCH('Forbrug af biomasse'!D305,'Forbrug til andet'!$A$8:$D$8,0),FALSE)),0)</f>
        <v>#REF!</v>
      </c>
      <c r="F305" s="171">
        <v>1</v>
      </c>
    </row>
    <row r="306" spans="1:7" x14ac:dyDescent="0.25">
      <c r="A306" t="s">
        <v>121</v>
      </c>
      <c r="B306" t="s">
        <v>23</v>
      </c>
      <c r="C306" t="str">
        <f t="shared" si="22"/>
        <v>Have/parkaffald</v>
      </c>
      <c r="D306">
        <f t="shared" si="23"/>
        <v>2030</v>
      </c>
      <c r="E306" t="e">
        <f>IF(SUMIFS(Restprodukter!$G$2:$G$37,Restprodukter!$A$2:$A$37,C306,Restprodukter!$B$2:$B$37,B306,Restprodukter!$C$2:$C$37,D306)&gt;=0,SUMIFS(Restprodukter!$G$2:$G$37,Restprodukter!$A$2:$A$37,C306,Restprodukter!$B$2:$B$37,B306,Restprodukter!$C$2:$C$37,D306)*IF(A306="Energi",1-VLOOKUP(C306,'Forbrug til andet'!$A$9:$D$14,MATCH('Forbrug af biomasse'!D306,'Forbrug til andet'!$A$8:$D$8,0),FALSE),VLOOKUP(C306,'Forbrug til andet'!$A$9:$D$14,MATCH('Forbrug af biomasse'!D306,'Forbrug til andet'!$A$8:$D$8,0),FALSE)),0)</f>
        <v>#REF!</v>
      </c>
      <c r="F306" s="171">
        <v>1</v>
      </c>
    </row>
    <row r="307" spans="1:7" x14ac:dyDescent="0.25">
      <c r="A307" t="s">
        <v>121</v>
      </c>
      <c r="B307" t="s">
        <v>23</v>
      </c>
      <c r="C307" t="str">
        <f t="shared" si="22"/>
        <v>Bioaffald</v>
      </c>
      <c r="D307">
        <f t="shared" si="23"/>
        <v>2030</v>
      </c>
      <c r="E307" t="e">
        <f>IF(SUMIFS(Restprodukter!$G$2:$G$37,Restprodukter!$A$2:$A$37,C307,Restprodukter!$B$2:$B$37,B307,Restprodukter!$C$2:$C$37,D307)&gt;=0,SUMIFS(Restprodukter!$G$2:$G$37,Restprodukter!$A$2:$A$37,C307,Restprodukter!$B$2:$B$37,B307,Restprodukter!$C$2:$C$37,D307)*IF(A307="Energi",1-VLOOKUP(C307,'Forbrug til andet'!$A$9:$D$14,MATCH('Forbrug af biomasse'!D307,'Forbrug til andet'!$A$8:$D$8,0),FALSE),VLOOKUP(C307,'Forbrug til andet'!$A$9:$D$14,MATCH('Forbrug af biomasse'!D307,'Forbrug til andet'!$A$8:$D$8,0),FALSE)),0)</f>
        <v>#REF!</v>
      </c>
      <c r="F307" s="171">
        <v>1</v>
      </c>
    </row>
    <row r="308" spans="1:7" x14ac:dyDescent="0.25">
      <c r="A308" t="s">
        <v>165</v>
      </c>
      <c r="B308" t="s">
        <v>23</v>
      </c>
      <c r="C308" t="str">
        <f t="shared" si="22"/>
        <v>Halm</v>
      </c>
      <c r="D308">
        <f t="shared" si="23"/>
        <v>2030</v>
      </c>
      <c r="E308" t="e">
        <f>IF(SUMIFS(Restprodukter!$G$2:$G$37,Restprodukter!$A$2:$A$37,C308,Restprodukter!$B$2:$B$37,B308,Restprodukter!$C$2:$C$37,D308)&gt;=0,SUMIFS(Restprodukter!$G$2:$G$37,Restprodukter!$A$2:$A$37,C308,Restprodukter!$B$2:$B$37,B308,Restprodukter!$C$2:$C$37,D308)*IF(A308="Energi",1-VLOOKUP(C308,'Forbrug til andet'!$A$9:$D$14,MATCH('Forbrug af biomasse'!D308,'Forbrug til andet'!$A$8:$D$8,0),FALSE),VLOOKUP(C308,'Forbrug til andet'!$A$9:$D$14,MATCH('Forbrug af biomasse'!D308,'Forbrug til andet'!$A$8:$D$8,0),FALSE)),0)</f>
        <v>#REF!</v>
      </c>
      <c r="F308" s="171">
        <v>1</v>
      </c>
      <c r="G308" s="171">
        <v>1</v>
      </c>
    </row>
    <row r="309" spans="1:7" x14ac:dyDescent="0.25">
      <c r="A309" t="s">
        <v>165</v>
      </c>
      <c r="B309" t="s">
        <v>23</v>
      </c>
      <c r="C309" t="str">
        <f t="shared" si="22"/>
        <v>Rapsolie</v>
      </c>
      <c r="D309">
        <f t="shared" si="23"/>
        <v>2030</v>
      </c>
      <c r="E309" t="e">
        <f>IF(SUMIFS(Restprodukter!$G$2:$G$37,Restprodukter!$A$2:$A$37,C309,Restprodukter!$B$2:$B$37,B309,Restprodukter!$C$2:$C$37,D309)&gt;=0,SUMIFS(Restprodukter!$G$2:$G$37,Restprodukter!$A$2:$A$37,C309,Restprodukter!$B$2:$B$37,B309,Restprodukter!$C$2:$C$37,D309)*IF(A309="Energi",1-VLOOKUP(C309,'Forbrug til andet'!$A$9:$D$14,MATCH('Forbrug af biomasse'!D309,'Forbrug til andet'!$A$8:$D$8,0),FALSE),VLOOKUP(C309,'Forbrug til andet'!$A$9:$D$14,MATCH('Forbrug af biomasse'!D309,'Forbrug til andet'!$A$8:$D$8,0),FALSE)),0)</f>
        <v>#REF!</v>
      </c>
      <c r="F309" s="171">
        <v>1</v>
      </c>
      <c r="G309" s="171">
        <v>1</v>
      </c>
    </row>
    <row r="310" spans="1:7" x14ac:dyDescent="0.25">
      <c r="A310" t="s">
        <v>165</v>
      </c>
      <c r="B310" t="s">
        <v>23</v>
      </c>
      <c r="C310" t="str">
        <f t="shared" si="22"/>
        <v>Pil &amp; poppel</v>
      </c>
      <c r="D310">
        <f t="shared" si="23"/>
        <v>2030</v>
      </c>
      <c r="E310" t="e">
        <f>IF(SUMIFS(Restprodukter!$G$2:$G$37,Restprodukter!$A$2:$A$37,C310,Restprodukter!$B$2:$B$37,B310,Restprodukter!$C$2:$C$37,D310)&gt;=0,SUMIFS(Restprodukter!$G$2:$G$37,Restprodukter!$A$2:$A$37,C310,Restprodukter!$B$2:$B$37,B310,Restprodukter!$C$2:$C$37,D310)*IF(A310="Energi",1-VLOOKUP(C310,'Forbrug til andet'!$A$9:$D$14,MATCH('Forbrug af biomasse'!D310,'Forbrug til andet'!$A$8:$D$8,0),FALSE),VLOOKUP(C310,'Forbrug til andet'!$A$9:$D$14,MATCH('Forbrug af biomasse'!D310,'Forbrug til andet'!$A$8:$D$8,0),FALSE)),0)</f>
        <v>#REF!</v>
      </c>
      <c r="F310" s="171">
        <v>1</v>
      </c>
      <c r="G310" s="171">
        <v>1</v>
      </c>
    </row>
    <row r="311" spans="1:7" x14ac:dyDescent="0.25">
      <c r="A311" t="s">
        <v>165</v>
      </c>
      <c r="B311" t="s">
        <v>23</v>
      </c>
      <c r="C311" t="str">
        <f t="shared" si="22"/>
        <v>Træ til energi</v>
      </c>
      <c r="D311">
        <f t="shared" si="23"/>
        <v>2030</v>
      </c>
      <c r="E311" t="e">
        <f>IF(SUMIFS(Restprodukter!$G$2:$G$37,Restprodukter!$A$2:$A$37,C311,Restprodukter!$B$2:$B$37,B311,Restprodukter!$C$2:$C$37,D311)&gt;=0,SUMIFS(Restprodukter!$G$2:$G$37,Restprodukter!$A$2:$A$37,C311,Restprodukter!$B$2:$B$37,B311,Restprodukter!$C$2:$C$37,D311)*IF(A311="Energi",1-VLOOKUP(C311,'Forbrug til andet'!$A$9:$D$14,MATCH('Forbrug af biomasse'!D311,'Forbrug til andet'!$A$8:$D$8,0),FALSE),VLOOKUP(C311,'Forbrug til andet'!$A$9:$D$14,MATCH('Forbrug af biomasse'!D311,'Forbrug til andet'!$A$8:$D$8,0),FALSE)),0)</f>
        <v>#REF!</v>
      </c>
      <c r="F311" s="171">
        <v>1</v>
      </c>
      <c r="G311" s="171">
        <v>1</v>
      </c>
    </row>
    <row r="312" spans="1:7" x14ac:dyDescent="0.25">
      <c r="A312" t="s">
        <v>165</v>
      </c>
      <c r="B312" t="s">
        <v>23</v>
      </c>
      <c r="C312" t="str">
        <f t="shared" si="22"/>
        <v>Have/parkaffald</v>
      </c>
      <c r="D312">
        <f t="shared" si="23"/>
        <v>2030</v>
      </c>
      <c r="E312" t="e">
        <f>IF(SUMIFS(Restprodukter!$G$2:$G$37,Restprodukter!$A$2:$A$37,C312,Restprodukter!$B$2:$B$37,B312,Restprodukter!$C$2:$C$37,D312)&gt;=0,SUMIFS(Restprodukter!$G$2:$G$37,Restprodukter!$A$2:$A$37,C312,Restprodukter!$B$2:$B$37,B312,Restprodukter!$C$2:$C$37,D312)*IF(A312="Energi",1-VLOOKUP(C312,'Forbrug til andet'!$A$9:$D$14,MATCH('Forbrug af biomasse'!D312,'Forbrug til andet'!$A$8:$D$8,0),FALSE),VLOOKUP(C312,'Forbrug til andet'!$A$9:$D$14,MATCH('Forbrug af biomasse'!D312,'Forbrug til andet'!$A$8:$D$8,0),FALSE)),0)</f>
        <v>#REF!</v>
      </c>
      <c r="F312" s="171">
        <v>1</v>
      </c>
      <c r="G312" s="171">
        <v>1</v>
      </c>
    </row>
    <row r="313" spans="1:7" x14ac:dyDescent="0.25">
      <c r="A313" t="s">
        <v>165</v>
      </c>
      <c r="B313" t="s">
        <v>23</v>
      </c>
      <c r="C313" t="str">
        <f t="shared" si="22"/>
        <v>Bioaffald</v>
      </c>
      <c r="D313">
        <f t="shared" si="23"/>
        <v>2030</v>
      </c>
      <c r="E313" t="e">
        <f>IF(SUMIFS(Restprodukter!$G$2:$G$37,Restprodukter!$A$2:$A$37,C313,Restprodukter!$B$2:$B$37,B313,Restprodukter!$C$2:$C$37,D313)&gt;=0,SUMIFS(Restprodukter!$G$2:$G$37,Restprodukter!$A$2:$A$37,C313,Restprodukter!$B$2:$B$37,B313,Restprodukter!$C$2:$C$37,D313)*IF(A313="Energi",1-VLOOKUP(C313,'Forbrug til andet'!$A$9:$D$14,MATCH('Forbrug af biomasse'!D313,'Forbrug til andet'!$A$8:$D$8,0),FALSE),VLOOKUP(C313,'Forbrug til andet'!$A$9:$D$14,MATCH('Forbrug af biomasse'!D313,'Forbrug til andet'!$A$8:$D$8,0),FALSE)),0)</f>
        <v>#REF!</v>
      </c>
      <c r="F313" s="171">
        <v>1</v>
      </c>
      <c r="G313" s="171">
        <v>1</v>
      </c>
    </row>
    <row r="314" spans="1:7" x14ac:dyDescent="0.25">
      <c r="A314" t="s">
        <v>121</v>
      </c>
      <c r="B314" t="s">
        <v>24</v>
      </c>
      <c r="C314" t="str">
        <f t="shared" si="22"/>
        <v>Halm</v>
      </c>
      <c r="D314">
        <f t="shared" si="23"/>
        <v>2030</v>
      </c>
      <c r="E314" t="e">
        <f>IF(SUMIFS(Restprodukter!$G$2:$G$37,Restprodukter!$A$2:$A$37,C314,Restprodukter!$B$2:$B$37,B314,Restprodukter!$C$2:$C$37,D314)&gt;=0,SUMIFS(Restprodukter!$G$2:$G$37,Restprodukter!$A$2:$A$37,C314,Restprodukter!$B$2:$B$37,B314,Restprodukter!$C$2:$C$37,D314)*IF(A314="Energi",1-VLOOKUP(C314,'Forbrug til andet'!$A$9:$D$14,MATCH('Forbrug af biomasse'!D314,'Forbrug til andet'!$A$8:$D$8,0),FALSE),VLOOKUP(C314,'Forbrug til andet'!$A$9:$D$14,MATCH('Forbrug af biomasse'!D314,'Forbrug til andet'!$A$8:$D$8,0),FALSE)),0)</f>
        <v>#REF!</v>
      </c>
      <c r="F314" s="171">
        <v>1</v>
      </c>
    </row>
    <row r="315" spans="1:7" x14ac:dyDescent="0.25">
      <c r="A315" t="s">
        <v>121</v>
      </c>
      <c r="B315" t="s">
        <v>24</v>
      </c>
      <c r="C315" t="str">
        <f t="shared" si="22"/>
        <v>Rapsolie</v>
      </c>
      <c r="D315">
        <f t="shared" si="23"/>
        <v>2030</v>
      </c>
      <c r="E315" t="e">
        <f>IF(SUMIFS(Restprodukter!$G$2:$G$37,Restprodukter!$A$2:$A$37,C315,Restprodukter!$B$2:$B$37,B315,Restprodukter!$C$2:$C$37,D315)&gt;=0,SUMIFS(Restprodukter!$G$2:$G$37,Restprodukter!$A$2:$A$37,C315,Restprodukter!$B$2:$B$37,B315,Restprodukter!$C$2:$C$37,D315)*IF(A315="Energi",1-VLOOKUP(C315,'Forbrug til andet'!$A$9:$D$14,MATCH('Forbrug af biomasse'!D315,'Forbrug til andet'!$A$8:$D$8,0),FALSE),VLOOKUP(C315,'Forbrug til andet'!$A$9:$D$14,MATCH('Forbrug af biomasse'!D315,'Forbrug til andet'!$A$8:$D$8,0),FALSE)),0)</f>
        <v>#REF!</v>
      </c>
      <c r="F315" s="171">
        <v>1</v>
      </c>
    </row>
    <row r="316" spans="1:7" x14ac:dyDescent="0.25">
      <c r="A316" t="s">
        <v>121</v>
      </c>
      <c r="B316" t="s">
        <v>24</v>
      </c>
      <c r="C316" t="str">
        <f t="shared" ref="C316:C347" si="24">C310</f>
        <v>Pil &amp; poppel</v>
      </c>
      <c r="D316">
        <f t="shared" si="23"/>
        <v>2030</v>
      </c>
      <c r="E316" t="e">
        <f>IF(SUMIFS(Restprodukter!$G$2:$G$37,Restprodukter!$A$2:$A$37,C316,Restprodukter!$B$2:$B$37,B316,Restprodukter!$C$2:$C$37,D316)&gt;=0,SUMIFS(Restprodukter!$G$2:$G$37,Restprodukter!$A$2:$A$37,C316,Restprodukter!$B$2:$B$37,B316,Restprodukter!$C$2:$C$37,D316)*IF(A316="Energi",1-VLOOKUP(C316,'Forbrug til andet'!$A$9:$D$14,MATCH('Forbrug af biomasse'!D316,'Forbrug til andet'!$A$8:$D$8,0),FALSE),VLOOKUP(C316,'Forbrug til andet'!$A$9:$D$14,MATCH('Forbrug af biomasse'!D316,'Forbrug til andet'!$A$8:$D$8,0),FALSE)),0)</f>
        <v>#REF!</v>
      </c>
      <c r="F316" s="171">
        <v>1</v>
      </c>
    </row>
    <row r="317" spans="1:7" x14ac:dyDescent="0.25">
      <c r="A317" t="s">
        <v>121</v>
      </c>
      <c r="B317" t="s">
        <v>24</v>
      </c>
      <c r="C317" t="str">
        <f t="shared" si="24"/>
        <v>Træ til energi</v>
      </c>
      <c r="D317">
        <f t="shared" si="23"/>
        <v>2030</v>
      </c>
      <c r="E317" t="e">
        <f>IF(SUMIFS(Restprodukter!$G$2:$G$37,Restprodukter!$A$2:$A$37,C317,Restprodukter!$B$2:$B$37,B317,Restprodukter!$C$2:$C$37,D317)&gt;=0,SUMIFS(Restprodukter!$G$2:$G$37,Restprodukter!$A$2:$A$37,C317,Restprodukter!$B$2:$B$37,B317,Restprodukter!$C$2:$C$37,D317)*IF(A317="Energi",1-VLOOKUP(C317,'Forbrug til andet'!$A$9:$D$14,MATCH('Forbrug af biomasse'!D317,'Forbrug til andet'!$A$8:$D$8,0),FALSE),VLOOKUP(C317,'Forbrug til andet'!$A$9:$D$14,MATCH('Forbrug af biomasse'!D317,'Forbrug til andet'!$A$8:$D$8,0),FALSE)),0)</f>
        <v>#REF!</v>
      </c>
      <c r="F317" s="171">
        <v>1</v>
      </c>
    </row>
    <row r="318" spans="1:7" x14ac:dyDescent="0.25">
      <c r="A318" t="s">
        <v>121</v>
      </c>
      <c r="B318" t="s">
        <v>24</v>
      </c>
      <c r="C318" t="str">
        <f t="shared" si="24"/>
        <v>Have/parkaffald</v>
      </c>
      <c r="D318">
        <f t="shared" si="23"/>
        <v>2030</v>
      </c>
      <c r="E318" t="e">
        <f>IF(SUMIFS(Restprodukter!$G$2:$G$37,Restprodukter!$A$2:$A$37,C318,Restprodukter!$B$2:$B$37,B318,Restprodukter!$C$2:$C$37,D318)&gt;=0,SUMIFS(Restprodukter!$G$2:$G$37,Restprodukter!$A$2:$A$37,C318,Restprodukter!$B$2:$B$37,B318,Restprodukter!$C$2:$C$37,D318)*IF(A318="Energi",1-VLOOKUP(C318,'Forbrug til andet'!$A$9:$D$14,MATCH('Forbrug af biomasse'!D318,'Forbrug til andet'!$A$8:$D$8,0),FALSE),VLOOKUP(C318,'Forbrug til andet'!$A$9:$D$14,MATCH('Forbrug af biomasse'!D318,'Forbrug til andet'!$A$8:$D$8,0),FALSE)),0)</f>
        <v>#REF!</v>
      </c>
      <c r="F318" s="171">
        <v>1</v>
      </c>
    </row>
    <row r="319" spans="1:7" x14ac:dyDescent="0.25">
      <c r="A319" t="s">
        <v>121</v>
      </c>
      <c r="B319" t="s">
        <v>24</v>
      </c>
      <c r="C319" t="str">
        <f t="shared" si="24"/>
        <v>Bioaffald</v>
      </c>
      <c r="D319">
        <f t="shared" si="23"/>
        <v>2030</v>
      </c>
      <c r="E319" t="e">
        <f>IF(SUMIFS(Restprodukter!$G$2:$G$37,Restprodukter!$A$2:$A$37,C319,Restprodukter!$B$2:$B$37,B319,Restprodukter!$C$2:$C$37,D319)&gt;=0,SUMIFS(Restprodukter!$G$2:$G$37,Restprodukter!$A$2:$A$37,C319,Restprodukter!$B$2:$B$37,B319,Restprodukter!$C$2:$C$37,D319)*IF(A319="Energi",1-VLOOKUP(C319,'Forbrug til andet'!$A$9:$D$14,MATCH('Forbrug af biomasse'!D319,'Forbrug til andet'!$A$8:$D$8,0),FALSE),VLOOKUP(C319,'Forbrug til andet'!$A$9:$D$14,MATCH('Forbrug af biomasse'!D319,'Forbrug til andet'!$A$8:$D$8,0),FALSE)),0)</f>
        <v>#REF!</v>
      </c>
      <c r="F319" s="171">
        <v>1</v>
      </c>
    </row>
    <row r="320" spans="1:7" x14ac:dyDescent="0.25">
      <c r="A320" t="s">
        <v>165</v>
      </c>
      <c r="B320" t="s">
        <v>24</v>
      </c>
      <c r="C320" t="str">
        <f t="shared" si="24"/>
        <v>Halm</v>
      </c>
      <c r="D320">
        <f t="shared" si="23"/>
        <v>2030</v>
      </c>
      <c r="E320" t="e">
        <f>IF(SUMIFS(Restprodukter!$G$2:$G$37,Restprodukter!$A$2:$A$37,C320,Restprodukter!$B$2:$B$37,B320,Restprodukter!$C$2:$C$37,D320)&gt;=0,SUMIFS(Restprodukter!$G$2:$G$37,Restprodukter!$A$2:$A$37,C320,Restprodukter!$B$2:$B$37,B320,Restprodukter!$C$2:$C$37,D320)*IF(A320="Energi",1-VLOOKUP(C320,'Forbrug til andet'!$A$9:$D$14,MATCH('Forbrug af biomasse'!D320,'Forbrug til andet'!$A$8:$D$8,0),FALSE),VLOOKUP(C320,'Forbrug til andet'!$A$9:$D$14,MATCH('Forbrug af biomasse'!D320,'Forbrug til andet'!$A$8:$D$8,0),FALSE)),0)</f>
        <v>#REF!</v>
      </c>
      <c r="F320" s="171">
        <v>1</v>
      </c>
      <c r="G320" s="171">
        <v>1</v>
      </c>
    </row>
    <row r="321" spans="1:7" x14ac:dyDescent="0.25">
      <c r="A321" t="s">
        <v>165</v>
      </c>
      <c r="B321" t="s">
        <v>24</v>
      </c>
      <c r="C321" t="str">
        <f t="shared" si="24"/>
        <v>Rapsolie</v>
      </c>
      <c r="D321">
        <f t="shared" si="23"/>
        <v>2030</v>
      </c>
      <c r="E321" t="e">
        <f>IF(SUMIFS(Restprodukter!$G$2:$G$37,Restprodukter!$A$2:$A$37,C321,Restprodukter!$B$2:$B$37,B321,Restprodukter!$C$2:$C$37,D321)&gt;=0,SUMIFS(Restprodukter!$G$2:$G$37,Restprodukter!$A$2:$A$37,C321,Restprodukter!$B$2:$B$37,B321,Restprodukter!$C$2:$C$37,D321)*IF(A321="Energi",1-VLOOKUP(C321,'Forbrug til andet'!$A$9:$D$14,MATCH('Forbrug af biomasse'!D321,'Forbrug til andet'!$A$8:$D$8,0),FALSE),VLOOKUP(C321,'Forbrug til andet'!$A$9:$D$14,MATCH('Forbrug af biomasse'!D321,'Forbrug til andet'!$A$8:$D$8,0),FALSE)),0)</f>
        <v>#REF!</v>
      </c>
      <c r="F321" s="171">
        <v>1</v>
      </c>
      <c r="G321" s="171">
        <v>1</v>
      </c>
    </row>
    <row r="322" spans="1:7" x14ac:dyDescent="0.25">
      <c r="A322" t="s">
        <v>165</v>
      </c>
      <c r="B322" t="s">
        <v>24</v>
      </c>
      <c r="C322" t="str">
        <f t="shared" si="24"/>
        <v>Pil &amp; poppel</v>
      </c>
      <c r="D322">
        <f t="shared" si="23"/>
        <v>2030</v>
      </c>
      <c r="E322" t="e">
        <f>IF(SUMIFS(Restprodukter!$G$2:$G$37,Restprodukter!$A$2:$A$37,C322,Restprodukter!$B$2:$B$37,B322,Restprodukter!$C$2:$C$37,D322)&gt;=0,SUMIFS(Restprodukter!$G$2:$G$37,Restprodukter!$A$2:$A$37,C322,Restprodukter!$B$2:$B$37,B322,Restprodukter!$C$2:$C$37,D322)*IF(A322="Energi",1-VLOOKUP(C322,'Forbrug til andet'!$A$9:$D$14,MATCH('Forbrug af biomasse'!D322,'Forbrug til andet'!$A$8:$D$8,0),FALSE),VLOOKUP(C322,'Forbrug til andet'!$A$9:$D$14,MATCH('Forbrug af biomasse'!D322,'Forbrug til andet'!$A$8:$D$8,0),FALSE)),0)</f>
        <v>#REF!</v>
      </c>
      <c r="F322" s="171">
        <v>1</v>
      </c>
      <c r="G322" s="171">
        <v>1</v>
      </c>
    </row>
    <row r="323" spans="1:7" x14ac:dyDescent="0.25">
      <c r="A323" t="s">
        <v>165</v>
      </c>
      <c r="B323" t="s">
        <v>24</v>
      </c>
      <c r="C323" t="str">
        <f t="shared" si="24"/>
        <v>Træ til energi</v>
      </c>
      <c r="D323">
        <f t="shared" si="23"/>
        <v>2030</v>
      </c>
      <c r="E323" t="e">
        <f>IF(SUMIFS(Restprodukter!$G$2:$G$37,Restprodukter!$A$2:$A$37,C323,Restprodukter!$B$2:$B$37,B323,Restprodukter!$C$2:$C$37,D323)&gt;=0,SUMIFS(Restprodukter!$G$2:$G$37,Restprodukter!$A$2:$A$37,C323,Restprodukter!$B$2:$B$37,B323,Restprodukter!$C$2:$C$37,D323)*IF(A323="Energi",1-VLOOKUP(C323,'Forbrug til andet'!$A$9:$D$14,MATCH('Forbrug af biomasse'!D323,'Forbrug til andet'!$A$8:$D$8,0),FALSE),VLOOKUP(C323,'Forbrug til andet'!$A$9:$D$14,MATCH('Forbrug af biomasse'!D323,'Forbrug til andet'!$A$8:$D$8,0),FALSE)),0)</f>
        <v>#REF!</v>
      </c>
      <c r="F323" s="171">
        <v>1</v>
      </c>
      <c r="G323" s="171">
        <v>1</v>
      </c>
    </row>
    <row r="324" spans="1:7" x14ac:dyDescent="0.25">
      <c r="A324" t="s">
        <v>165</v>
      </c>
      <c r="B324" t="s">
        <v>24</v>
      </c>
      <c r="C324" t="str">
        <f t="shared" si="24"/>
        <v>Have/parkaffald</v>
      </c>
      <c r="D324">
        <f t="shared" si="23"/>
        <v>2030</v>
      </c>
      <c r="E324" t="e">
        <f>IF(SUMIFS(Restprodukter!$G$2:$G$37,Restprodukter!$A$2:$A$37,C324,Restprodukter!$B$2:$B$37,B324,Restprodukter!$C$2:$C$37,D324)&gt;=0,SUMIFS(Restprodukter!$G$2:$G$37,Restprodukter!$A$2:$A$37,C324,Restprodukter!$B$2:$B$37,B324,Restprodukter!$C$2:$C$37,D324)*IF(A324="Energi",1-VLOOKUP(C324,'Forbrug til andet'!$A$9:$D$14,MATCH('Forbrug af biomasse'!D324,'Forbrug til andet'!$A$8:$D$8,0),FALSE),VLOOKUP(C324,'Forbrug til andet'!$A$9:$D$14,MATCH('Forbrug af biomasse'!D324,'Forbrug til andet'!$A$8:$D$8,0),FALSE)),0)</f>
        <v>#REF!</v>
      </c>
      <c r="F324" s="171">
        <v>1</v>
      </c>
      <c r="G324" s="171">
        <v>1</v>
      </c>
    </row>
    <row r="325" spans="1:7" x14ac:dyDescent="0.25">
      <c r="A325" t="s">
        <v>165</v>
      </c>
      <c r="B325" t="s">
        <v>24</v>
      </c>
      <c r="C325" t="str">
        <f t="shared" si="24"/>
        <v>Bioaffald</v>
      </c>
      <c r="D325">
        <f t="shared" si="23"/>
        <v>2030</v>
      </c>
      <c r="E325" t="e">
        <f>IF(SUMIFS(Restprodukter!$G$2:$G$37,Restprodukter!$A$2:$A$37,C325,Restprodukter!$B$2:$B$37,B325,Restprodukter!$C$2:$C$37,D325)&gt;=0,SUMIFS(Restprodukter!$G$2:$G$37,Restprodukter!$A$2:$A$37,C325,Restprodukter!$B$2:$B$37,B325,Restprodukter!$C$2:$C$37,D325)*IF(A325="Energi",1-VLOOKUP(C325,'Forbrug til andet'!$A$9:$D$14,MATCH('Forbrug af biomasse'!D325,'Forbrug til andet'!$A$8:$D$8,0),FALSE),VLOOKUP(C325,'Forbrug til andet'!$A$9:$D$14,MATCH('Forbrug af biomasse'!D325,'Forbrug til andet'!$A$8:$D$8,0),FALSE)),0)</f>
        <v>#REF!</v>
      </c>
      <c r="F325" s="171">
        <v>1</v>
      </c>
      <c r="G325" s="171">
        <v>1</v>
      </c>
    </row>
    <row r="326" spans="1:7" x14ac:dyDescent="0.25">
      <c r="A326" t="s">
        <v>121</v>
      </c>
      <c r="B326" t="s">
        <v>23</v>
      </c>
      <c r="C326" t="str">
        <f t="shared" si="24"/>
        <v>Halm</v>
      </c>
      <c r="D326">
        <f t="shared" ref="D326:D349" si="25">År3</f>
        <v>2050</v>
      </c>
      <c r="E326" t="e">
        <f>IF(SUMIFS(Restprodukter!$G$2:$G$37,Restprodukter!$A$2:$A$37,C326,Restprodukter!$B$2:$B$37,B326,Restprodukter!$C$2:$C$37,D326)&gt;=0,SUMIFS(Restprodukter!$G$2:$G$37,Restprodukter!$A$2:$A$37,C326,Restprodukter!$B$2:$B$37,B326,Restprodukter!$C$2:$C$37,D326)*IF(A326="Energi",1-VLOOKUP(C326,'Forbrug til andet'!$A$9:$D$14,MATCH('Forbrug af biomasse'!D326,'Forbrug til andet'!$A$8:$D$8,0),FALSE),VLOOKUP(C326,'Forbrug til andet'!$A$9:$D$14,MATCH('Forbrug af biomasse'!D326,'Forbrug til andet'!$A$8:$D$8,0),FALSE)),0)</f>
        <v>#REF!</v>
      </c>
      <c r="F326" s="171">
        <v>1</v>
      </c>
    </row>
    <row r="327" spans="1:7" x14ac:dyDescent="0.25">
      <c r="A327" t="s">
        <v>121</v>
      </c>
      <c r="B327" t="s">
        <v>23</v>
      </c>
      <c r="C327" t="str">
        <f t="shared" si="24"/>
        <v>Rapsolie</v>
      </c>
      <c r="D327">
        <f t="shared" si="25"/>
        <v>2050</v>
      </c>
      <c r="E327" t="e">
        <f>IF(SUMIFS(Restprodukter!$G$2:$G$37,Restprodukter!$A$2:$A$37,C327,Restprodukter!$B$2:$B$37,B327,Restprodukter!$C$2:$C$37,D327)&gt;=0,SUMIFS(Restprodukter!$G$2:$G$37,Restprodukter!$A$2:$A$37,C327,Restprodukter!$B$2:$B$37,B327,Restprodukter!$C$2:$C$37,D327)*IF(A327="Energi",1-VLOOKUP(C327,'Forbrug til andet'!$A$9:$D$14,MATCH('Forbrug af biomasse'!D327,'Forbrug til andet'!$A$8:$D$8,0),FALSE),VLOOKUP(C327,'Forbrug til andet'!$A$9:$D$14,MATCH('Forbrug af biomasse'!D327,'Forbrug til andet'!$A$8:$D$8,0),FALSE)),0)</f>
        <v>#REF!</v>
      </c>
      <c r="F327" s="171">
        <v>1</v>
      </c>
    </row>
    <row r="328" spans="1:7" x14ac:dyDescent="0.25">
      <c r="A328" t="s">
        <v>121</v>
      </c>
      <c r="B328" t="s">
        <v>23</v>
      </c>
      <c r="C328" t="str">
        <f t="shared" si="24"/>
        <v>Pil &amp; poppel</v>
      </c>
      <c r="D328">
        <f t="shared" si="25"/>
        <v>2050</v>
      </c>
      <c r="E328" t="e">
        <f>IF(SUMIFS(Restprodukter!$G$2:$G$37,Restprodukter!$A$2:$A$37,C328,Restprodukter!$B$2:$B$37,B328,Restprodukter!$C$2:$C$37,D328)&gt;=0,SUMIFS(Restprodukter!$G$2:$G$37,Restprodukter!$A$2:$A$37,C328,Restprodukter!$B$2:$B$37,B328,Restprodukter!$C$2:$C$37,D328)*IF(A328="Energi",1-VLOOKUP(C328,'Forbrug til andet'!$A$9:$D$14,MATCH('Forbrug af biomasse'!D328,'Forbrug til andet'!$A$8:$D$8,0),FALSE),VLOOKUP(C328,'Forbrug til andet'!$A$9:$D$14,MATCH('Forbrug af biomasse'!D328,'Forbrug til andet'!$A$8:$D$8,0),FALSE)),0)</f>
        <v>#REF!</v>
      </c>
      <c r="F328" s="171">
        <v>1</v>
      </c>
    </row>
    <row r="329" spans="1:7" x14ac:dyDescent="0.25">
      <c r="A329" t="s">
        <v>121</v>
      </c>
      <c r="B329" t="s">
        <v>23</v>
      </c>
      <c r="C329" t="str">
        <f t="shared" si="24"/>
        <v>Træ til energi</v>
      </c>
      <c r="D329">
        <f t="shared" si="25"/>
        <v>2050</v>
      </c>
      <c r="E329" t="e">
        <f>IF(SUMIFS(Restprodukter!$G$2:$G$37,Restprodukter!$A$2:$A$37,C329,Restprodukter!$B$2:$B$37,B329,Restprodukter!$C$2:$C$37,D329)&gt;=0,SUMIFS(Restprodukter!$G$2:$G$37,Restprodukter!$A$2:$A$37,C329,Restprodukter!$B$2:$B$37,B329,Restprodukter!$C$2:$C$37,D329)*IF(A329="Energi",1-VLOOKUP(C329,'Forbrug til andet'!$A$9:$D$14,MATCH('Forbrug af biomasse'!D329,'Forbrug til andet'!$A$8:$D$8,0),FALSE),VLOOKUP(C329,'Forbrug til andet'!$A$9:$D$14,MATCH('Forbrug af biomasse'!D329,'Forbrug til andet'!$A$8:$D$8,0),FALSE)),0)</f>
        <v>#REF!</v>
      </c>
      <c r="F329" s="171">
        <v>1</v>
      </c>
    </row>
    <row r="330" spans="1:7" x14ac:dyDescent="0.25">
      <c r="A330" t="s">
        <v>121</v>
      </c>
      <c r="B330" t="s">
        <v>23</v>
      </c>
      <c r="C330" t="str">
        <f t="shared" si="24"/>
        <v>Have/parkaffald</v>
      </c>
      <c r="D330">
        <f t="shared" si="25"/>
        <v>2050</v>
      </c>
      <c r="E330" t="e">
        <f>IF(SUMIFS(Restprodukter!$G$2:$G$37,Restprodukter!$A$2:$A$37,C330,Restprodukter!$B$2:$B$37,B330,Restprodukter!$C$2:$C$37,D330)&gt;=0,SUMIFS(Restprodukter!$G$2:$G$37,Restprodukter!$A$2:$A$37,C330,Restprodukter!$B$2:$B$37,B330,Restprodukter!$C$2:$C$37,D330)*IF(A330="Energi",1-VLOOKUP(C330,'Forbrug til andet'!$A$9:$D$14,MATCH('Forbrug af biomasse'!D330,'Forbrug til andet'!$A$8:$D$8,0),FALSE),VLOOKUP(C330,'Forbrug til andet'!$A$9:$D$14,MATCH('Forbrug af biomasse'!D330,'Forbrug til andet'!$A$8:$D$8,0),FALSE)),0)</f>
        <v>#REF!</v>
      </c>
      <c r="F330" s="171">
        <v>1</v>
      </c>
    </row>
    <row r="331" spans="1:7" x14ac:dyDescent="0.25">
      <c r="A331" t="s">
        <v>121</v>
      </c>
      <c r="B331" t="s">
        <v>23</v>
      </c>
      <c r="C331" t="str">
        <f t="shared" si="24"/>
        <v>Bioaffald</v>
      </c>
      <c r="D331">
        <f t="shared" si="25"/>
        <v>2050</v>
      </c>
      <c r="E331" t="e">
        <f>IF(SUMIFS(Restprodukter!$G$2:$G$37,Restprodukter!$A$2:$A$37,C331,Restprodukter!$B$2:$B$37,B331,Restprodukter!$C$2:$C$37,D331)&gt;=0,SUMIFS(Restprodukter!$G$2:$G$37,Restprodukter!$A$2:$A$37,C331,Restprodukter!$B$2:$B$37,B331,Restprodukter!$C$2:$C$37,D331)*IF(A331="Energi",1-VLOOKUP(C331,'Forbrug til andet'!$A$9:$D$14,MATCH('Forbrug af biomasse'!D331,'Forbrug til andet'!$A$8:$D$8,0),FALSE),VLOOKUP(C331,'Forbrug til andet'!$A$9:$D$14,MATCH('Forbrug af biomasse'!D331,'Forbrug til andet'!$A$8:$D$8,0),FALSE)),0)</f>
        <v>#REF!</v>
      </c>
      <c r="F331" s="171">
        <v>1</v>
      </c>
    </row>
    <row r="332" spans="1:7" x14ac:dyDescent="0.25">
      <c r="A332" t="s">
        <v>165</v>
      </c>
      <c r="B332" t="s">
        <v>23</v>
      </c>
      <c r="C332" t="str">
        <f t="shared" si="24"/>
        <v>Halm</v>
      </c>
      <c r="D332">
        <f t="shared" si="25"/>
        <v>2050</v>
      </c>
      <c r="E332" t="e">
        <f>IF(SUMIFS(Restprodukter!$G$2:$G$37,Restprodukter!$A$2:$A$37,C332,Restprodukter!$B$2:$B$37,B332,Restprodukter!$C$2:$C$37,D332)&gt;=0,SUMIFS(Restprodukter!$G$2:$G$37,Restprodukter!$A$2:$A$37,C332,Restprodukter!$B$2:$B$37,B332,Restprodukter!$C$2:$C$37,D332)*IF(A332="Energi",1-VLOOKUP(C332,'Forbrug til andet'!$A$9:$D$14,MATCH('Forbrug af biomasse'!D332,'Forbrug til andet'!$A$8:$D$8,0),FALSE),VLOOKUP(C332,'Forbrug til andet'!$A$9:$D$14,MATCH('Forbrug af biomasse'!D332,'Forbrug til andet'!$A$8:$D$8,0),FALSE)),0)</f>
        <v>#REF!</v>
      </c>
      <c r="F332" s="171">
        <v>1</v>
      </c>
      <c r="G332" s="171">
        <v>1</v>
      </c>
    </row>
    <row r="333" spans="1:7" x14ac:dyDescent="0.25">
      <c r="A333" t="s">
        <v>165</v>
      </c>
      <c r="B333" t="s">
        <v>23</v>
      </c>
      <c r="C333" t="str">
        <f t="shared" si="24"/>
        <v>Rapsolie</v>
      </c>
      <c r="D333">
        <f t="shared" si="25"/>
        <v>2050</v>
      </c>
      <c r="E333" t="e">
        <f>IF(SUMIFS(Restprodukter!$G$2:$G$37,Restprodukter!$A$2:$A$37,C333,Restprodukter!$B$2:$B$37,B333,Restprodukter!$C$2:$C$37,D333)&gt;=0,SUMIFS(Restprodukter!$G$2:$G$37,Restprodukter!$A$2:$A$37,C333,Restprodukter!$B$2:$B$37,B333,Restprodukter!$C$2:$C$37,D333)*IF(A333="Energi",1-VLOOKUP(C333,'Forbrug til andet'!$A$9:$D$14,MATCH('Forbrug af biomasse'!D333,'Forbrug til andet'!$A$8:$D$8,0),FALSE),VLOOKUP(C333,'Forbrug til andet'!$A$9:$D$14,MATCH('Forbrug af biomasse'!D333,'Forbrug til andet'!$A$8:$D$8,0),FALSE)),0)</f>
        <v>#REF!</v>
      </c>
      <c r="F333" s="171">
        <v>1</v>
      </c>
      <c r="G333" s="171">
        <v>1</v>
      </c>
    </row>
    <row r="334" spans="1:7" x14ac:dyDescent="0.25">
      <c r="A334" t="s">
        <v>165</v>
      </c>
      <c r="B334" t="s">
        <v>23</v>
      </c>
      <c r="C334" t="str">
        <f t="shared" si="24"/>
        <v>Pil &amp; poppel</v>
      </c>
      <c r="D334">
        <f t="shared" si="25"/>
        <v>2050</v>
      </c>
      <c r="E334" t="e">
        <f>IF(SUMIFS(Restprodukter!$G$2:$G$37,Restprodukter!$A$2:$A$37,C334,Restprodukter!$B$2:$B$37,B334,Restprodukter!$C$2:$C$37,D334)&gt;=0,SUMIFS(Restprodukter!$G$2:$G$37,Restprodukter!$A$2:$A$37,C334,Restprodukter!$B$2:$B$37,B334,Restprodukter!$C$2:$C$37,D334)*IF(A334="Energi",1-VLOOKUP(C334,'Forbrug til andet'!$A$9:$D$14,MATCH('Forbrug af biomasse'!D334,'Forbrug til andet'!$A$8:$D$8,0),FALSE),VLOOKUP(C334,'Forbrug til andet'!$A$9:$D$14,MATCH('Forbrug af biomasse'!D334,'Forbrug til andet'!$A$8:$D$8,0),FALSE)),0)</f>
        <v>#REF!</v>
      </c>
      <c r="F334" s="171">
        <v>1</v>
      </c>
      <c r="G334" s="171">
        <v>1</v>
      </c>
    </row>
    <row r="335" spans="1:7" x14ac:dyDescent="0.25">
      <c r="A335" t="s">
        <v>165</v>
      </c>
      <c r="B335" t="s">
        <v>23</v>
      </c>
      <c r="C335" t="str">
        <f t="shared" si="24"/>
        <v>Træ til energi</v>
      </c>
      <c r="D335">
        <f t="shared" si="25"/>
        <v>2050</v>
      </c>
      <c r="E335" t="e">
        <f>IF(SUMIFS(Restprodukter!$G$2:$G$37,Restprodukter!$A$2:$A$37,C335,Restprodukter!$B$2:$B$37,B335,Restprodukter!$C$2:$C$37,D335)&gt;=0,SUMIFS(Restprodukter!$G$2:$G$37,Restprodukter!$A$2:$A$37,C335,Restprodukter!$B$2:$B$37,B335,Restprodukter!$C$2:$C$37,D335)*IF(A335="Energi",1-VLOOKUP(C335,'Forbrug til andet'!$A$9:$D$14,MATCH('Forbrug af biomasse'!D335,'Forbrug til andet'!$A$8:$D$8,0),FALSE),VLOOKUP(C335,'Forbrug til andet'!$A$9:$D$14,MATCH('Forbrug af biomasse'!D335,'Forbrug til andet'!$A$8:$D$8,0),FALSE)),0)</f>
        <v>#REF!</v>
      </c>
      <c r="F335" s="171">
        <v>1</v>
      </c>
      <c r="G335" s="171">
        <v>1</v>
      </c>
    </row>
    <row r="336" spans="1:7" x14ac:dyDescent="0.25">
      <c r="A336" t="s">
        <v>165</v>
      </c>
      <c r="B336" t="s">
        <v>23</v>
      </c>
      <c r="C336" t="str">
        <f t="shared" si="24"/>
        <v>Have/parkaffald</v>
      </c>
      <c r="D336">
        <f t="shared" si="25"/>
        <v>2050</v>
      </c>
      <c r="E336" t="e">
        <f>IF(SUMIFS(Restprodukter!$G$2:$G$37,Restprodukter!$A$2:$A$37,C336,Restprodukter!$B$2:$B$37,B336,Restprodukter!$C$2:$C$37,D336)&gt;=0,SUMIFS(Restprodukter!$G$2:$G$37,Restprodukter!$A$2:$A$37,C336,Restprodukter!$B$2:$B$37,B336,Restprodukter!$C$2:$C$37,D336)*IF(A336="Energi",1-VLOOKUP(C336,'Forbrug til andet'!$A$9:$D$14,MATCH('Forbrug af biomasse'!D336,'Forbrug til andet'!$A$8:$D$8,0),FALSE),VLOOKUP(C336,'Forbrug til andet'!$A$9:$D$14,MATCH('Forbrug af biomasse'!D336,'Forbrug til andet'!$A$8:$D$8,0),FALSE)),0)</f>
        <v>#REF!</v>
      </c>
      <c r="F336" s="171">
        <v>1</v>
      </c>
      <c r="G336" s="171">
        <v>1</v>
      </c>
    </row>
    <row r="337" spans="1:7" x14ac:dyDescent="0.25">
      <c r="A337" t="s">
        <v>165</v>
      </c>
      <c r="B337" t="s">
        <v>23</v>
      </c>
      <c r="C337" t="str">
        <f t="shared" si="24"/>
        <v>Bioaffald</v>
      </c>
      <c r="D337">
        <f t="shared" si="25"/>
        <v>2050</v>
      </c>
      <c r="E337" t="e">
        <f>IF(SUMIFS(Restprodukter!$G$2:$G$37,Restprodukter!$A$2:$A$37,C337,Restprodukter!$B$2:$B$37,B337,Restprodukter!$C$2:$C$37,D337)&gt;=0,SUMIFS(Restprodukter!$G$2:$G$37,Restprodukter!$A$2:$A$37,C337,Restprodukter!$B$2:$B$37,B337,Restprodukter!$C$2:$C$37,D337)*IF(A337="Energi",1-VLOOKUP(C337,'Forbrug til andet'!$A$9:$D$14,MATCH('Forbrug af biomasse'!D337,'Forbrug til andet'!$A$8:$D$8,0),FALSE),VLOOKUP(C337,'Forbrug til andet'!$A$9:$D$14,MATCH('Forbrug af biomasse'!D337,'Forbrug til andet'!$A$8:$D$8,0),FALSE)),0)</f>
        <v>#REF!</v>
      </c>
      <c r="F337" s="171">
        <v>1</v>
      </c>
      <c r="G337" s="171">
        <v>1</v>
      </c>
    </row>
    <row r="338" spans="1:7" x14ac:dyDescent="0.25">
      <c r="A338" t="s">
        <v>121</v>
      </c>
      <c r="B338" t="s">
        <v>24</v>
      </c>
      <c r="C338" t="str">
        <f t="shared" si="24"/>
        <v>Halm</v>
      </c>
      <c r="D338">
        <f t="shared" si="25"/>
        <v>2050</v>
      </c>
      <c r="E338" t="e">
        <f>IF(SUMIFS(Restprodukter!$G$2:$G$37,Restprodukter!$A$2:$A$37,C338,Restprodukter!$B$2:$B$37,B338,Restprodukter!$C$2:$C$37,D338)&gt;=0,SUMIFS(Restprodukter!$G$2:$G$37,Restprodukter!$A$2:$A$37,C338,Restprodukter!$B$2:$B$37,B338,Restprodukter!$C$2:$C$37,D338)*IF(A338="Energi",1-VLOOKUP(C338,'Forbrug til andet'!$A$9:$D$14,MATCH('Forbrug af biomasse'!D338,'Forbrug til andet'!$A$8:$D$8,0),FALSE),VLOOKUP(C338,'Forbrug til andet'!$A$9:$D$14,MATCH('Forbrug af biomasse'!D338,'Forbrug til andet'!$A$8:$D$8,0),FALSE)),0)</f>
        <v>#REF!</v>
      </c>
      <c r="F338" s="171">
        <v>1</v>
      </c>
    </row>
    <row r="339" spans="1:7" x14ac:dyDescent="0.25">
      <c r="A339" t="s">
        <v>121</v>
      </c>
      <c r="B339" t="s">
        <v>24</v>
      </c>
      <c r="C339" t="str">
        <f t="shared" si="24"/>
        <v>Rapsolie</v>
      </c>
      <c r="D339">
        <f t="shared" si="25"/>
        <v>2050</v>
      </c>
      <c r="E339" t="e">
        <f>IF(SUMIFS(Restprodukter!$G$2:$G$37,Restprodukter!$A$2:$A$37,C339,Restprodukter!$B$2:$B$37,B339,Restprodukter!$C$2:$C$37,D339)&gt;=0,SUMIFS(Restprodukter!$G$2:$G$37,Restprodukter!$A$2:$A$37,C339,Restprodukter!$B$2:$B$37,B339,Restprodukter!$C$2:$C$37,D339)*IF(A339="Energi",1-VLOOKUP(C339,'Forbrug til andet'!$A$9:$D$14,MATCH('Forbrug af biomasse'!D339,'Forbrug til andet'!$A$8:$D$8,0),FALSE),VLOOKUP(C339,'Forbrug til andet'!$A$9:$D$14,MATCH('Forbrug af biomasse'!D339,'Forbrug til andet'!$A$8:$D$8,0),FALSE)),0)</f>
        <v>#REF!</v>
      </c>
      <c r="F339" s="171">
        <v>1</v>
      </c>
    </row>
    <row r="340" spans="1:7" x14ac:dyDescent="0.25">
      <c r="A340" t="s">
        <v>121</v>
      </c>
      <c r="B340" t="s">
        <v>24</v>
      </c>
      <c r="C340" t="str">
        <f t="shared" si="24"/>
        <v>Pil &amp; poppel</v>
      </c>
      <c r="D340">
        <f t="shared" si="25"/>
        <v>2050</v>
      </c>
      <c r="E340" t="e">
        <f>IF(SUMIFS(Restprodukter!$G$2:$G$37,Restprodukter!$A$2:$A$37,C340,Restprodukter!$B$2:$B$37,B340,Restprodukter!$C$2:$C$37,D340)&gt;=0,SUMIFS(Restprodukter!$G$2:$G$37,Restprodukter!$A$2:$A$37,C340,Restprodukter!$B$2:$B$37,B340,Restprodukter!$C$2:$C$37,D340)*IF(A340="Energi",1-VLOOKUP(C340,'Forbrug til andet'!$A$9:$D$14,MATCH('Forbrug af biomasse'!D340,'Forbrug til andet'!$A$8:$D$8,0),FALSE),VLOOKUP(C340,'Forbrug til andet'!$A$9:$D$14,MATCH('Forbrug af biomasse'!D340,'Forbrug til andet'!$A$8:$D$8,0),FALSE)),0)</f>
        <v>#REF!</v>
      </c>
      <c r="F340" s="171">
        <v>1</v>
      </c>
    </row>
    <row r="341" spans="1:7" x14ac:dyDescent="0.25">
      <c r="A341" t="s">
        <v>121</v>
      </c>
      <c r="B341" t="s">
        <v>24</v>
      </c>
      <c r="C341" t="str">
        <f t="shared" si="24"/>
        <v>Træ til energi</v>
      </c>
      <c r="D341">
        <f t="shared" si="25"/>
        <v>2050</v>
      </c>
      <c r="E341" t="e">
        <f>IF(SUMIFS(Restprodukter!$G$2:$G$37,Restprodukter!$A$2:$A$37,C341,Restprodukter!$B$2:$B$37,B341,Restprodukter!$C$2:$C$37,D341)&gt;=0,SUMIFS(Restprodukter!$G$2:$G$37,Restprodukter!$A$2:$A$37,C341,Restprodukter!$B$2:$B$37,B341,Restprodukter!$C$2:$C$37,D341)*IF(A341="Energi",1-VLOOKUP(C341,'Forbrug til andet'!$A$9:$D$14,MATCH('Forbrug af biomasse'!D341,'Forbrug til andet'!$A$8:$D$8,0),FALSE),VLOOKUP(C341,'Forbrug til andet'!$A$9:$D$14,MATCH('Forbrug af biomasse'!D341,'Forbrug til andet'!$A$8:$D$8,0),FALSE)),0)</f>
        <v>#REF!</v>
      </c>
      <c r="F341" s="171">
        <v>1</v>
      </c>
    </row>
    <row r="342" spans="1:7" x14ac:dyDescent="0.25">
      <c r="A342" t="s">
        <v>121</v>
      </c>
      <c r="B342" t="s">
        <v>24</v>
      </c>
      <c r="C342" t="str">
        <f t="shared" si="24"/>
        <v>Have/parkaffald</v>
      </c>
      <c r="D342">
        <f t="shared" si="25"/>
        <v>2050</v>
      </c>
      <c r="E342" t="e">
        <f>IF(SUMIFS(Restprodukter!$G$2:$G$37,Restprodukter!$A$2:$A$37,C342,Restprodukter!$B$2:$B$37,B342,Restprodukter!$C$2:$C$37,D342)&gt;=0,SUMIFS(Restprodukter!$G$2:$G$37,Restprodukter!$A$2:$A$37,C342,Restprodukter!$B$2:$B$37,B342,Restprodukter!$C$2:$C$37,D342)*IF(A342="Energi",1-VLOOKUP(C342,'Forbrug til andet'!$A$9:$D$14,MATCH('Forbrug af biomasse'!D342,'Forbrug til andet'!$A$8:$D$8,0),FALSE),VLOOKUP(C342,'Forbrug til andet'!$A$9:$D$14,MATCH('Forbrug af biomasse'!D342,'Forbrug til andet'!$A$8:$D$8,0),FALSE)),0)</f>
        <v>#REF!</v>
      </c>
      <c r="F342" s="171">
        <v>1</v>
      </c>
    </row>
    <row r="343" spans="1:7" x14ac:dyDescent="0.25">
      <c r="A343" t="s">
        <v>121</v>
      </c>
      <c r="B343" t="s">
        <v>24</v>
      </c>
      <c r="C343" t="str">
        <f t="shared" si="24"/>
        <v>Bioaffald</v>
      </c>
      <c r="D343">
        <f t="shared" si="25"/>
        <v>2050</v>
      </c>
      <c r="E343" t="e">
        <f>IF(SUMIFS(Restprodukter!$G$2:$G$37,Restprodukter!$A$2:$A$37,C343,Restprodukter!$B$2:$B$37,B343,Restprodukter!$C$2:$C$37,D343)&gt;=0,SUMIFS(Restprodukter!$G$2:$G$37,Restprodukter!$A$2:$A$37,C343,Restprodukter!$B$2:$B$37,B343,Restprodukter!$C$2:$C$37,D343)*IF(A343="Energi",1-VLOOKUP(C343,'Forbrug til andet'!$A$9:$D$14,MATCH('Forbrug af biomasse'!D343,'Forbrug til andet'!$A$8:$D$8,0),FALSE),VLOOKUP(C343,'Forbrug til andet'!$A$9:$D$14,MATCH('Forbrug af biomasse'!D343,'Forbrug til andet'!$A$8:$D$8,0),FALSE)),0)</f>
        <v>#REF!</v>
      </c>
      <c r="F343" s="171">
        <v>1</v>
      </c>
    </row>
    <row r="344" spans="1:7" x14ac:dyDescent="0.25">
      <c r="A344" t="s">
        <v>165</v>
      </c>
      <c r="B344" t="s">
        <v>24</v>
      </c>
      <c r="C344" t="str">
        <f t="shared" si="24"/>
        <v>Halm</v>
      </c>
      <c r="D344">
        <f t="shared" si="25"/>
        <v>2050</v>
      </c>
      <c r="E344" t="e">
        <f>IF(SUMIFS(Restprodukter!$G$2:$G$37,Restprodukter!$A$2:$A$37,C344,Restprodukter!$B$2:$B$37,B344,Restprodukter!$C$2:$C$37,D344)&gt;=0,SUMIFS(Restprodukter!$G$2:$G$37,Restprodukter!$A$2:$A$37,C344,Restprodukter!$B$2:$B$37,B344,Restprodukter!$C$2:$C$37,D344)*IF(A344="Energi",1-VLOOKUP(C344,'Forbrug til andet'!$A$9:$D$14,MATCH('Forbrug af biomasse'!D344,'Forbrug til andet'!$A$8:$D$8,0),FALSE),VLOOKUP(C344,'Forbrug til andet'!$A$9:$D$14,MATCH('Forbrug af biomasse'!D344,'Forbrug til andet'!$A$8:$D$8,0),FALSE)),0)</f>
        <v>#REF!</v>
      </c>
      <c r="F344" s="171">
        <v>1</v>
      </c>
      <c r="G344" s="171">
        <v>1</v>
      </c>
    </row>
    <row r="345" spans="1:7" x14ac:dyDescent="0.25">
      <c r="A345" t="s">
        <v>165</v>
      </c>
      <c r="B345" t="s">
        <v>24</v>
      </c>
      <c r="C345" t="str">
        <f t="shared" si="24"/>
        <v>Rapsolie</v>
      </c>
      <c r="D345">
        <f t="shared" si="25"/>
        <v>2050</v>
      </c>
      <c r="E345" t="e">
        <f>IF(SUMIFS(Restprodukter!$G$2:$G$37,Restprodukter!$A$2:$A$37,C345,Restprodukter!$B$2:$B$37,B345,Restprodukter!$C$2:$C$37,D345)&gt;=0,SUMIFS(Restprodukter!$G$2:$G$37,Restprodukter!$A$2:$A$37,C345,Restprodukter!$B$2:$B$37,B345,Restprodukter!$C$2:$C$37,D345)*IF(A345="Energi",1-VLOOKUP(C345,'Forbrug til andet'!$A$9:$D$14,MATCH('Forbrug af biomasse'!D345,'Forbrug til andet'!$A$8:$D$8,0),FALSE),VLOOKUP(C345,'Forbrug til andet'!$A$9:$D$14,MATCH('Forbrug af biomasse'!D345,'Forbrug til andet'!$A$8:$D$8,0),FALSE)),0)</f>
        <v>#REF!</v>
      </c>
      <c r="F345" s="171">
        <v>1</v>
      </c>
      <c r="G345" s="171">
        <v>1</v>
      </c>
    </row>
    <row r="346" spans="1:7" x14ac:dyDescent="0.25">
      <c r="A346" t="s">
        <v>165</v>
      </c>
      <c r="B346" t="s">
        <v>24</v>
      </c>
      <c r="C346" t="str">
        <f t="shared" si="24"/>
        <v>Pil &amp; poppel</v>
      </c>
      <c r="D346">
        <f t="shared" si="25"/>
        <v>2050</v>
      </c>
      <c r="E346" t="e">
        <f>IF(SUMIFS(Restprodukter!$G$2:$G$37,Restprodukter!$A$2:$A$37,C346,Restprodukter!$B$2:$B$37,B346,Restprodukter!$C$2:$C$37,D346)&gt;=0,SUMIFS(Restprodukter!$G$2:$G$37,Restprodukter!$A$2:$A$37,C346,Restprodukter!$B$2:$B$37,B346,Restprodukter!$C$2:$C$37,D346)*IF(A346="Energi",1-VLOOKUP(C346,'Forbrug til andet'!$A$9:$D$14,MATCH('Forbrug af biomasse'!D346,'Forbrug til andet'!$A$8:$D$8,0),FALSE),VLOOKUP(C346,'Forbrug til andet'!$A$9:$D$14,MATCH('Forbrug af biomasse'!D346,'Forbrug til andet'!$A$8:$D$8,0),FALSE)),0)</f>
        <v>#REF!</v>
      </c>
      <c r="F346" s="171">
        <v>1</v>
      </c>
      <c r="G346" s="171">
        <v>1</v>
      </c>
    </row>
    <row r="347" spans="1:7" x14ac:dyDescent="0.25">
      <c r="A347" t="s">
        <v>165</v>
      </c>
      <c r="B347" t="s">
        <v>24</v>
      </c>
      <c r="C347" t="str">
        <f t="shared" si="24"/>
        <v>Træ til energi</v>
      </c>
      <c r="D347">
        <f t="shared" si="25"/>
        <v>2050</v>
      </c>
      <c r="E347" t="e">
        <f>IF(SUMIFS(Restprodukter!$G$2:$G$37,Restprodukter!$A$2:$A$37,C347,Restprodukter!$B$2:$B$37,B347,Restprodukter!$C$2:$C$37,D347)&gt;=0,SUMIFS(Restprodukter!$G$2:$G$37,Restprodukter!$A$2:$A$37,C347,Restprodukter!$B$2:$B$37,B347,Restprodukter!$C$2:$C$37,D347)*IF(A347="Energi",1-VLOOKUP(C347,'Forbrug til andet'!$A$9:$D$14,MATCH('Forbrug af biomasse'!D347,'Forbrug til andet'!$A$8:$D$8,0),FALSE),VLOOKUP(C347,'Forbrug til andet'!$A$9:$D$14,MATCH('Forbrug af biomasse'!D347,'Forbrug til andet'!$A$8:$D$8,0),FALSE)),0)</f>
        <v>#REF!</v>
      </c>
      <c r="F347" s="171">
        <v>1</v>
      </c>
      <c r="G347" s="171">
        <v>1</v>
      </c>
    </row>
    <row r="348" spans="1:7" x14ac:dyDescent="0.25">
      <c r="A348" t="s">
        <v>165</v>
      </c>
      <c r="B348" t="s">
        <v>24</v>
      </c>
      <c r="C348" t="str">
        <f t="shared" ref="C348:C349" si="26">C342</f>
        <v>Have/parkaffald</v>
      </c>
      <c r="D348">
        <f t="shared" si="25"/>
        <v>2050</v>
      </c>
      <c r="E348" t="e">
        <f>IF(SUMIFS(Restprodukter!$G$2:$G$37,Restprodukter!$A$2:$A$37,C348,Restprodukter!$B$2:$B$37,B348,Restprodukter!$C$2:$C$37,D348)&gt;=0,SUMIFS(Restprodukter!$G$2:$G$37,Restprodukter!$A$2:$A$37,C348,Restprodukter!$B$2:$B$37,B348,Restprodukter!$C$2:$C$37,D348)*IF(A348="Energi",1-VLOOKUP(C348,'Forbrug til andet'!$A$9:$D$14,MATCH('Forbrug af biomasse'!D348,'Forbrug til andet'!$A$8:$D$8,0),FALSE),VLOOKUP(C348,'Forbrug til andet'!$A$9:$D$14,MATCH('Forbrug af biomasse'!D348,'Forbrug til andet'!$A$8:$D$8,0),FALSE)),0)</f>
        <v>#REF!</v>
      </c>
      <c r="F348" s="171">
        <v>1</v>
      </c>
      <c r="G348" s="171">
        <v>1</v>
      </c>
    </row>
    <row r="349" spans="1:7" x14ac:dyDescent="0.25">
      <c r="A349" t="s">
        <v>165</v>
      </c>
      <c r="B349" t="s">
        <v>24</v>
      </c>
      <c r="C349" t="str">
        <f t="shared" si="26"/>
        <v>Bioaffald</v>
      </c>
      <c r="D349">
        <f t="shared" si="25"/>
        <v>2050</v>
      </c>
      <c r="E349" t="e">
        <f>IF(SUMIFS(Restprodukter!$G$2:$G$37,Restprodukter!$A$2:$A$37,C349,Restprodukter!$B$2:$B$37,B349,Restprodukter!$C$2:$C$37,D349)&gt;=0,SUMIFS(Restprodukter!$G$2:$G$37,Restprodukter!$A$2:$A$37,C349,Restprodukter!$B$2:$B$37,B349,Restprodukter!$C$2:$C$37,D349)*IF(A349="Energi",1-VLOOKUP(C349,'Forbrug til andet'!$A$9:$D$14,MATCH('Forbrug af biomasse'!D349,'Forbrug til andet'!$A$8:$D$8,0),FALSE),VLOOKUP(C349,'Forbrug til andet'!$A$9:$D$14,MATCH('Forbrug af biomasse'!D349,'Forbrug til andet'!$A$8:$D$8,0),FALSE)),0)</f>
        <v>#REF!</v>
      </c>
      <c r="F349" s="171">
        <v>1</v>
      </c>
      <c r="G349" s="171">
        <v>1</v>
      </c>
    </row>
    <row r="350" spans="1:7" x14ac:dyDescent="0.25">
      <c r="A350" t="s">
        <v>115</v>
      </c>
      <c r="B350" t="s">
        <v>23</v>
      </c>
      <c r="C350" t="s">
        <v>136</v>
      </c>
      <c r="D350">
        <f t="shared" ref="D350:D355" si="27">År1</f>
        <v>2019</v>
      </c>
      <c r="E350" t="e">
        <f>SUMIFS(IF(D350=År1,IF(B350="Vestdanmark",'Resultater - Vestdanmark'!$H$3:$H$474,'Resultater - Østdanmark'!$H$3:$H$474),IF(D350=År2,IF(B350="Vestdanmark",'Resultater - Vestdanmark'!$I$3:$I$474,'Resultater - Østdanmark'!$I$3:$I$474),IF(B350="Vestdanmark",'Resultater - Vestdanmark'!$J$3:$J$474,'Resultater - Østdanmark'!$J$3:$J$474))),'Resultater - Vestdanmark'!$D$3:$D$474,C350,'Resultater - Vestdanmark'!$F$3:$F$474,A350)/SUMIFS(IF(D350=År1,'[1]Processer - data'!$H$3:$H$467,IF(D350=År2,'[1]Processer - data'!$I$3:$I$467,'[1]Processer - data'!$J$3:$J$467)),'[1]Processer - data'!$D$3:$D$467,C350,'[1]Processer - data'!$F$3:$F$467,A350)</f>
        <v>#REF!</v>
      </c>
    </row>
    <row r="351" spans="1:7" x14ac:dyDescent="0.25">
      <c r="A351" t="s">
        <v>115</v>
      </c>
      <c r="B351" t="s">
        <v>23</v>
      </c>
      <c r="C351" t="s">
        <v>137</v>
      </c>
      <c r="D351">
        <f t="shared" si="27"/>
        <v>2019</v>
      </c>
      <c r="E351" t="e">
        <f>SUMIFS(IF(D351=År1,IF(B351="Vestdanmark",'Resultater - Vestdanmark'!$H$3:$H$474,'Resultater - Østdanmark'!$H$3:$H$474),IF(D351=År2,IF(B351="Vestdanmark",'Resultater - Vestdanmark'!$I$3:$I$474,'Resultater - Østdanmark'!$I$3:$I$474),IF(B351="Vestdanmark",'Resultater - Vestdanmark'!$J$3:$J$474,'Resultater - Østdanmark'!$J$3:$J$474))),'Resultater - Vestdanmark'!$D$3:$D$474,C351,'Resultater - Vestdanmark'!$F$3:$F$474,A351)/SUMIFS(IF(D351=År1,'[1]Processer - data'!$H$3:$H$467,IF(D351=År2,'[1]Processer - data'!$I$3:$I$467,'[1]Processer - data'!$J$3:$J$467)),'[1]Processer - data'!$D$3:$D$467,C351,'[1]Processer - data'!$F$3:$F$467,A351)</f>
        <v>#REF!</v>
      </c>
    </row>
    <row r="352" spans="1:7" x14ac:dyDescent="0.25">
      <c r="A352" t="s">
        <v>115</v>
      </c>
      <c r="B352" t="s">
        <v>23</v>
      </c>
      <c r="C352" t="s">
        <v>138</v>
      </c>
      <c r="D352">
        <f t="shared" si="27"/>
        <v>2019</v>
      </c>
      <c r="E352" t="e">
        <f>SUMIFS(IF(D352=År1,IF(B352="Vestdanmark",'Resultater - Vestdanmark'!$H$3:$H$474,'Resultater - Østdanmark'!$H$3:$H$474),IF(D352=År2,IF(B352="Vestdanmark",'Resultater - Vestdanmark'!$I$3:$I$474,'Resultater - Østdanmark'!$I$3:$I$474),IF(B352="Vestdanmark",'Resultater - Vestdanmark'!$J$3:$J$474,'Resultater - Østdanmark'!$J$3:$J$474))),'Resultater - Vestdanmark'!$D$3:$D$474,C352,'Resultater - Vestdanmark'!$F$3:$F$474,A352)/SUMIFS(IF(D352=År1,'[1]Processer - data'!$H$3:$H$467,IF(D352=År2,'[1]Processer - data'!$I$3:$I$467,'[1]Processer - data'!$J$3:$J$467)),'[1]Processer - data'!$D$3:$D$467,C352,'[1]Processer - data'!$F$3:$F$467,A352)</f>
        <v>#REF!</v>
      </c>
    </row>
    <row r="353" spans="1:5" x14ac:dyDescent="0.25">
      <c r="A353" t="s">
        <v>115</v>
      </c>
      <c r="B353" t="s">
        <v>23</v>
      </c>
      <c r="C353" t="s">
        <v>102</v>
      </c>
      <c r="D353">
        <f t="shared" si="27"/>
        <v>2019</v>
      </c>
      <c r="E353" t="e">
        <f>SUMIFS(IF(D353=År1,IF(B353="Vestdanmark",'Resultater - Vestdanmark'!$H$3:$H$474,'Resultater - Østdanmark'!$H$3:$H$474),IF(D353=År2,IF(B353="Vestdanmark",'Resultater - Vestdanmark'!$I$3:$I$474,'Resultater - Østdanmark'!$I$3:$I$474),IF(B353="Vestdanmark",'Resultater - Vestdanmark'!$J$3:$J$474,'Resultater - Østdanmark'!$J$3:$J$474))),'Resultater - Vestdanmark'!$D$3:$D$474,C353,'Resultater - Vestdanmark'!$F$3:$F$474,A353)/SUMIFS(IF(D353=År1,'[1]Processer - data'!$H$3:$H$467,IF(D353=År2,'[1]Processer - data'!$I$3:$I$467,'[1]Processer - data'!$J$3:$J$467)),'[1]Processer - data'!$D$3:$D$467,C353,'[1]Processer - data'!$F$3:$F$467,A353)</f>
        <v>#REF!</v>
      </c>
    </row>
    <row r="354" spans="1:5" x14ac:dyDescent="0.25">
      <c r="A354" t="s">
        <v>115</v>
      </c>
      <c r="B354" t="s">
        <v>23</v>
      </c>
      <c r="C354" t="s">
        <v>111</v>
      </c>
      <c r="D354">
        <f t="shared" si="27"/>
        <v>2019</v>
      </c>
      <c r="E354" t="e">
        <f>SUMIFS(IF(D354=År1,IF(B354="Vestdanmark",'Resultater - Vestdanmark'!$H$3:$H$474,'Resultater - Østdanmark'!$H$3:$H$474),IF(D354=År2,IF(B354="Vestdanmark",'Resultater - Vestdanmark'!$I$3:$I$474,'Resultater - Østdanmark'!$I$3:$I$474),IF(B354="Vestdanmark",'Resultater - Vestdanmark'!$J$3:$J$474,'Resultater - Østdanmark'!$J$3:$J$474))),'Resultater - Vestdanmark'!$D$3:$D$474,C354,'Resultater - Vestdanmark'!$F$3:$F$474,A354)/SUMIFS(IF(D354=År1,'[1]Processer - data'!$H$3:$H$467,IF(D354=År2,'[1]Processer - data'!$I$3:$I$467,'[1]Processer - data'!$J$3:$J$467)),'[1]Processer - data'!$D$3:$D$467,C354,'[1]Processer - data'!$F$3:$F$467,A354)</f>
        <v>#REF!</v>
      </c>
    </row>
    <row r="355" spans="1:5" x14ac:dyDescent="0.25">
      <c r="A355" t="s">
        <v>115</v>
      </c>
      <c r="B355" t="s">
        <v>23</v>
      </c>
      <c r="C355" t="s">
        <v>116</v>
      </c>
      <c r="D355">
        <f t="shared" si="27"/>
        <v>2019</v>
      </c>
      <c r="E355" t="e">
        <f>SUMIFS(IF(D355=År1,IF(B355="Vestdanmark",'Resultater - Vestdanmark'!$H$3:$H$474,'Resultater - Østdanmark'!$H$3:$H$474),IF(D355=År2,IF(B355="Vestdanmark",'Resultater - Vestdanmark'!$I$3:$I$474,'Resultater - Østdanmark'!$I$3:$I$474),IF(B355="Vestdanmark",'Resultater - Vestdanmark'!$J$3:$J$474,'Resultater - Østdanmark'!$J$3:$J$474))),'Resultater - Vestdanmark'!$D$3:$D$474,C355,'Resultater - Vestdanmark'!$F$3:$F$474,A355)/SUMIFS(IF(D355=År1,'[1]Processer - data'!$H$3:$H$467,IF(D355=År2,'[1]Processer - data'!$I$3:$I$467,'[1]Processer - data'!$J$3:$J$467)),'[1]Processer - data'!$D$3:$D$467,C355,'[1]Processer - data'!$F$3:$F$467,A355)</f>
        <v>#REF!</v>
      </c>
    </row>
    <row r="356" spans="1:5" x14ac:dyDescent="0.25">
      <c r="A356" t="s">
        <v>115</v>
      </c>
      <c r="B356" t="s">
        <v>23</v>
      </c>
      <c r="C356" t="s">
        <v>136</v>
      </c>
      <c r="D356">
        <f t="shared" ref="D356:D361" si="28">År2</f>
        <v>2030</v>
      </c>
      <c r="E356" t="e">
        <f>SUMIFS(IF(D356=År1,IF(B356="Vestdanmark",'Resultater - Vestdanmark'!$H$3:$H$474,'Resultater - Østdanmark'!$H$3:$H$474),IF(D356=År2,IF(B356="Vestdanmark",'Resultater - Vestdanmark'!$I$3:$I$474,'Resultater - Østdanmark'!$I$3:$I$474),IF(B356="Vestdanmark",'Resultater - Vestdanmark'!$J$3:$J$474,'Resultater - Østdanmark'!$J$3:$J$474))),'Resultater - Vestdanmark'!$D$3:$D$474,C356,'Resultater - Vestdanmark'!$F$3:$F$474,A356)/SUMIFS(IF(D356=År1,'[1]Processer - data'!$H$3:$H$467,IF(D356=År2,'[1]Processer - data'!$I$3:$I$467,'[1]Processer - data'!$J$3:$J$467)),'[1]Processer - data'!$D$3:$D$467,C356,'[1]Processer - data'!$F$3:$F$467,A356)</f>
        <v>#REF!</v>
      </c>
    </row>
    <row r="357" spans="1:5" x14ac:dyDescent="0.25">
      <c r="A357" t="s">
        <v>115</v>
      </c>
      <c r="B357" t="s">
        <v>23</v>
      </c>
      <c r="C357" t="s">
        <v>137</v>
      </c>
      <c r="D357">
        <f t="shared" si="28"/>
        <v>2030</v>
      </c>
      <c r="E357" t="e">
        <f>SUMIFS(IF(D357=År1,IF(B357="Vestdanmark",'Resultater - Vestdanmark'!$H$3:$H$474,'Resultater - Østdanmark'!$H$3:$H$474),IF(D357=År2,IF(B357="Vestdanmark",'Resultater - Vestdanmark'!$I$3:$I$474,'Resultater - Østdanmark'!$I$3:$I$474),IF(B357="Vestdanmark",'Resultater - Vestdanmark'!$J$3:$J$474,'Resultater - Østdanmark'!$J$3:$J$474))),'Resultater - Vestdanmark'!$D$3:$D$474,C357,'Resultater - Vestdanmark'!$F$3:$F$474,A357)/SUMIFS(IF(D357=År1,'[1]Processer - data'!$H$3:$H$467,IF(D357=År2,'[1]Processer - data'!$I$3:$I$467,'[1]Processer - data'!$J$3:$J$467)),'[1]Processer - data'!$D$3:$D$467,C357,'[1]Processer - data'!$F$3:$F$467,A357)</f>
        <v>#REF!</v>
      </c>
    </row>
    <row r="358" spans="1:5" x14ac:dyDescent="0.25">
      <c r="A358" t="s">
        <v>115</v>
      </c>
      <c r="B358" t="s">
        <v>23</v>
      </c>
      <c r="C358" t="s">
        <v>138</v>
      </c>
      <c r="D358">
        <f t="shared" si="28"/>
        <v>2030</v>
      </c>
      <c r="E358" t="e">
        <f>SUMIFS(IF(D358=År1,IF(B358="Vestdanmark",'Resultater - Vestdanmark'!$H$3:$H$474,'Resultater - Østdanmark'!$H$3:$H$474),IF(D358=År2,IF(B358="Vestdanmark",'Resultater - Vestdanmark'!$I$3:$I$474,'Resultater - Østdanmark'!$I$3:$I$474),IF(B358="Vestdanmark",'Resultater - Vestdanmark'!$J$3:$J$474,'Resultater - Østdanmark'!$J$3:$J$474))),'Resultater - Vestdanmark'!$D$3:$D$474,C358,'Resultater - Vestdanmark'!$F$3:$F$474,A358)/SUMIFS(IF(D358=År1,'[1]Processer - data'!$H$3:$H$467,IF(D358=År2,'[1]Processer - data'!$I$3:$I$467,'[1]Processer - data'!$J$3:$J$467)),'[1]Processer - data'!$D$3:$D$467,C358,'[1]Processer - data'!$F$3:$F$467,A358)</f>
        <v>#REF!</v>
      </c>
    </row>
    <row r="359" spans="1:5" x14ac:dyDescent="0.25">
      <c r="A359" t="s">
        <v>115</v>
      </c>
      <c r="B359" t="s">
        <v>23</v>
      </c>
      <c r="C359" t="s">
        <v>102</v>
      </c>
      <c r="D359">
        <f t="shared" si="28"/>
        <v>2030</v>
      </c>
      <c r="E359" t="e">
        <f>SUMIFS(IF(D359=År1,IF(B359="Vestdanmark",'Resultater - Vestdanmark'!$H$3:$H$474,'Resultater - Østdanmark'!$H$3:$H$474),IF(D359=År2,IF(B359="Vestdanmark",'Resultater - Vestdanmark'!$I$3:$I$474,'Resultater - Østdanmark'!$I$3:$I$474),IF(B359="Vestdanmark",'Resultater - Vestdanmark'!$J$3:$J$474,'Resultater - Østdanmark'!$J$3:$J$474))),'Resultater - Vestdanmark'!$D$3:$D$474,C359,'Resultater - Vestdanmark'!$F$3:$F$474,A359)/SUMIFS(IF(D359=År1,'[1]Processer - data'!$H$3:$H$467,IF(D359=År2,'[1]Processer - data'!$I$3:$I$467,'[1]Processer - data'!$J$3:$J$467)),'[1]Processer - data'!$D$3:$D$467,C359,'[1]Processer - data'!$F$3:$F$467,A359)</f>
        <v>#REF!</v>
      </c>
    </row>
    <row r="360" spans="1:5" x14ac:dyDescent="0.25">
      <c r="A360" t="s">
        <v>115</v>
      </c>
      <c r="B360" t="s">
        <v>23</v>
      </c>
      <c r="C360" t="s">
        <v>111</v>
      </c>
      <c r="D360">
        <f t="shared" si="28"/>
        <v>2030</v>
      </c>
      <c r="E360" t="e">
        <f>SUMIFS(IF(D360=År1,IF(B360="Vestdanmark",'Resultater - Vestdanmark'!$H$3:$H$474,'Resultater - Østdanmark'!$H$3:$H$474),IF(D360=År2,IF(B360="Vestdanmark",'Resultater - Vestdanmark'!$I$3:$I$474,'Resultater - Østdanmark'!$I$3:$I$474),IF(B360="Vestdanmark",'Resultater - Vestdanmark'!$J$3:$J$474,'Resultater - Østdanmark'!$J$3:$J$474))),'Resultater - Vestdanmark'!$D$3:$D$474,C360,'Resultater - Vestdanmark'!$F$3:$F$474,A360)/SUMIFS(IF(D360=År1,'[1]Processer - data'!$H$3:$H$467,IF(D360=År2,'[1]Processer - data'!$I$3:$I$467,'[1]Processer - data'!$J$3:$J$467)),'[1]Processer - data'!$D$3:$D$467,C360,'[1]Processer - data'!$F$3:$F$467,A360)</f>
        <v>#REF!</v>
      </c>
    </row>
    <row r="361" spans="1:5" x14ac:dyDescent="0.25">
      <c r="A361" t="s">
        <v>115</v>
      </c>
      <c r="B361" t="s">
        <v>23</v>
      </c>
      <c r="C361" t="s">
        <v>116</v>
      </c>
      <c r="D361">
        <f t="shared" si="28"/>
        <v>2030</v>
      </c>
      <c r="E361" t="e">
        <f>SUMIFS(IF(D361=År1,IF(B361="Vestdanmark",'Resultater - Vestdanmark'!$H$3:$H$474,'Resultater - Østdanmark'!$H$3:$H$474),IF(D361=År2,IF(B361="Vestdanmark",'Resultater - Vestdanmark'!$I$3:$I$474,'Resultater - Østdanmark'!$I$3:$I$474),IF(B361="Vestdanmark",'Resultater - Vestdanmark'!$J$3:$J$474,'Resultater - Østdanmark'!$J$3:$J$474))),'Resultater - Vestdanmark'!$D$3:$D$474,C361,'Resultater - Vestdanmark'!$F$3:$F$474,A361)/SUMIFS(IF(D361=År1,'[1]Processer - data'!$H$3:$H$467,IF(D361=År2,'[1]Processer - data'!$I$3:$I$467,'[1]Processer - data'!$J$3:$J$467)),'[1]Processer - data'!$D$3:$D$467,C361,'[1]Processer - data'!$F$3:$F$467,A361)</f>
        <v>#REF!</v>
      </c>
    </row>
    <row r="362" spans="1:5" x14ac:dyDescent="0.25">
      <c r="A362" t="s">
        <v>115</v>
      </c>
      <c r="B362" t="s">
        <v>23</v>
      </c>
      <c r="C362" t="s">
        <v>136</v>
      </c>
      <c r="D362">
        <f t="shared" ref="D362:D367" si="29">År3</f>
        <v>2050</v>
      </c>
      <c r="E362" t="e">
        <f>SUMIFS(IF(D362=År1,IF(B362="Vestdanmark",'Resultater - Vestdanmark'!$H$3:$H$474,'Resultater - Østdanmark'!$H$3:$H$474),IF(D362=År2,IF(B362="Vestdanmark",'Resultater - Vestdanmark'!$I$3:$I$474,'Resultater - Østdanmark'!$I$3:$I$474),IF(B362="Vestdanmark",'Resultater - Vestdanmark'!$J$3:$J$474,'Resultater - Østdanmark'!$J$3:$J$474))),'Resultater - Vestdanmark'!$D$3:$D$474,C362,'Resultater - Vestdanmark'!$F$3:$F$474,A362)/SUMIFS(IF(D362=År1,'[1]Processer - data'!$H$3:$H$467,IF(D362=År2,'[1]Processer - data'!$I$3:$I$467,'[1]Processer - data'!$J$3:$J$467)),'[1]Processer - data'!$D$3:$D$467,C362,'[1]Processer - data'!$F$3:$F$467,A362)</f>
        <v>#REF!</v>
      </c>
    </row>
    <row r="363" spans="1:5" x14ac:dyDescent="0.25">
      <c r="A363" t="s">
        <v>115</v>
      </c>
      <c r="B363" t="s">
        <v>23</v>
      </c>
      <c r="C363" t="s">
        <v>137</v>
      </c>
      <c r="D363">
        <f t="shared" si="29"/>
        <v>2050</v>
      </c>
      <c r="E363" t="e">
        <f>SUMIFS(IF(D363=År1,IF(B363="Vestdanmark",'Resultater - Vestdanmark'!$H$3:$H$474,'Resultater - Østdanmark'!$H$3:$H$474),IF(D363=År2,IF(B363="Vestdanmark",'Resultater - Vestdanmark'!$I$3:$I$474,'Resultater - Østdanmark'!$I$3:$I$474),IF(B363="Vestdanmark",'Resultater - Vestdanmark'!$J$3:$J$474,'Resultater - Østdanmark'!$J$3:$J$474))),'Resultater - Vestdanmark'!$D$3:$D$474,C363,'Resultater - Vestdanmark'!$F$3:$F$474,A363)/SUMIFS(IF(D363=År1,'[1]Processer - data'!$H$3:$H$467,IF(D363=År2,'[1]Processer - data'!$I$3:$I$467,'[1]Processer - data'!$J$3:$J$467)),'[1]Processer - data'!$D$3:$D$467,C363,'[1]Processer - data'!$F$3:$F$467,A363)</f>
        <v>#REF!</v>
      </c>
    </row>
    <row r="364" spans="1:5" x14ac:dyDescent="0.25">
      <c r="A364" t="s">
        <v>115</v>
      </c>
      <c r="B364" t="s">
        <v>23</v>
      </c>
      <c r="C364" t="s">
        <v>138</v>
      </c>
      <c r="D364">
        <f t="shared" si="29"/>
        <v>2050</v>
      </c>
      <c r="E364" t="e">
        <f>SUMIFS(IF(D364=År1,IF(B364="Vestdanmark",'Resultater - Vestdanmark'!$H$3:$H$474,'Resultater - Østdanmark'!$H$3:$H$474),IF(D364=År2,IF(B364="Vestdanmark",'Resultater - Vestdanmark'!$I$3:$I$474,'Resultater - Østdanmark'!$I$3:$I$474),IF(B364="Vestdanmark",'Resultater - Vestdanmark'!$J$3:$J$474,'Resultater - Østdanmark'!$J$3:$J$474))),'Resultater - Vestdanmark'!$D$3:$D$474,C364,'Resultater - Vestdanmark'!$F$3:$F$474,A364)/SUMIFS(IF(D364=År1,'[1]Processer - data'!$H$3:$H$467,IF(D364=År2,'[1]Processer - data'!$I$3:$I$467,'[1]Processer - data'!$J$3:$J$467)),'[1]Processer - data'!$D$3:$D$467,C364,'[1]Processer - data'!$F$3:$F$467,A364)</f>
        <v>#REF!</v>
      </c>
    </row>
    <row r="365" spans="1:5" x14ac:dyDescent="0.25">
      <c r="A365" t="s">
        <v>115</v>
      </c>
      <c r="B365" t="s">
        <v>23</v>
      </c>
      <c r="C365" t="s">
        <v>102</v>
      </c>
      <c r="D365">
        <f t="shared" si="29"/>
        <v>2050</v>
      </c>
      <c r="E365" t="e">
        <f>SUMIFS(IF(D365=År1,IF(B365="Vestdanmark",'Resultater - Vestdanmark'!$H$3:$H$474,'Resultater - Østdanmark'!$H$3:$H$474),IF(D365=År2,IF(B365="Vestdanmark",'Resultater - Vestdanmark'!$I$3:$I$474,'Resultater - Østdanmark'!$I$3:$I$474),IF(B365="Vestdanmark",'Resultater - Vestdanmark'!$J$3:$J$474,'Resultater - Østdanmark'!$J$3:$J$474))),'Resultater - Vestdanmark'!$D$3:$D$474,C365,'Resultater - Vestdanmark'!$F$3:$F$474,A365)/SUMIFS(IF(D365=År1,'[1]Processer - data'!$H$3:$H$467,IF(D365=År2,'[1]Processer - data'!$I$3:$I$467,'[1]Processer - data'!$J$3:$J$467)),'[1]Processer - data'!$D$3:$D$467,C365,'[1]Processer - data'!$F$3:$F$467,A365)</f>
        <v>#REF!</v>
      </c>
    </row>
    <row r="366" spans="1:5" x14ac:dyDescent="0.25">
      <c r="A366" t="s">
        <v>115</v>
      </c>
      <c r="B366" t="s">
        <v>23</v>
      </c>
      <c r="C366" t="s">
        <v>111</v>
      </c>
      <c r="D366">
        <f t="shared" si="29"/>
        <v>2050</v>
      </c>
      <c r="E366" t="e">
        <f>SUMIFS(IF(D366=År1,IF(B366="Vestdanmark",'Resultater - Vestdanmark'!$H$3:$H$474,'Resultater - Østdanmark'!$H$3:$H$474),IF(D366=År2,IF(B366="Vestdanmark",'Resultater - Vestdanmark'!$I$3:$I$474,'Resultater - Østdanmark'!$I$3:$I$474),IF(B366="Vestdanmark",'Resultater - Vestdanmark'!$J$3:$J$474,'Resultater - Østdanmark'!$J$3:$J$474))),'Resultater - Vestdanmark'!$D$3:$D$474,C366,'Resultater - Vestdanmark'!$F$3:$F$474,A366)/SUMIFS(IF(D366=År1,'[1]Processer - data'!$H$3:$H$467,IF(D366=År2,'[1]Processer - data'!$I$3:$I$467,'[1]Processer - data'!$J$3:$J$467)),'[1]Processer - data'!$D$3:$D$467,C366,'[1]Processer - data'!$F$3:$F$467,A366)</f>
        <v>#REF!</v>
      </c>
    </row>
    <row r="367" spans="1:5" x14ac:dyDescent="0.25">
      <c r="A367" t="s">
        <v>115</v>
      </c>
      <c r="B367" t="s">
        <v>23</v>
      </c>
      <c r="C367" t="s">
        <v>116</v>
      </c>
      <c r="D367">
        <f t="shared" si="29"/>
        <v>2050</v>
      </c>
      <c r="E367" t="e">
        <f>SUMIFS(IF(D367=År1,IF(B367="Vestdanmark",'Resultater - Vestdanmark'!$H$3:$H$474,'Resultater - Østdanmark'!$H$3:$H$474),IF(D367=År2,IF(B367="Vestdanmark",'Resultater - Vestdanmark'!$I$3:$I$474,'Resultater - Østdanmark'!$I$3:$I$474),IF(B367="Vestdanmark",'Resultater - Vestdanmark'!$J$3:$J$474,'Resultater - Østdanmark'!$J$3:$J$474))),'Resultater - Vestdanmark'!$D$3:$D$474,C367,'Resultater - Vestdanmark'!$F$3:$F$474,A367)/SUMIFS(IF(D367=År1,'[1]Processer - data'!$H$3:$H$467,IF(D367=År2,'[1]Processer - data'!$I$3:$I$467,'[1]Processer - data'!$J$3:$J$467)),'[1]Processer - data'!$D$3:$D$467,C367,'[1]Processer - data'!$F$3:$F$467,A367)</f>
        <v>#REF!</v>
      </c>
    </row>
    <row r="368" spans="1:5" x14ac:dyDescent="0.25">
      <c r="A368" t="s">
        <v>115</v>
      </c>
      <c r="B368" t="s">
        <v>24</v>
      </c>
      <c r="C368" t="s">
        <v>136</v>
      </c>
      <c r="D368">
        <f t="shared" ref="D368:D373" si="30">År1</f>
        <v>2019</v>
      </c>
      <c r="E368" t="e">
        <f>SUMIFS(IF(D368=År1,IF(B368="Vestdanmark",'Resultater - Vestdanmark'!$H$3:$H$474,'Resultater - Østdanmark'!$H$3:$H$474),IF(D368=År2,IF(B368="Vestdanmark",'Resultater - Vestdanmark'!$I$3:$I$474,'Resultater - Østdanmark'!$I$3:$I$474),IF(B368="Vestdanmark",'Resultater - Vestdanmark'!$J$3:$J$474,'Resultater - Østdanmark'!$J$3:$J$474))),'Resultater - Vestdanmark'!$D$3:$D$474,C368,'Resultater - Vestdanmark'!$F$3:$F$474,A368)/SUMIFS(IF(D368=År1,'[1]Processer - data'!$H$3:$H$467,IF(D368=År2,'[1]Processer - data'!$I$3:$I$467,'[1]Processer - data'!$J$3:$J$467)),'[1]Processer - data'!$D$3:$D$467,C368,'[1]Processer - data'!$F$3:$F$467,A368)</f>
        <v>#REF!</v>
      </c>
    </row>
    <row r="369" spans="1:5" x14ac:dyDescent="0.25">
      <c r="A369" t="s">
        <v>115</v>
      </c>
      <c r="B369" t="s">
        <v>24</v>
      </c>
      <c r="C369" t="s">
        <v>137</v>
      </c>
      <c r="D369">
        <f t="shared" si="30"/>
        <v>2019</v>
      </c>
      <c r="E369" t="e">
        <f>SUMIFS(IF(D369=År1,IF(B369="Vestdanmark",'Resultater - Vestdanmark'!$H$3:$H$474,'Resultater - Østdanmark'!$H$3:$H$474),IF(D369=År2,IF(B369="Vestdanmark",'Resultater - Vestdanmark'!$I$3:$I$474,'Resultater - Østdanmark'!$I$3:$I$474),IF(B369="Vestdanmark",'Resultater - Vestdanmark'!$J$3:$J$474,'Resultater - Østdanmark'!$J$3:$J$474))),'Resultater - Vestdanmark'!$D$3:$D$474,C369,'Resultater - Vestdanmark'!$F$3:$F$474,A369)/SUMIFS(IF(D369=År1,'[1]Processer - data'!$H$3:$H$467,IF(D369=År2,'[1]Processer - data'!$I$3:$I$467,'[1]Processer - data'!$J$3:$J$467)),'[1]Processer - data'!$D$3:$D$467,C369,'[1]Processer - data'!$F$3:$F$467,A369)</f>
        <v>#REF!</v>
      </c>
    </row>
    <row r="370" spans="1:5" x14ac:dyDescent="0.25">
      <c r="A370" t="s">
        <v>115</v>
      </c>
      <c r="B370" t="s">
        <v>24</v>
      </c>
      <c r="C370" t="s">
        <v>138</v>
      </c>
      <c r="D370">
        <f t="shared" si="30"/>
        <v>2019</v>
      </c>
      <c r="E370" t="e">
        <f>SUMIFS(IF(D370=År1,IF(B370="Vestdanmark",'Resultater - Vestdanmark'!$H$3:$H$474,'Resultater - Østdanmark'!$H$3:$H$474),IF(D370=År2,IF(B370="Vestdanmark",'Resultater - Vestdanmark'!$I$3:$I$474,'Resultater - Østdanmark'!$I$3:$I$474),IF(B370="Vestdanmark",'Resultater - Vestdanmark'!$J$3:$J$474,'Resultater - Østdanmark'!$J$3:$J$474))),'Resultater - Vestdanmark'!$D$3:$D$474,C370,'Resultater - Vestdanmark'!$F$3:$F$474,A370)/SUMIFS(IF(D370=År1,'[1]Processer - data'!$H$3:$H$467,IF(D370=År2,'[1]Processer - data'!$I$3:$I$467,'[1]Processer - data'!$J$3:$J$467)),'[1]Processer - data'!$D$3:$D$467,C370,'[1]Processer - data'!$F$3:$F$467,A370)</f>
        <v>#REF!</v>
      </c>
    </row>
    <row r="371" spans="1:5" x14ac:dyDescent="0.25">
      <c r="A371" t="s">
        <v>115</v>
      </c>
      <c r="B371" t="s">
        <v>24</v>
      </c>
      <c r="C371" t="s">
        <v>102</v>
      </c>
      <c r="D371">
        <f t="shared" si="30"/>
        <v>2019</v>
      </c>
      <c r="E371" t="e">
        <f>SUMIFS(IF(D371=År1,IF(B371="Vestdanmark",'Resultater - Vestdanmark'!$H$3:$H$474,'Resultater - Østdanmark'!$H$3:$H$474),IF(D371=År2,IF(B371="Vestdanmark",'Resultater - Vestdanmark'!$I$3:$I$474,'Resultater - Østdanmark'!$I$3:$I$474),IF(B371="Vestdanmark",'Resultater - Vestdanmark'!$J$3:$J$474,'Resultater - Østdanmark'!$J$3:$J$474))),'Resultater - Vestdanmark'!$D$3:$D$474,C371,'Resultater - Vestdanmark'!$F$3:$F$474,A371)/SUMIFS(IF(D371=År1,'[1]Processer - data'!$H$3:$H$467,IF(D371=År2,'[1]Processer - data'!$I$3:$I$467,'[1]Processer - data'!$J$3:$J$467)),'[1]Processer - data'!$D$3:$D$467,C371,'[1]Processer - data'!$F$3:$F$467,A371)</f>
        <v>#REF!</v>
      </c>
    </row>
    <row r="372" spans="1:5" x14ac:dyDescent="0.25">
      <c r="A372" t="s">
        <v>115</v>
      </c>
      <c r="B372" t="s">
        <v>24</v>
      </c>
      <c r="C372" t="s">
        <v>111</v>
      </c>
      <c r="D372">
        <f t="shared" si="30"/>
        <v>2019</v>
      </c>
      <c r="E372" t="e">
        <f>SUMIFS(IF(D372=År1,IF(B372="Vestdanmark",'Resultater - Vestdanmark'!$H$3:$H$474,'Resultater - Østdanmark'!$H$3:$H$474),IF(D372=År2,IF(B372="Vestdanmark",'Resultater - Vestdanmark'!$I$3:$I$474,'Resultater - Østdanmark'!$I$3:$I$474),IF(B372="Vestdanmark",'Resultater - Vestdanmark'!$J$3:$J$474,'Resultater - Østdanmark'!$J$3:$J$474))),'Resultater - Vestdanmark'!$D$3:$D$474,C372,'Resultater - Vestdanmark'!$F$3:$F$474,A372)/SUMIFS(IF(D372=År1,'[1]Processer - data'!$H$3:$H$467,IF(D372=År2,'[1]Processer - data'!$I$3:$I$467,'[1]Processer - data'!$J$3:$J$467)),'[1]Processer - data'!$D$3:$D$467,C372,'[1]Processer - data'!$F$3:$F$467,A372)</f>
        <v>#REF!</v>
      </c>
    </row>
    <row r="373" spans="1:5" x14ac:dyDescent="0.25">
      <c r="A373" t="s">
        <v>115</v>
      </c>
      <c r="B373" t="s">
        <v>24</v>
      </c>
      <c r="C373" t="s">
        <v>116</v>
      </c>
      <c r="D373">
        <f t="shared" si="30"/>
        <v>2019</v>
      </c>
      <c r="E373" t="e">
        <f>SUMIFS(IF(D373=År1,IF(B373="Vestdanmark",'Resultater - Vestdanmark'!$H$3:$H$474,'Resultater - Østdanmark'!$H$3:$H$474),IF(D373=År2,IF(B373="Vestdanmark",'Resultater - Vestdanmark'!$I$3:$I$474,'Resultater - Østdanmark'!$I$3:$I$474),IF(B373="Vestdanmark",'Resultater - Vestdanmark'!$J$3:$J$474,'Resultater - Østdanmark'!$J$3:$J$474))),'Resultater - Vestdanmark'!$D$3:$D$474,C373,'Resultater - Vestdanmark'!$F$3:$F$474,A373)/SUMIFS(IF(D373=År1,'[1]Processer - data'!$H$3:$H$467,IF(D373=År2,'[1]Processer - data'!$I$3:$I$467,'[1]Processer - data'!$J$3:$J$467)),'[1]Processer - data'!$D$3:$D$467,C373,'[1]Processer - data'!$F$3:$F$467,A373)</f>
        <v>#REF!</v>
      </c>
    </row>
    <row r="374" spans="1:5" x14ac:dyDescent="0.25">
      <c r="A374" t="s">
        <v>115</v>
      </c>
      <c r="B374" t="s">
        <v>24</v>
      </c>
      <c r="C374" t="s">
        <v>136</v>
      </c>
      <c r="D374">
        <f t="shared" ref="D374:D379" si="31">År2</f>
        <v>2030</v>
      </c>
      <c r="E374" t="e">
        <f>SUMIFS(IF(D374=År1,IF(B374="Vestdanmark",'Resultater - Vestdanmark'!$H$3:$H$474,'Resultater - Østdanmark'!$H$3:$H$474),IF(D374=År2,IF(B374="Vestdanmark",'Resultater - Vestdanmark'!$I$3:$I$474,'Resultater - Østdanmark'!$I$3:$I$474),IF(B374="Vestdanmark",'Resultater - Vestdanmark'!$J$3:$J$474,'Resultater - Østdanmark'!$J$3:$J$474))),'Resultater - Vestdanmark'!$D$3:$D$474,C374,'Resultater - Vestdanmark'!$F$3:$F$474,A374)/SUMIFS(IF(D374=År1,'[1]Processer - data'!$H$3:$H$467,IF(D374=År2,'[1]Processer - data'!$I$3:$I$467,'[1]Processer - data'!$J$3:$J$467)),'[1]Processer - data'!$D$3:$D$467,C374,'[1]Processer - data'!$F$3:$F$467,A374)</f>
        <v>#REF!</v>
      </c>
    </row>
    <row r="375" spans="1:5" x14ac:dyDescent="0.25">
      <c r="A375" t="s">
        <v>115</v>
      </c>
      <c r="B375" t="s">
        <v>24</v>
      </c>
      <c r="C375" t="s">
        <v>137</v>
      </c>
      <c r="D375">
        <f t="shared" si="31"/>
        <v>2030</v>
      </c>
      <c r="E375" t="e">
        <f>SUMIFS(IF(D375=År1,IF(B375="Vestdanmark",'Resultater - Vestdanmark'!$H$3:$H$474,'Resultater - Østdanmark'!$H$3:$H$474),IF(D375=År2,IF(B375="Vestdanmark",'Resultater - Vestdanmark'!$I$3:$I$474,'Resultater - Østdanmark'!$I$3:$I$474),IF(B375="Vestdanmark",'Resultater - Vestdanmark'!$J$3:$J$474,'Resultater - Østdanmark'!$J$3:$J$474))),'Resultater - Vestdanmark'!$D$3:$D$474,C375,'Resultater - Vestdanmark'!$F$3:$F$474,A375)/SUMIFS(IF(D375=År1,'[1]Processer - data'!$H$3:$H$467,IF(D375=År2,'[1]Processer - data'!$I$3:$I$467,'[1]Processer - data'!$J$3:$J$467)),'[1]Processer - data'!$D$3:$D$467,C375,'[1]Processer - data'!$F$3:$F$467,A375)</f>
        <v>#REF!</v>
      </c>
    </row>
    <row r="376" spans="1:5" x14ac:dyDescent="0.25">
      <c r="A376" t="s">
        <v>115</v>
      </c>
      <c r="B376" t="s">
        <v>24</v>
      </c>
      <c r="C376" t="s">
        <v>138</v>
      </c>
      <c r="D376">
        <f t="shared" si="31"/>
        <v>2030</v>
      </c>
      <c r="E376" t="e">
        <f>SUMIFS(IF(D376=År1,IF(B376="Vestdanmark",'Resultater - Vestdanmark'!$H$3:$H$474,'Resultater - Østdanmark'!$H$3:$H$474),IF(D376=År2,IF(B376="Vestdanmark",'Resultater - Vestdanmark'!$I$3:$I$474,'Resultater - Østdanmark'!$I$3:$I$474),IF(B376="Vestdanmark",'Resultater - Vestdanmark'!$J$3:$J$474,'Resultater - Østdanmark'!$J$3:$J$474))),'Resultater - Vestdanmark'!$D$3:$D$474,C376,'Resultater - Vestdanmark'!$F$3:$F$474,A376)/SUMIFS(IF(D376=År1,'[1]Processer - data'!$H$3:$H$467,IF(D376=År2,'[1]Processer - data'!$I$3:$I$467,'[1]Processer - data'!$J$3:$J$467)),'[1]Processer - data'!$D$3:$D$467,C376,'[1]Processer - data'!$F$3:$F$467,A376)</f>
        <v>#REF!</v>
      </c>
    </row>
    <row r="377" spans="1:5" x14ac:dyDescent="0.25">
      <c r="A377" t="s">
        <v>115</v>
      </c>
      <c r="B377" t="s">
        <v>24</v>
      </c>
      <c r="C377" t="s">
        <v>102</v>
      </c>
      <c r="D377">
        <f t="shared" si="31"/>
        <v>2030</v>
      </c>
      <c r="E377" t="e">
        <f>SUMIFS(IF(D377=År1,IF(B377="Vestdanmark",'Resultater - Vestdanmark'!$H$3:$H$474,'Resultater - Østdanmark'!$H$3:$H$474),IF(D377=År2,IF(B377="Vestdanmark",'Resultater - Vestdanmark'!$I$3:$I$474,'Resultater - Østdanmark'!$I$3:$I$474),IF(B377="Vestdanmark",'Resultater - Vestdanmark'!$J$3:$J$474,'Resultater - Østdanmark'!$J$3:$J$474))),'Resultater - Vestdanmark'!$D$3:$D$474,C377,'Resultater - Vestdanmark'!$F$3:$F$474,A377)/SUMIFS(IF(D377=År1,'[1]Processer - data'!$H$3:$H$467,IF(D377=År2,'[1]Processer - data'!$I$3:$I$467,'[1]Processer - data'!$J$3:$J$467)),'[1]Processer - data'!$D$3:$D$467,C377,'[1]Processer - data'!$F$3:$F$467,A377)</f>
        <v>#REF!</v>
      </c>
    </row>
    <row r="378" spans="1:5" x14ac:dyDescent="0.25">
      <c r="A378" t="s">
        <v>115</v>
      </c>
      <c r="B378" t="s">
        <v>24</v>
      </c>
      <c r="C378" t="s">
        <v>111</v>
      </c>
      <c r="D378">
        <f t="shared" si="31"/>
        <v>2030</v>
      </c>
      <c r="E378" t="e">
        <f>SUMIFS(IF(D378=År1,IF(B378="Vestdanmark",'Resultater - Vestdanmark'!$H$3:$H$474,'Resultater - Østdanmark'!$H$3:$H$474),IF(D378=År2,IF(B378="Vestdanmark",'Resultater - Vestdanmark'!$I$3:$I$474,'Resultater - Østdanmark'!$I$3:$I$474),IF(B378="Vestdanmark",'Resultater - Vestdanmark'!$J$3:$J$474,'Resultater - Østdanmark'!$J$3:$J$474))),'Resultater - Vestdanmark'!$D$3:$D$474,C378,'Resultater - Vestdanmark'!$F$3:$F$474,A378)/SUMIFS(IF(D378=År1,'[1]Processer - data'!$H$3:$H$467,IF(D378=År2,'[1]Processer - data'!$I$3:$I$467,'[1]Processer - data'!$J$3:$J$467)),'[1]Processer - data'!$D$3:$D$467,C378,'[1]Processer - data'!$F$3:$F$467,A378)</f>
        <v>#REF!</v>
      </c>
    </row>
    <row r="379" spans="1:5" x14ac:dyDescent="0.25">
      <c r="A379" t="s">
        <v>115</v>
      </c>
      <c r="B379" t="s">
        <v>24</v>
      </c>
      <c r="C379" t="s">
        <v>116</v>
      </c>
      <c r="D379">
        <f t="shared" si="31"/>
        <v>2030</v>
      </c>
      <c r="E379" t="e">
        <f>SUMIFS(IF(D379=År1,IF(B379="Vestdanmark",'Resultater - Vestdanmark'!$H$3:$H$474,'Resultater - Østdanmark'!$H$3:$H$474),IF(D379=År2,IF(B379="Vestdanmark",'Resultater - Vestdanmark'!$I$3:$I$474,'Resultater - Østdanmark'!$I$3:$I$474),IF(B379="Vestdanmark",'Resultater - Vestdanmark'!$J$3:$J$474,'Resultater - Østdanmark'!$J$3:$J$474))),'Resultater - Vestdanmark'!$D$3:$D$474,C379,'Resultater - Vestdanmark'!$F$3:$F$474,A379)/SUMIFS(IF(D379=År1,'[1]Processer - data'!$H$3:$H$467,IF(D379=År2,'[1]Processer - data'!$I$3:$I$467,'[1]Processer - data'!$J$3:$J$467)),'[1]Processer - data'!$D$3:$D$467,C379,'[1]Processer - data'!$F$3:$F$467,A379)</f>
        <v>#REF!</v>
      </c>
    </row>
    <row r="380" spans="1:5" x14ac:dyDescent="0.25">
      <c r="A380" t="s">
        <v>115</v>
      </c>
      <c r="B380" t="s">
        <v>24</v>
      </c>
      <c r="C380" t="s">
        <v>136</v>
      </c>
      <c r="D380">
        <f t="shared" ref="D380:D385" si="32">År3</f>
        <v>2050</v>
      </c>
      <c r="E380" t="e">
        <f>SUMIFS(IF(D380=År1,IF(B380="Vestdanmark",'Resultater - Vestdanmark'!$H$3:$H$474,'Resultater - Østdanmark'!$H$3:$H$474),IF(D380=År2,IF(B380="Vestdanmark",'Resultater - Vestdanmark'!$I$3:$I$474,'Resultater - Østdanmark'!$I$3:$I$474),IF(B380="Vestdanmark",'Resultater - Vestdanmark'!$J$3:$J$474,'Resultater - Østdanmark'!$J$3:$J$474))),'Resultater - Vestdanmark'!$D$3:$D$474,C380,'Resultater - Vestdanmark'!$F$3:$F$474,A380)/SUMIFS(IF(D380=År1,'[1]Processer - data'!$H$3:$H$467,IF(D380=År2,'[1]Processer - data'!$I$3:$I$467,'[1]Processer - data'!$J$3:$J$467)),'[1]Processer - data'!$D$3:$D$467,C380,'[1]Processer - data'!$F$3:$F$467,A380)</f>
        <v>#REF!</v>
      </c>
    </row>
    <row r="381" spans="1:5" x14ac:dyDescent="0.25">
      <c r="A381" t="s">
        <v>115</v>
      </c>
      <c r="B381" t="s">
        <v>24</v>
      </c>
      <c r="C381" t="s">
        <v>137</v>
      </c>
      <c r="D381">
        <f t="shared" si="32"/>
        <v>2050</v>
      </c>
      <c r="E381" t="e">
        <f>SUMIFS(IF(D381=År1,IF(B381="Vestdanmark",'Resultater - Vestdanmark'!$H$3:$H$474,'Resultater - Østdanmark'!$H$3:$H$474),IF(D381=År2,IF(B381="Vestdanmark",'Resultater - Vestdanmark'!$I$3:$I$474,'Resultater - Østdanmark'!$I$3:$I$474),IF(B381="Vestdanmark",'Resultater - Vestdanmark'!$J$3:$J$474,'Resultater - Østdanmark'!$J$3:$J$474))),'Resultater - Vestdanmark'!$D$3:$D$474,C381,'Resultater - Vestdanmark'!$F$3:$F$474,A381)/SUMIFS(IF(D381=År1,'[1]Processer - data'!$H$3:$H$467,IF(D381=År2,'[1]Processer - data'!$I$3:$I$467,'[1]Processer - data'!$J$3:$J$467)),'[1]Processer - data'!$D$3:$D$467,C381,'[1]Processer - data'!$F$3:$F$467,A381)</f>
        <v>#REF!</v>
      </c>
    </row>
    <row r="382" spans="1:5" x14ac:dyDescent="0.25">
      <c r="A382" t="s">
        <v>115</v>
      </c>
      <c r="B382" t="s">
        <v>24</v>
      </c>
      <c r="C382" t="s">
        <v>138</v>
      </c>
      <c r="D382">
        <f t="shared" si="32"/>
        <v>2050</v>
      </c>
      <c r="E382" t="e">
        <f>SUMIFS(IF(D382=År1,IF(B382="Vestdanmark",'Resultater - Vestdanmark'!$H$3:$H$474,'Resultater - Østdanmark'!$H$3:$H$474),IF(D382=År2,IF(B382="Vestdanmark",'Resultater - Vestdanmark'!$I$3:$I$474,'Resultater - Østdanmark'!$I$3:$I$474),IF(B382="Vestdanmark",'Resultater - Vestdanmark'!$J$3:$J$474,'Resultater - Østdanmark'!$J$3:$J$474))),'Resultater - Vestdanmark'!$D$3:$D$474,C382,'Resultater - Vestdanmark'!$F$3:$F$474,A382)/SUMIFS(IF(D382=År1,'[1]Processer - data'!$H$3:$H$467,IF(D382=År2,'[1]Processer - data'!$I$3:$I$467,'[1]Processer - data'!$J$3:$J$467)),'[1]Processer - data'!$D$3:$D$467,C382,'[1]Processer - data'!$F$3:$F$467,A382)</f>
        <v>#REF!</v>
      </c>
    </row>
    <row r="383" spans="1:5" x14ac:dyDescent="0.25">
      <c r="A383" t="s">
        <v>115</v>
      </c>
      <c r="B383" t="s">
        <v>24</v>
      </c>
      <c r="C383" t="s">
        <v>102</v>
      </c>
      <c r="D383">
        <f t="shared" si="32"/>
        <v>2050</v>
      </c>
      <c r="E383" t="e">
        <f>SUMIFS(IF(D383=År1,IF(B383="Vestdanmark",'Resultater - Vestdanmark'!$H$3:$H$474,'Resultater - Østdanmark'!$H$3:$H$474),IF(D383=År2,IF(B383="Vestdanmark",'Resultater - Vestdanmark'!$I$3:$I$474,'Resultater - Østdanmark'!$I$3:$I$474),IF(B383="Vestdanmark",'Resultater - Vestdanmark'!$J$3:$J$474,'Resultater - Østdanmark'!$J$3:$J$474))),'Resultater - Vestdanmark'!$D$3:$D$474,C383,'Resultater - Vestdanmark'!$F$3:$F$474,A383)/SUMIFS(IF(D383=År1,'[1]Processer - data'!$H$3:$H$467,IF(D383=År2,'[1]Processer - data'!$I$3:$I$467,'[1]Processer - data'!$J$3:$J$467)),'[1]Processer - data'!$D$3:$D$467,C383,'[1]Processer - data'!$F$3:$F$467,A383)</f>
        <v>#REF!</v>
      </c>
    </row>
    <row r="384" spans="1:5" x14ac:dyDescent="0.25">
      <c r="A384" t="s">
        <v>115</v>
      </c>
      <c r="B384" t="s">
        <v>24</v>
      </c>
      <c r="C384" t="s">
        <v>111</v>
      </c>
      <c r="D384">
        <f t="shared" si="32"/>
        <v>2050</v>
      </c>
      <c r="E384" t="e">
        <f>SUMIFS(IF(D384=År1,IF(B384="Vestdanmark",'Resultater - Vestdanmark'!$H$3:$H$474,'Resultater - Østdanmark'!$H$3:$H$474),IF(D384=År2,IF(B384="Vestdanmark",'Resultater - Vestdanmark'!$I$3:$I$474,'Resultater - Østdanmark'!$I$3:$I$474),IF(B384="Vestdanmark",'Resultater - Vestdanmark'!$J$3:$J$474,'Resultater - Østdanmark'!$J$3:$J$474))),'Resultater - Vestdanmark'!$D$3:$D$474,C384,'Resultater - Vestdanmark'!$F$3:$F$474,A384)/SUMIFS(IF(D384=År1,'[1]Processer - data'!$H$3:$H$467,IF(D384=År2,'[1]Processer - data'!$I$3:$I$467,'[1]Processer - data'!$J$3:$J$467)),'[1]Processer - data'!$D$3:$D$467,C384,'[1]Processer - data'!$F$3:$F$467,A384)</f>
        <v>#REF!</v>
      </c>
    </row>
    <row r="385" spans="1:7" x14ac:dyDescent="0.25">
      <c r="A385" t="s">
        <v>115</v>
      </c>
      <c r="B385" t="s">
        <v>24</v>
      </c>
      <c r="C385" t="s">
        <v>116</v>
      </c>
      <c r="D385">
        <f t="shared" si="32"/>
        <v>2050</v>
      </c>
      <c r="E385" t="e">
        <f>SUMIFS(IF(D385=År1,IF(B385="Vestdanmark",'Resultater - Vestdanmark'!$H$3:$H$474,'Resultater - Østdanmark'!$H$3:$H$474),IF(D385=År2,IF(B385="Vestdanmark",'Resultater - Vestdanmark'!$I$3:$I$474,'Resultater - Østdanmark'!$I$3:$I$474),IF(B385="Vestdanmark",'Resultater - Vestdanmark'!$J$3:$J$474,'Resultater - Østdanmark'!$J$3:$J$474))),'Resultater - Vestdanmark'!$D$3:$D$474,C385,'Resultater - Vestdanmark'!$F$3:$F$474,A385)/SUMIFS(IF(D385=År1,'[1]Processer - data'!$H$3:$H$467,IF(D385=År2,'[1]Processer - data'!$I$3:$I$467,'[1]Processer - data'!$J$3:$J$467)),'[1]Processer - data'!$D$3:$D$467,C385,'[1]Processer - data'!$F$3:$F$467,A385)</f>
        <v>#REF!</v>
      </c>
    </row>
    <row r="386" spans="1:7" x14ac:dyDescent="0.25">
      <c r="A386" t="s">
        <v>211</v>
      </c>
      <c r="B386" t="s">
        <v>23</v>
      </c>
      <c r="C386" t="s">
        <v>51</v>
      </c>
      <c r="D386">
        <f>År1</f>
        <v>2019</v>
      </c>
      <c r="E386" t="e">
        <f>SUMIFS($E$2:$E$385,$A$2:$A$385,"Foder",$B$2:$B$385,B386,$C$2:$C$385,"Græsprotein",$D$2:$D$385,D386)/VLOOKUP(A386,'[1]Processer - data'!$A$3:$J$470,MATCH(D386,'[1]Processer - data'!$A$2:$J$2,0),FALSE)</f>
        <v>#REF!</v>
      </c>
      <c r="G386" s="171">
        <v>1</v>
      </c>
    </row>
    <row r="387" spans="1:7" x14ac:dyDescent="0.25">
      <c r="A387" t="s">
        <v>211</v>
      </c>
      <c r="B387" t="s">
        <v>23</v>
      </c>
      <c r="C387" t="s">
        <v>51</v>
      </c>
      <c r="D387">
        <f>År2</f>
        <v>2030</v>
      </c>
      <c r="E387" t="e">
        <f>SUMIFS($E$2:$E$385,$A$2:$A$385,"Foder",$B$2:$B$385,B387,$C$2:$C$385,"Græsprotein",$D$2:$D$385,D387)/VLOOKUP(A387,'[1]Processer - data'!$A$3:$J$470,MATCH(D387,'[1]Processer - data'!$A$2:$J$2,0),FALSE)</f>
        <v>#REF!</v>
      </c>
      <c r="G387" s="171">
        <v>1</v>
      </c>
    </row>
    <row r="388" spans="1:7" x14ac:dyDescent="0.25">
      <c r="A388" t="s">
        <v>211</v>
      </c>
      <c r="B388" t="s">
        <v>23</v>
      </c>
      <c r="C388" t="s">
        <v>51</v>
      </c>
      <c r="D388">
        <f>År3</f>
        <v>2050</v>
      </c>
      <c r="E388" t="e">
        <f>SUMIFS($E$2:$E$385,$A$2:$A$385,"Foder",$B$2:$B$385,B388,$C$2:$C$385,"Græsprotein",$D$2:$D$385,D388)/VLOOKUP(A388,'[1]Processer - data'!$A$3:$J$470,MATCH(D388,'[1]Processer - data'!$A$2:$J$2,0),FALSE)</f>
        <v>#REF!</v>
      </c>
      <c r="G388" s="171">
        <v>1</v>
      </c>
    </row>
    <row r="389" spans="1:7" x14ac:dyDescent="0.25">
      <c r="A389" t="s">
        <v>211</v>
      </c>
      <c r="B389" t="s">
        <v>24</v>
      </c>
      <c r="C389" t="s">
        <v>51</v>
      </c>
      <c r="D389">
        <f>År1</f>
        <v>2019</v>
      </c>
      <c r="E389" t="e">
        <f>SUMIFS($E$2:$E$385,$A$2:$A$385,"Foder",$B$2:$B$385,B389,$C$2:$C$385,"Græsprotein",$D$2:$D$385,D389)/VLOOKUP(A389,'[1]Processer - data'!$A$3:$J$470,MATCH(D389,'[1]Processer - data'!$A$2:$J$2,0),FALSE)</f>
        <v>#REF!</v>
      </c>
      <c r="G389" s="171">
        <v>1</v>
      </c>
    </row>
    <row r="390" spans="1:7" x14ac:dyDescent="0.25">
      <c r="A390" t="s">
        <v>211</v>
      </c>
      <c r="B390" t="s">
        <v>24</v>
      </c>
      <c r="C390" t="s">
        <v>51</v>
      </c>
      <c r="D390">
        <f>År2</f>
        <v>2030</v>
      </c>
      <c r="E390" t="e">
        <f>SUMIFS($E$2:$E$385,$A$2:$A$385,"Foder",$B$2:$B$385,B390,$C$2:$C$385,"Græsprotein",$D$2:$D$385,D390)/VLOOKUP(A390,'[1]Processer - data'!$A$3:$J$470,MATCH(D390,'[1]Processer - data'!$A$2:$J$2,0),FALSE)</f>
        <v>#REF!</v>
      </c>
      <c r="G390" s="171">
        <v>1</v>
      </c>
    </row>
    <row r="391" spans="1:7" x14ac:dyDescent="0.25">
      <c r="A391" t="s">
        <v>211</v>
      </c>
      <c r="B391" t="s">
        <v>24</v>
      </c>
      <c r="C391" t="s">
        <v>51</v>
      </c>
      <c r="D391">
        <f>År3</f>
        <v>2050</v>
      </c>
      <c r="E391" t="e">
        <f>SUMIFS($E$2:$E$385,$A$2:$A$385,"Foder",$B$2:$B$385,B391,$C$2:$C$385,"Græsprotein",$D$2:$D$385,D391)/VLOOKUP(A391,'[1]Processer - data'!$A$3:$J$470,MATCH(D391,'[1]Processer - data'!$A$2:$J$2,0),FALSE)</f>
        <v>#REF!</v>
      </c>
      <c r="G391" s="171">
        <v>1</v>
      </c>
    </row>
    <row r="392" spans="1:7" x14ac:dyDescent="0.25">
      <c r="A392" t="s">
        <v>239</v>
      </c>
      <c r="B392" t="s">
        <v>23</v>
      </c>
      <c r="C392" t="s">
        <v>50</v>
      </c>
      <c r="D392">
        <f>År1</f>
        <v>2019</v>
      </c>
      <c r="E392" t="e">
        <f>IF(B392="Vestdanmark",SUMIFS(IF(D392=År1,'Resultater - Vestdanmark'!$H$3:$H$472,IF(D392=År2,'Resultater - Vestdanmark'!$I$3:$I$472,'Resultater - Vestdanmark'!$J$3:$J$472)),'Resultater - Vestdanmark'!$F$3:$F$472,C392),SUMIFS(IF(D392=År1,'Resultater - Østdanmark'!$H$3:$H$472,IF(D392=År2,'Resultater - Østdanmark'!$I$3:$I$472,'Resultater - Østdanmark'!$J$3:$J$472)),'Resultater - Østdanmark'!$F$3:$F$472,C392))</f>
        <v>#REF!</v>
      </c>
      <c r="G392" s="171">
        <v>1</v>
      </c>
    </row>
    <row r="393" spans="1:7" x14ac:dyDescent="0.25">
      <c r="A393" t="s">
        <v>239</v>
      </c>
      <c r="B393" t="s">
        <v>23</v>
      </c>
      <c r="C393" t="s">
        <v>50</v>
      </c>
      <c r="D393">
        <f>År2</f>
        <v>2030</v>
      </c>
      <c r="E393" t="e">
        <f>IF(B393="Vestdanmark",SUMIFS(IF(D393=År1,'Resultater - Vestdanmark'!$H$3:$H$472,IF(D393=År2,'Resultater - Vestdanmark'!$I$3:$I$472,'Resultater - Vestdanmark'!$J$3:$J$472)),'Resultater - Vestdanmark'!$F$3:$F$472,C393),SUMIFS(IF(D393=År1,'Resultater - Østdanmark'!$H$3:$H$472,IF(D393=År2,'Resultater - Østdanmark'!$I$3:$I$472,'Resultater - Østdanmark'!$J$3:$J$472)),'Resultater - Østdanmark'!$F$3:$F$472,C393))</f>
        <v>#REF!</v>
      </c>
      <c r="G393" s="171">
        <v>1</v>
      </c>
    </row>
    <row r="394" spans="1:7" x14ac:dyDescent="0.25">
      <c r="A394" t="s">
        <v>239</v>
      </c>
      <c r="B394" t="s">
        <v>23</v>
      </c>
      <c r="C394" t="s">
        <v>50</v>
      </c>
      <c r="D394">
        <f>År3</f>
        <v>2050</v>
      </c>
      <c r="E394" t="e">
        <f>IF(B394="Vestdanmark",SUMIFS(IF(D394=År1,'Resultater - Vestdanmark'!$H$3:$H$472,IF(D394=År2,'Resultater - Vestdanmark'!$I$3:$I$472,'Resultater - Vestdanmark'!$J$3:$J$472)),'Resultater - Vestdanmark'!$F$3:$F$472,C394),SUMIFS(IF(D394=År1,'Resultater - Østdanmark'!$H$3:$H$472,IF(D394=År2,'Resultater - Østdanmark'!$I$3:$I$472,'Resultater - Østdanmark'!$J$3:$J$472)),'Resultater - Østdanmark'!$F$3:$F$472,C394))</f>
        <v>#REF!</v>
      </c>
      <c r="G394" s="171">
        <v>1</v>
      </c>
    </row>
    <row r="395" spans="1:7" x14ac:dyDescent="0.25">
      <c r="A395" t="s">
        <v>239</v>
      </c>
      <c r="B395" t="s">
        <v>24</v>
      </c>
      <c r="C395" t="s">
        <v>50</v>
      </c>
      <c r="D395">
        <f>År1</f>
        <v>2019</v>
      </c>
      <c r="E395" t="e">
        <f>IF(B395="Vestdanmark",SUMIFS(IF(D395=År1,'Resultater - Vestdanmark'!$H$3:$H$472,IF(D395=År2,'Resultater - Vestdanmark'!$I$3:$I$472,'Resultater - Vestdanmark'!$J$3:$J$472)),'Resultater - Vestdanmark'!$F$3:$F$472,C395),SUMIFS(IF(D395=År1,'Resultater - Østdanmark'!$H$3:$H$472,IF(D395=År2,'Resultater - Østdanmark'!$I$3:$I$472,'Resultater - Østdanmark'!$J$3:$J$472)),'Resultater - Østdanmark'!$F$3:$F$472,C395))</f>
        <v>#REF!</v>
      </c>
      <c r="G395" s="171">
        <v>1</v>
      </c>
    </row>
    <row r="396" spans="1:7" x14ac:dyDescent="0.25">
      <c r="A396" t="s">
        <v>239</v>
      </c>
      <c r="B396" t="s">
        <v>24</v>
      </c>
      <c r="C396" t="s">
        <v>50</v>
      </c>
      <c r="D396">
        <f>År2</f>
        <v>2030</v>
      </c>
      <c r="E396" t="e">
        <f>IF(B396="Vestdanmark",SUMIFS(IF(D396=År1,'Resultater - Vestdanmark'!$H$3:$H$472,IF(D396=År2,'Resultater - Vestdanmark'!$I$3:$I$472,'Resultater - Vestdanmark'!$J$3:$J$472)),'Resultater - Vestdanmark'!$F$3:$F$472,C396),SUMIFS(IF(D396=År1,'Resultater - Østdanmark'!$H$3:$H$472,IF(D396=År2,'Resultater - Østdanmark'!$I$3:$I$472,'Resultater - Østdanmark'!$J$3:$J$472)),'Resultater - Østdanmark'!$F$3:$F$472,C396))</f>
        <v>#REF!</v>
      </c>
      <c r="G396" s="171">
        <v>1</v>
      </c>
    </row>
    <row r="397" spans="1:7" x14ac:dyDescent="0.25">
      <c r="A397" t="s">
        <v>239</v>
      </c>
      <c r="B397" t="s">
        <v>24</v>
      </c>
      <c r="C397" t="s">
        <v>50</v>
      </c>
      <c r="D397">
        <f>År3</f>
        <v>2050</v>
      </c>
      <c r="E397" t="e">
        <f>IF(B397="Vestdanmark",SUMIFS(IF(D397=År1,'Resultater - Vestdanmark'!$H$3:$H$472,IF(D397=År2,'Resultater - Vestdanmark'!$I$3:$I$472,'Resultater - Vestdanmark'!$J$3:$J$472)),'Resultater - Vestdanmark'!$F$3:$F$472,C397),SUMIFS(IF(D397=År1,'Resultater - Østdanmark'!$H$3:$H$472,IF(D397=År2,'Resultater - Østdanmark'!$I$3:$I$472,'Resultater - Østdanmark'!$J$3:$J$472)),'Resultater - Østdanmark'!$F$3:$F$472,C397))</f>
        <v>#REF!</v>
      </c>
      <c r="G397" s="171">
        <v>1</v>
      </c>
    </row>
    <row r="398" spans="1:7" x14ac:dyDescent="0.25">
      <c r="A398" t="s">
        <v>320</v>
      </c>
      <c r="B398" s="171" t="s">
        <v>23</v>
      </c>
      <c r="C398" t="s">
        <v>68</v>
      </c>
      <c r="D398" s="171">
        <f>År1</f>
        <v>2019</v>
      </c>
      <c r="E398" t="e">
        <f>HLOOKUP(D398,'Forbrug til andet'!$B$3:$D$4,2,FALSE)*IF(B398="Vestdanmark",SUMIFS(IF(D398=År1,'Resultater - Vestdanmark'!$H$3:$H$480,IF(D398=År2,'Resultater - Vestdanmark'!$I$3:$I$480,'Resultater - Vestdanmark'!$J$3:$J$480)),'Resultater - Vestdanmark'!$F$3:$F$480,'Forbrug af biomasse'!C398),SUMIFS(IF(D398=År1,'Resultater - Østdanmark'!$H$3:$H$480,IF(D398=År2,'Resultater - Østdanmark'!$I$3:$I$480,'Resultater - Østdanmark'!$J$3:$J$480)),'Resultater - Østdanmark'!$F$3:$F$480,'Forbrug af biomasse'!C398))/SUMIFS(IF(D398=År1,'Resultater - Danmark'!$H$3:$H$480,IF(D398=År2,'Resultater - Danmark'!$I$3:$I$480,'Resultater - Danmark'!$J$3:$J$480)),'Resultater - Danmark'!$F$3:$F$480,'Forbrug af biomasse'!C398)</f>
        <v>#REF!</v>
      </c>
      <c r="G398" s="171">
        <v>1</v>
      </c>
    </row>
    <row r="399" spans="1:7" x14ac:dyDescent="0.25">
      <c r="A399" s="171" t="s">
        <v>320</v>
      </c>
      <c r="B399" s="171" t="s">
        <v>23</v>
      </c>
      <c r="C399" s="171" t="s">
        <v>68</v>
      </c>
      <c r="D399" s="171">
        <f>År2</f>
        <v>2030</v>
      </c>
      <c r="E399" s="171" t="e">
        <f>HLOOKUP(D399,'Forbrug til andet'!$B$3:$D$4,2,FALSE)*IF(B399="Vestdanmark",SUMIFS(IF(D399=År1,'Resultater - Vestdanmark'!$H$3:$H$480,IF(D399=År2,'Resultater - Vestdanmark'!$I$3:$I$480,'Resultater - Vestdanmark'!$J$3:$J$480)),'Resultater - Vestdanmark'!$F$3:$F$480,'Forbrug af biomasse'!C399),SUMIFS(IF(D399=År1,'Resultater - Østdanmark'!$H$3:$H$480,IF(D399=År2,'Resultater - Østdanmark'!$I$3:$I$480,'Resultater - Østdanmark'!$J$3:$J$480)),'Resultater - Østdanmark'!$F$3:$F$480,'Forbrug af biomasse'!C399))/SUMIFS(IF(D399=År1,'Resultater - Danmark'!$H$3:$H$480,IF(D399=År2,'Resultater - Danmark'!$I$3:$I$480,'Resultater - Danmark'!$J$3:$J$480)),'Resultater - Danmark'!$F$3:$F$480,'Forbrug af biomasse'!C399)</f>
        <v>#REF!</v>
      </c>
      <c r="G399" s="171">
        <v>1</v>
      </c>
    </row>
    <row r="400" spans="1:7" x14ac:dyDescent="0.25">
      <c r="A400" s="171" t="s">
        <v>320</v>
      </c>
      <c r="B400" s="171" t="s">
        <v>23</v>
      </c>
      <c r="C400" s="171" t="s">
        <v>68</v>
      </c>
      <c r="D400" s="171">
        <f>År3</f>
        <v>2050</v>
      </c>
      <c r="E400" s="171" t="e">
        <f>HLOOKUP(D400,'Forbrug til andet'!$B$3:$D$4,2,FALSE)*IF(B400="Vestdanmark",SUMIFS(IF(D400=År1,'Resultater - Vestdanmark'!$H$3:$H$480,IF(D400=År2,'Resultater - Vestdanmark'!$I$3:$I$480,'Resultater - Vestdanmark'!$J$3:$J$480)),'Resultater - Vestdanmark'!$F$3:$F$480,'Forbrug af biomasse'!C400),SUMIFS(IF(D400=År1,'Resultater - Østdanmark'!$H$3:$H$480,IF(D400=År2,'Resultater - Østdanmark'!$I$3:$I$480,'Resultater - Østdanmark'!$J$3:$J$480)),'Resultater - Østdanmark'!$F$3:$F$480,'Forbrug af biomasse'!C400))/SUMIFS(IF(D400=År1,'Resultater - Danmark'!$H$3:$H$480,IF(D400=År2,'Resultater - Danmark'!$I$3:$I$480,'Resultater - Danmark'!$J$3:$J$480)),'Resultater - Danmark'!$F$3:$F$480,'Forbrug af biomasse'!C400)</f>
        <v>#REF!</v>
      </c>
      <c r="G400" s="171">
        <v>1</v>
      </c>
    </row>
    <row r="401" spans="1:7" x14ac:dyDescent="0.25">
      <c r="A401" s="171" t="s">
        <v>320</v>
      </c>
      <c r="B401" s="171" t="s">
        <v>24</v>
      </c>
      <c r="C401" s="171" t="s">
        <v>68</v>
      </c>
      <c r="D401" s="171">
        <f>År1</f>
        <v>2019</v>
      </c>
      <c r="E401" s="171" t="e">
        <f>HLOOKUP(D401,'Forbrug til andet'!$B$3:$D$4,2,FALSE)*IF(B401="Vestdanmark",SUMIFS(IF(D401=År1,'Resultater - Vestdanmark'!$H$3:$H$480,IF(D401=År2,'Resultater - Vestdanmark'!$I$3:$I$480,'Resultater - Vestdanmark'!$J$3:$J$480)),'Resultater - Vestdanmark'!$F$3:$F$480,'Forbrug af biomasse'!C401),SUMIFS(IF(D401=År1,'Resultater - Østdanmark'!$H$3:$H$480,IF(D401=År2,'Resultater - Østdanmark'!$I$3:$I$480,'Resultater - Østdanmark'!$J$3:$J$480)),'Resultater - Østdanmark'!$F$3:$F$480,'Forbrug af biomasse'!C401))/SUMIFS(IF(D401=År1,'Resultater - Danmark'!$H$3:$H$480,IF(D401=År2,'Resultater - Danmark'!$I$3:$I$480,'Resultater - Danmark'!$J$3:$J$480)),'Resultater - Danmark'!$F$3:$F$480,'Forbrug af biomasse'!C401)</f>
        <v>#REF!</v>
      </c>
      <c r="G401" s="171">
        <v>1</v>
      </c>
    </row>
    <row r="402" spans="1:7" x14ac:dyDescent="0.25">
      <c r="A402" s="171" t="s">
        <v>320</v>
      </c>
      <c r="B402" s="171" t="s">
        <v>24</v>
      </c>
      <c r="C402" s="171" t="s">
        <v>68</v>
      </c>
      <c r="D402" s="171">
        <f>År2</f>
        <v>2030</v>
      </c>
      <c r="E402" s="171" t="e">
        <f>HLOOKUP(D402,'Forbrug til andet'!$B$3:$D$4,2,FALSE)*IF(B402="Vestdanmark",SUMIFS(IF(D402=År1,'Resultater - Vestdanmark'!$H$3:$H$480,IF(D402=År2,'Resultater - Vestdanmark'!$I$3:$I$480,'Resultater - Vestdanmark'!$J$3:$J$480)),'Resultater - Vestdanmark'!$F$3:$F$480,'Forbrug af biomasse'!C402),SUMIFS(IF(D402=År1,'Resultater - Østdanmark'!$H$3:$H$480,IF(D402=År2,'Resultater - Østdanmark'!$I$3:$I$480,'Resultater - Østdanmark'!$J$3:$J$480)),'Resultater - Østdanmark'!$F$3:$F$480,'Forbrug af biomasse'!C402))/SUMIFS(IF(D402=År1,'Resultater - Danmark'!$H$3:$H$480,IF(D402=År2,'Resultater - Danmark'!$I$3:$I$480,'Resultater - Danmark'!$J$3:$J$480)),'Resultater - Danmark'!$F$3:$F$480,'Forbrug af biomasse'!C402)</f>
        <v>#REF!</v>
      </c>
      <c r="G402" s="171">
        <v>1</v>
      </c>
    </row>
    <row r="403" spans="1:7" x14ac:dyDescent="0.25">
      <c r="A403" s="171" t="s">
        <v>320</v>
      </c>
      <c r="B403" s="171" t="s">
        <v>24</v>
      </c>
      <c r="C403" s="171" t="s">
        <v>68</v>
      </c>
      <c r="D403" s="171">
        <f>År3</f>
        <v>2050</v>
      </c>
      <c r="E403" s="171" t="e">
        <f>HLOOKUP(D403,'Forbrug til andet'!$B$3:$D$4,2,FALSE)*IF(B403="Vestdanmark",SUMIFS(IF(D403=År1,'Resultater - Vestdanmark'!$H$3:$H$480,IF(D403=År2,'Resultater - Vestdanmark'!$I$3:$I$480,'Resultater - Vestdanmark'!$J$3:$J$480)),'Resultater - Vestdanmark'!$F$3:$F$480,'Forbrug af biomasse'!C403),SUMIFS(IF(D403=År1,'Resultater - Østdanmark'!$H$3:$H$480,IF(D403=År2,'Resultater - Østdanmark'!$I$3:$I$480,'Resultater - Østdanmark'!$J$3:$J$480)),'Resultater - Østdanmark'!$F$3:$F$480,'Forbrug af biomasse'!C403))/SUMIFS(IF(D403=År1,'Resultater - Danmark'!$H$3:$H$480,IF(D403=År2,'Resultater - Danmark'!$I$3:$I$480,'Resultater - Danmark'!$J$3:$J$480)),'Resultater - Danmark'!$F$3:$F$480,'Forbrug af biomasse'!C403)</f>
        <v>#REF!</v>
      </c>
      <c r="G403" s="171">
        <v>1</v>
      </c>
    </row>
    <row r="404" spans="1:7" x14ac:dyDescent="0.25">
      <c r="A404" s="171" t="s">
        <v>121</v>
      </c>
      <c r="B404" s="171" t="s">
        <v>23</v>
      </c>
      <c r="C404" s="171" t="s">
        <v>316</v>
      </c>
      <c r="D404" s="171">
        <f t="shared" ref="D404:D411" si="33">År1</f>
        <v>2019</v>
      </c>
      <c r="E404" s="171" t="e">
        <f>IF(B404="Vestdanmark",SUMIFS(IF(D404=År1,'Resultater - Vestdanmark'!$H$3:$H$480,IF(D404=År2,'Resultater - Vestdanmark'!$I$3:$I$480,'Resultater - Vestdanmark'!$J$3:$J$480)),'Resultater - Vestdanmark'!$F$3:$F$480,'Forbrug af biomasse'!C404),SUMIFS(IF(D404=År1,'Resultater - Østdanmark'!$H$3:$H$480,IF(D404=År2,'Resultater - Østdanmark'!$I$3:$I$480,'Resultater - Østdanmark'!$J$3:$J$480)),'Resultater - Østdanmark'!$F$3:$F$480,'Forbrug af biomasse'!C404))</f>
        <v>#REF!</v>
      </c>
      <c r="F404" s="171">
        <v>1</v>
      </c>
    </row>
    <row r="405" spans="1:7" x14ac:dyDescent="0.25">
      <c r="A405" s="171" t="s">
        <v>121</v>
      </c>
      <c r="B405" s="171" t="s">
        <v>23</v>
      </c>
      <c r="C405" s="171" t="s">
        <v>317</v>
      </c>
      <c r="D405" s="171">
        <f t="shared" si="33"/>
        <v>2019</v>
      </c>
      <c r="E405" s="171" t="e">
        <f>IF(B405="Vestdanmark",SUMIFS(IF(D405=År1,'Resultater - Vestdanmark'!$H$3:$H$480,IF(D405=År2,'Resultater - Vestdanmark'!$I$3:$I$480,'Resultater - Vestdanmark'!$J$3:$J$480)),'Resultater - Vestdanmark'!$F$3:$F$480,'Forbrug af biomasse'!C405),SUMIFS(IF(D405=År1,'Resultater - Østdanmark'!$H$3:$H$480,IF(D405=År2,'Resultater - Østdanmark'!$I$3:$I$480,'Resultater - Østdanmark'!$J$3:$J$480)),'Resultater - Østdanmark'!$F$3:$F$480,'Forbrug af biomasse'!C405))</f>
        <v>#REF!</v>
      </c>
      <c r="F405" s="171">
        <v>1</v>
      </c>
    </row>
    <row r="406" spans="1:7" x14ac:dyDescent="0.25">
      <c r="A406" s="171" t="s">
        <v>121</v>
      </c>
      <c r="B406" s="171" t="s">
        <v>23</v>
      </c>
      <c r="C406" s="171" t="s">
        <v>316</v>
      </c>
      <c r="D406" s="171">
        <f>År2</f>
        <v>2030</v>
      </c>
      <c r="E406" s="171" t="e">
        <f>IF(B406="Vestdanmark",SUMIFS(IF(D406=År1,'Resultater - Vestdanmark'!$H$3:$H$480,IF(D406=År2,'Resultater - Vestdanmark'!$I$3:$I$480,'Resultater - Vestdanmark'!$J$3:$J$480)),'Resultater - Vestdanmark'!$F$3:$F$480,'Forbrug af biomasse'!C406),SUMIFS(IF(D406=År1,'Resultater - Østdanmark'!$H$3:$H$480,IF(D406=År2,'Resultater - Østdanmark'!$I$3:$I$480,'Resultater - Østdanmark'!$J$3:$J$480)),'Resultater - Østdanmark'!$F$3:$F$480,'Forbrug af biomasse'!C406))</f>
        <v>#REF!</v>
      </c>
      <c r="F406" s="171">
        <v>1</v>
      </c>
    </row>
    <row r="407" spans="1:7" x14ac:dyDescent="0.25">
      <c r="A407" s="171" t="s">
        <v>121</v>
      </c>
      <c r="B407" s="171" t="s">
        <v>23</v>
      </c>
      <c r="C407" s="171" t="s">
        <v>317</v>
      </c>
      <c r="D407" s="171">
        <f>År2</f>
        <v>2030</v>
      </c>
      <c r="E407" s="171" t="e">
        <f>IF(B407="Vestdanmark",SUMIFS(IF(D407=År1,'Resultater - Vestdanmark'!$H$3:$H$480,IF(D407=År2,'Resultater - Vestdanmark'!$I$3:$I$480,'Resultater - Vestdanmark'!$J$3:$J$480)),'Resultater - Vestdanmark'!$F$3:$F$480,'Forbrug af biomasse'!C407),SUMIFS(IF(D407=År1,'Resultater - Østdanmark'!$H$3:$H$480,IF(D407=År2,'Resultater - Østdanmark'!$I$3:$I$480,'Resultater - Østdanmark'!$J$3:$J$480)),'Resultater - Østdanmark'!$F$3:$F$480,'Forbrug af biomasse'!C407))</f>
        <v>#REF!</v>
      </c>
      <c r="F407" s="171">
        <v>1</v>
      </c>
    </row>
    <row r="408" spans="1:7" x14ac:dyDescent="0.25">
      <c r="A408" s="171" t="s">
        <v>121</v>
      </c>
      <c r="B408" s="171" t="s">
        <v>23</v>
      </c>
      <c r="C408" s="171" t="s">
        <v>316</v>
      </c>
      <c r="D408" s="171">
        <f>År3</f>
        <v>2050</v>
      </c>
      <c r="E408" s="171" t="e">
        <f>IF(B408="Vestdanmark",SUMIFS(IF(D408=År1,'Resultater - Vestdanmark'!$H$3:$H$480,IF(D408=År2,'Resultater - Vestdanmark'!$I$3:$I$480,'Resultater - Vestdanmark'!$J$3:$J$480)),'Resultater - Vestdanmark'!$F$3:$F$480,'Forbrug af biomasse'!C408),SUMIFS(IF(D408=År1,'Resultater - Østdanmark'!$H$3:$H$480,IF(D408=År2,'Resultater - Østdanmark'!$I$3:$I$480,'Resultater - Østdanmark'!$J$3:$J$480)),'Resultater - Østdanmark'!$F$3:$F$480,'Forbrug af biomasse'!C408))</f>
        <v>#REF!</v>
      </c>
      <c r="F408" s="171">
        <v>1</v>
      </c>
    </row>
    <row r="409" spans="1:7" x14ac:dyDescent="0.25">
      <c r="A409" s="171" t="s">
        <v>121</v>
      </c>
      <c r="B409" s="171" t="s">
        <v>23</v>
      </c>
      <c r="C409" s="171" t="s">
        <v>317</v>
      </c>
      <c r="D409" s="171">
        <f>År3</f>
        <v>2050</v>
      </c>
      <c r="E409" s="171" t="e">
        <f>IF(B409="Vestdanmark",SUMIFS(IF(D409=År1,'Resultater - Vestdanmark'!$H$3:$H$480,IF(D409=År2,'Resultater - Vestdanmark'!$I$3:$I$480,'Resultater - Vestdanmark'!$J$3:$J$480)),'Resultater - Vestdanmark'!$F$3:$F$480,'Forbrug af biomasse'!C409),SUMIFS(IF(D409=År1,'Resultater - Østdanmark'!$H$3:$H$480,IF(D409=År2,'Resultater - Østdanmark'!$I$3:$I$480,'Resultater - Østdanmark'!$J$3:$J$480)),'Resultater - Østdanmark'!$F$3:$F$480,'Forbrug af biomasse'!C409))</f>
        <v>#REF!</v>
      </c>
      <c r="F409" s="171">
        <v>1</v>
      </c>
    </row>
    <row r="410" spans="1:7" x14ac:dyDescent="0.25">
      <c r="A410" s="171" t="s">
        <v>121</v>
      </c>
      <c r="B410" s="171" t="s">
        <v>24</v>
      </c>
      <c r="C410" s="171" t="s">
        <v>316</v>
      </c>
      <c r="D410" s="171">
        <f t="shared" si="33"/>
        <v>2019</v>
      </c>
      <c r="E410" s="171" t="e">
        <f>IF(B410="Vestdanmark",SUMIFS(IF(D410=År1,'Resultater - Vestdanmark'!$H$3:$H$480,IF(D410=År2,'Resultater - Vestdanmark'!$I$3:$I$480,'Resultater - Vestdanmark'!$J$3:$J$480)),'Resultater - Vestdanmark'!$F$3:$F$480,'Forbrug af biomasse'!C410),SUMIFS(IF(D410=År1,'Resultater - Østdanmark'!$H$3:$H$480,IF(D410=År2,'Resultater - Østdanmark'!$I$3:$I$480,'Resultater - Østdanmark'!$J$3:$J$480)),'Resultater - Østdanmark'!$F$3:$F$480,'Forbrug af biomasse'!C410))</f>
        <v>#REF!</v>
      </c>
      <c r="F410" s="171">
        <v>1</v>
      </c>
    </row>
    <row r="411" spans="1:7" x14ac:dyDescent="0.25">
      <c r="A411" s="171" t="s">
        <v>121</v>
      </c>
      <c r="B411" s="171" t="s">
        <v>24</v>
      </c>
      <c r="C411" s="171" t="s">
        <v>317</v>
      </c>
      <c r="D411" s="171">
        <f t="shared" si="33"/>
        <v>2019</v>
      </c>
      <c r="E411" s="171" t="e">
        <f>IF(B411="Vestdanmark",SUMIFS(IF(D411=År1,'Resultater - Vestdanmark'!$H$3:$H$480,IF(D411=År2,'Resultater - Vestdanmark'!$I$3:$I$480,'Resultater - Vestdanmark'!$J$3:$J$480)),'Resultater - Vestdanmark'!$F$3:$F$480,'Forbrug af biomasse'!C411),SUMIFS(IF(D411=År1,'Resultater - Østdanmark'!$H$3:$H$480,IF(D411=År2,'Resultater - Østdanmark'!$I$3:$I$480,'Resultater - Østdanmark'!$J$3:$J$480)),'Resultater - Østdanmark'!$F$3:$F$480,'Forbrug af biomasse'!C411))</f>
        <v>#REF!</v>
      </c>
      <c r="F411" s="171">
        <v>1</v>
      </c>
    </row>
    <row r="412" spans="1:7" x14ac:dyDescent="0.25">
      <c r="A412" s="171" t="s">
        <v>121</v>
      </c>
      <c r="B412" s="171" t="s">
        <v>24</v>
      </c>
      <c r="C412" s="171" t="s">
        <v>316</v>
      </c>
      <c r="D412" s="171">
        <f>År2</f>
        <v>2030</v>
      </c>
      <c r="E412" s="171" t="e">
        <f>IF(B412="Vestdanmark",SUMIFS(IF(D412=År1,'Resultater - Vestdanmark'!$H$3:$H$480,IF(D412=År2,'Resultater - Vestdanmark'!$I$3:$I$480,'Resultater - Vestdanmark'!$J$3:$J$480)),'Resultater - Vestdanmark'!$F$3:$F$480,'Forbrug af biomasse'!C412),SUMIFS(IF(D412=År1,'Resultater - Østdanmark'!$H$3:$H$480,IF(D412=År2,'Resultater - Østdanmark'!$I$3:$I$480,'Resultater - Østdanmark'!$J$3:$J$480)),'Resultater - Østdanmark'!$F$3:$F$480,'Forbrug af biomasse'!C412))</f>
        <v>#REF!</v>
      </c>
      <c r="F412" s="171">
        <v>1</v>
      </c>
    </row>
    <row r="413" spans="1:7" x14ac:dyDescent="0.25">
      <c r="A413" s="171" t="s">
        <v>121</v>
      </c>
      <c r="B413" s="171" t="s">
        <v>24</v>
      </c>
      <c r="C413" s="171" t="s">
        <v>317</v>
      </c>
      <c r="D413" s="171">
        <f>År2</f>
        <v>2030</v>
      </c>
      <c r="E413" s="171" t="e">
        <f>IF(B413="Vestdanmark",SUMIFS(IF(D413=År1,'Resultater - Vestdanmark'!$H$3:$H$480,IF(D413=År2,'Resultater - Vestdanmark'!$I$3:$I$480,'Resultater - Vestdanmark'!$J$3:$J$480)),'Resultater - Vestdanmark'!$F$3:$F$480,'Forbrug af biomasse'!C413),SUMIFS(IF(D413=År1,'Resultater - Østdanmark'!$H$3:$H$480,IF(D413=År2,'Resultater - Østdanmark'!$I$3:$I$480,'Resultater - Østdanmark'!$J$3:$J$480)),'Resultater - Østdanmark'!$F$3:$F$480,'Forbrug af biomasse'!C413))</f>
        <v>#REF!</v>
      </c>
      <c r="F413" s="171">
        <v>1</v>
      </c>
    </row>
    <row r="414" spans="1:7" x14ac:dyDescent="0.25">
      <c r="A414" s="171" t="s">
        <v>121</v>
      </c>
      <c r="B414" s="171" t="s">
        <v>24</v>
      </c>
      <c r="C414" s="171" t="s">
        <v>316</v>
      </c>
      <c r="D414" s="171">
        <f>År3</f>
        <v>2050</v>
      </c>
      <c r="E414" s="171" t="e">
        <f>IF(B414="Vestdanmark",SUMIFS(IF(D414=År1,'Resultater - Vestdanmark'!$H$3:$H$480,IF(D414=År2,'Resultater - Vestdanmark'!$I$3:$I$480,'Resultater - Vestdanmark'!$J$3:$J$480)),'Resultater - Vestdanmark'!$F$3:$F$480,'Forbrug af biomasse'!C414),SUMIFS(IF(D414=År1,'Resultater - Østdanmark'!$H$3:$H$480,IF(D414=År2,'Resultater - Østdanmark'!$I$3:$I$480,'Resultater - Østdanmark'!$J$3:$J$480)),'Resultater - Østdanmark'!$F$3:$F$480,'Forbrug af biomasse'!C414))</f>
        <v>#REF!</v>
      </c>
      <c r="F414" s="171">
        <v>1</v>
      </c>
    </row>
    <row r="415" spans="1:7" x14ac:dyDescent="0.25">
      <c r="A415" s="171" t="s">
        <v>121</v>
      </c>
      <c r="B415" s="171" t="s">
        <v>24</v>
      </c>
      <c r="C415" s="171" t="s">
        <v>317</v>
      </c>
      <c r="D415" s="171">
        <f>År3</f>
        <v>2050</v>
      </c>
      <c r="E415" s="171" t="e">
        <f>IF(B415="Vestdanmark",SUMIFS(IF(D415=År1,'Resultater - Vestdanmark'!$H$3:$H$480,IF(D415=År2,'Resultater - Vestdanmark'!$I$3:$I$480,'Resultater - Vestdanmark'!$J$3:$J$480)),'Resultater - Vestdanmark'!$F$3:$F$480,'Forbrug af biomasse'!C415),SUMIFS(IF(D415=År1,'Resultater - Østdanmark'!$H$3:$H$480,IF(D415=År2,'Resultater - Østdanmark'!$I$3:$I$480,'Resultater - Østdanmark'!$J$3:$J$480)),'Resultater - Østdanmark'!$F$3:$F$480,'Forbrug af biomasse'!C415))</f>
        <v>#REF!</v>
      </c>
      <c r="F415" s="171">
        <v>1</v>
      </c>
    </row>
  </sheetData>
  <autoFilter ref="A1:G415" xr:uid="{9891F61F-9FCA-417C-BBAD-AB47A8A15D61}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workbookViewId="0">
      <selection activeCell="D14" sqref="D14"/>
    </sheetView>
  </sheetViews>
  <sheetFormatPr defaultRowHeight="15" x14ac:dyDescent="0.25"/>
  <sheetData>
    <row r="1" spans="1:8" x14ac:dyDescent="0.25">
      <c r="D1" t="s">
        <v>77</v>
      </c>
      <c r="E1" t="s">
        <v>166</v>
      </c>
      <c r="F1" t="s">
        <v>193</v>
      </c>
      <c r="G1" t="s">
        <v>167</v>
      </c>
      <c r="H1" t="s">
        <v>230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 t="e">
        <f>SUMIFS('Forbrug af biomasse'!E:E,'Forbrug af biomasse'!F:F,"",'Forbrug af biomasse'!B:B,Restprodukter!$B2,'Forbrug af biomasse'!C:C,Restprodukter!$A2,'Forbrug af biomasse'!D:D,Restprodukter!$C2)</f>
        <v>#REF!</v>
      </c>
      <c r="E2" t="e">
        <f>IF(B2="Vestdanmark",SUMIFS(IF($C2=År1,'Resultater - Vestdanmark'!$H$3:$H$480,IF($C2=År2,'Resultater - Vestdanmark'!$I$3:$I$480,'Resultater - Vestdanmark'!$J$3:$J$480)),'Resultater - Vestdanmark'!$F$3:$F$480,Restprodukter!$A2),SUMIFS(IF($C2=År1,'Resultater - Østdanmark'!$H$3:$H$480,IF($C2=År2,'Resultater - Østdanmark'!$I$3:$I$480,'Resultater - Østdanmark'!$J$3:$J$480)),'Resultater - Østdanmark'!$F$3:$F$480,Restprodukter!$A2))</f>
        <v>#REF!</v>
      </c>
      <c r="F2" t="e">
        <f>E2-D2</f>
        <v>#REF!</v>
      </c>
      <c r="G2" t="e">
        <f>IF(F2&gt;=0,IF(H2&gt;=0,F2,F2+H2),IF(F2+H2&gt;0,0,F2+H2))</f>
        <v>#REF!</v>
      </c>
      <c r="H2" t="e">
        <f t="shared" ref="H2:H37" si="1">SUMIFS($F$2:$F$37,$C$2:$C$37,C2,$A$2:$A$37,A2,$B$2:$B$37,"&lt;&gt;"&amp;B2)</f>
        <v>#REF!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71">
        <f>SUMIFS('Forbrug af biomasse'!E:E,'Forbrug af biomasse'!F:F,"",'Forbrug af biomasse'!B:B,Restprodukter!$B3,'Forbrug af biomasse'!C:C,Restprodukter!$A3,'Forbrug af biomasse'!D:D,Restprodukter!$C3)</f>
        <v>0</v>
      </c>
      <c r="E3" t="e">
        <f>IF(B3="Vestdanmark",SUMIFS(IF($C3=År1,'Resultater - Vestdanmark'!$H$3:$H$480,IF($C3=År2,'Resultater - Vestdanmark'!$I$3:$I$480,'Resultater - Vestdanmark'!$J$3:$J$480)),'Resultater - Vestdanmark'!$F$3:$F$480,Restprodukter!$A3),SUMIFS(IF($C3=År1,'Resultater - Østdanmark'!$H$3:$H$480,IF($C3=År2,'Resultater - Østdanmark'!$I$3:$I$480,'Resultater - Østdanmark'!$J$3:$J$480)),'Resultater - Østdanmark'!$F$3:$F$480,Restprodukter!$A3))</f>
        <v>#REF!</v>
      </c>
      <c r="F3" t="e">
        <f t="shared" ref="F3:F37" si="2">E3-D3</f>
        <v>#REF!</v>
      </c>
      <c r="G3" t="e">
        <f t="shared" ref="G3:G37" si="3">IF(F3&gt;=0,IF(H3&gt;=0,F3,F3+H3),IF(F3+H3&gt;0,0,F3+H3))</f>
        <v>#REF!</v>
      </c>
      <c r="H3" t="e">
        <f t="shared" si="1"/>
        <v>#REF!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71">
        <f>SUMIFS('Forbrug af biomasse'!E:E,'Forbrug af biomasse'!F:F,"",'Forbrug af biomasse'!B:B,Restprodukter!$B4,'Forbrug af biomasse'!C:C,Restprodukter!$A4,'Forbrug af biomasse'!D:D,Restprodukter!$C4)</f>
        <v>0</v>
      </c>
      <c r="E4" t="e">
        <f>IF(B4="Vestdanmark",SUMIFS(IF($C4=År1,'Resultater - Vestdanmark'!$H$3:$H$480,IF($C4=År2,'Resultater - Vestdanmark'!$I$3:$I$480,'Resultater - Vestdanmark'!$J$3:$J$480)),'Resultater - Vestdanmark'!$F$3:$F$480,Restprodukter!$A4),SUMIFS(IF($C4=År1,'Resultater - Østdanmark'!$H$3:$H$480,IF($C4=År2,'Resultater - Østdanmark'!$I$3:$I$480,'Resultater - Østdanmark'!$J$3:$J$480)),'Resultater - Østdanmark'!$F$3:$F$480,Restprodukter!$A4))</f>
        <v>#REF!</v>
      </c>
      <c r="F4" t="e">
        <f t="shared" si="2"/>
        <v>#REF!</v>
      </c>
      <c r="G4" t="e">
        <f t="shared" si="3"/>
        <v>#REF!</v>
      </c>
      <c r="H4" t="e">
        <f t="shared" si="1"/>
        <v>#REF!</v>
      </c>
    </row>
    <row r="5" spans="1:8" x14ac:dyDescent="0.25">
      <c r="A5" t="str">
        <f>'Forbrug til andet'!A12</f>
        <v>Træ til energi</v>
      </c>
      <c r="B5" t="s">
        <v>23</v>
      </c>
      <c r="C5">
        <f t="shared" si="0"/>
        <v>2019</v>
      </c>
      <c r="D5" s="171">
        <f>SUMIFS('Forbrug af biomasse'!E:E,'Forbrug af biomasse'!F:F,"",'Forbrug af biomasse'!B:B,Restprodukter!$B5,'Forbrug af biomasse'!C:C,Restprodukter!$A5,'Forbrug af biomasse'!D:D,Restprodukter!$C5)</f>
        <v>0</v>
      </c>
      <c r="E5" t="e">
        <f>IF(B5="Vestdanmark",SUMIFS(IF($C5=År1,'Resultater - Vestdanmark'!$H$3:$H$480,IF($C5=År2,'Resultater - Vestdanmark'!$I$3:$I$480,'Resultater - Vestdanmark'!$J$3:$J$480)),'Resultater - Vestdanmark'!$F$3:$F$480,Restprodukter!$A5),SUMIFS(IF($C5=År1,'Resultater - Østdanmark'!$H$3:$H$480,IF($C5=År2,'Resultater - Østdanmark'!$I$3:$I$480,'Resultater - Østdanmark'!$J$3:$J$480)),'Resultater - Østdanmark'!$F$3:$F$480,Restprodukter!$A5))</f>
        <v>#REF!</v>
      </c>
      <c r="F5" t="e">
        <f t="shared" si="2"/>
        <v>#REF!</v>
      </c>
      <c r="G5" t="e">
        <f t="shared" si="3"/>
        <v>#REF!</v>
      </c>
      <c r="H5" t="e">
        <f t="shared" si="1"/>
        <v>#REF!</v>
      </c>
    </row>
    <row r="6" spans="1:8" x14ac:dyDescent="0.25">
      <c r="A6" t="str">
        <f>'Forbrug til andet'!A13</f>
        <v>Have/parkaffald</v>
      </c>
      <c r="B6" t="s">
        <v>23</v>
      </c>
      <c r="C6">
        <f t="shared" si="0"/>
        <v>2019</v>
      </c>
      <c r="D6" s="171" t="e">
        <f>SUMIFS('Forbrug af biomasse'!E:E,'Forbrug af biomasse'!F:F,"",'Forbrug af biomasse'!B:B,Restprodukter!$B6,'Forbrug af biomasse'!C:C,Restprodukter!$A6,'Forbrug af biomasse'!D:D,Restprodukter!$C6)</f>
        <v>#REF!</v>
      </c>
      <c r="E6" t="e">
        <f>IF(B6="Vestdanmark",SUMIFS(IF($C6=År1,'Resultater - Vestdanmark'!$H$3:$H$480,IF($C6=År2,'Resultater - Vestdanmark'!$I$3:$I$480,'Resultater - Vestdanmark'!$J$3:$J$480)),'Resultater - Vestdanmark'!$F$3:$F$480,Restprodukter!$A6),SUMIFS(IF($C6=År1,'Resultater - Østdanmark'!$H$3:$H$480,IF($C6=År2,'Resultater - Østdanmark'!$I$3:$I$480,'Resultater - Østdanmark'!$J$3:$J$480)),'Resultater - Østdanmark'!$F$3:$F$480,Restprodukter!$A6))</f>
        <v>#REF!</v>
      </c>
      <c r="F6" t="e">
        <f t="shared" si="2"/>
        <v>#REF!</v>
      </c>
      <c r="G6" t="e">
        <f t="shared" si="3"/>
        <v>#REF!</v>
      </c>
      <c r="H6" t="e">
        <f t="shared" si="1"/>
        <v>#REF!</v>
      </c>
    </row>
    <row r="7" spans="1:8" x14ac:dyDescent="0.25">
      <c r="A7" t="str">
        <f>'Forbrug til andet'!A14</f>
        <v>Bioaffald</v>
      </c>
      <c r="B7" t="s">
        <v>23</v>
      </c>
      <c r="C7">
        <f t="shared" si="0"/>
        <v>2019</v>
      </c>
      <c r="D7" s="171" t="e">
        <f>SUMIFS('Forbrug af biomasse'!E:E,'Forbrug af biomasse'!F:F,"",'Forbrug af biomasse'!B:B,Restprodukter!$B7,'Forbrug af biomasse'!C:C,Restprodukter!$A7,'Forbrug af biomasse'!D:D,Restprodukter!$C7)</f>
        <v>#REF!</v>
      </c>
      <c r="E7" t="e">
        <f>IF(B7="Vestdanmark",SUMIFS(IF($C7=År1,'Resultater - Vestdanmark'!$H$3:$H$480,IF($C7=År2,'Resultater - Vestdanmark'!$I$3:$I$480,'Resultater - Vestdanmark'!$J$3:$J$480)),'Resultater - Vestdanmark'!$F$3:$F$480,Restprodukter!$A7),SUMIFS(IF($C7=År1,'Resultater - Østdanmark'!$H$3:$H$480,IF($C7=År2,'Resultater - Østdanmark'!$I$3:$I$480,'Resultater - Østdanmark'!$J$3:$J$480)),'Resultater - Østdanmark'!$F$3:$F$480,Restprodukter!$A7))</f>
        <v>#REF!</v>
      </c>
      <c r="F7" t="e">
        <f t="shared" si="2"/>
        <v>#REF!</v>
      </c>
      <c r="G7" t="e">
        <f t="shared" si="3"/>
        <v>#REF!</v>
      </c>
      <c r="H7" t="e">
        <f t="shared" si="1"/>
        <v>#REF!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71" t="e">
        <f>SUMIFS('Forbrug af biomasse'!E:E,'Forbrug af biomasse'!F:F,"",'Forbrug af biomasse'!B:B,Restprodukter!$B8,'Forbrug af biomasse'!C:C,Restprodukter!$A8,'Forbrug af biomasse'!D:D,Restprodukter!$C8)</f>
        <v>#REF!</v>
      </c>
      <c r="E8" t="e">
        <f>IF(B8="Vestdanmark",SUMIFS(IF($C8=År1,'Resultater - Vestdanmark'!$H$3:$H$480,IF($C8=År2,'Resultater - Vestdanmark'!$I$3:$I$480,'Resultater - Vestdanmark'!$J$3:$J$480)),'Resultater - Vestdanmark'!$F$3:$F$480,Restprodukter!$A8),SUMIFS(IF($C8=År1,'Resultater - Østdanmark'!$H$3:$H$480,IF($C8=År2,'Resultater - Østdanmark'!$I$3:$I$480,'Resultater - Østdanmark'!$J$3:$J$480)),'Resultater - Østdanmark'!$F$3:$F$480,Restprodukter!$A8))</f>
        <v>#REF!</v>
      </c>
      <c r="F8" t="e">
        <f t="shared" si="2"/>
        <v>#REF!</v>
      </c>
      <c r="G8" t="e">
        <f t="shared" si="3"/>
        <v>#REF!</v>
      </c>
      <c r="H8" t="e">
        <f t="shared" si="1"/>
        <v>#REF!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71">
        <f>SUMIFS('Forbrug af biomasse'!E:E,'Forbrug af biomasse'!F:F,"",'Forbrug af biomasse'!B:B,Restprodukter!$B9,'Forbrug af biomasse'!C:C,Restprodukter!$A9,'Forbrug af biomasse'!D:D,Restprodukter!$C9)</f>
        <v>0</v>
      </c>
      <c r="E9" t="e">
        <f>IF(B9="Vestdanmark",SUMIFS(IF($C9=År1,'Resultater - Vestdanmark'!$H$3:$H$480,IF($C9=År2,'Resultater - Vestdanmark'!$I$3:$I$480,'Resultater - Vestdanmark'!$J$3:$J$480)),'Resultater - Vestdanmark'!$F$3:$F$480,Restprodukter!$A9),SUMIFS(IF($C9=År1,'Resultater - Østdanmark'!$H$3:$H$480,IF($C9=År2,'Resultater - Østdanmark'!$I$3:$I$480,'Resultater - Østdanmark'!$J$3:$J$480)),'Resultater - Østdanmark'!$F$3:$F$480,Restprodukter!$A9))</f>
        <v>#REF!</v>
      </c>
      <c r="F9" t="e">
        <f t="shared" si="2"/>
        <v>#REF!</v>
      </c>
      <c r="G9" t="e">
        <f t="shared" si="3"/>
        <v>#REF!</v>
      </c>
      <c r="H9" t="e">
        <f t="shared" si="1"/>
        <v>#REF!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71">
        <f>SUMIFS('Forbrug af biomasse'!E:E,'Forbrug af biomasse'!F:F,"",'Forbrug af biomasse'!B:B,Restprodukter!$B10,'Forbrug af biomasse'!C:C,Restprodukter!$A10,'Forbrug af biomasse'!D:D,Restprodukter!$C10)</f>
        <v>0</v>
      </c>
      <c r="E10" t="e">
        <f>IF(B10="Vestdanmark",SUMIFS(IF($C10=År1,'Resultater - Vestdanmark'!$H$3:$H$480,IF($C10=År2,'Resultater - Vestdanmark'!$I$3:$I$480,'Resultater - Vestdanmark'!$J$3:$J$480)),'Resultater - Vestdanmark'!$F$3:$F$480,Restprodukter!$A10),SUMIFS(IF($C10=År1,'Resultater - Østdanmark'!$H$3:$H$480,IF($C10=År2,'Resultater - Østdanmark'!$I$3:$I$480,'Resultater - Østdanmark'!$J$3:$J$480)),'Resultater - Østdanmark'!$F$3:$F$480,Restprodukter!$A10))</f>
        <v>#REF!</v>
      </c>
      <c r="F10" t="e">
        <f t="shared" si="2"/>
        <v>#REF!</v>
      </c>
      <c r="G10" t="e">
        <f t="shared" si="3"/>
        <v>#REF!</v>
      </c>
      <c r="H10" t="e">
        <f t="shared" si="1"/>
        <v>#REF!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71">
        <f>SUMIFS('Forbrug af biomasse'!E:E,'Forbrug af biomasse'!F:F,"",'Forbrug af biomasse'!B:B,Restprodukter!$B11,'Forbrug af biomasse'!C:C,Restprodukter!$A11,'Forbrug af biomasse'!D:D,Restprodukter!$C11)</f>
        <v>0</v>
      </c>
      <c r="E11" t="e">
        <f>IF(B11="Vestdanmark",SUMIFS(IF($C11=År1,'Resultater - Vestdanmark'!$H$3:$H$480,IF($C11=År2,'Resultater - Vestdanmark'!$I$3:$I$480,'Resultater - Vestdanmark'!$J$3:$J$480)),'Resultater - Vestdanmark'!$F$3:$F$480,Restprodukter!$A11),SUMIFS(IF($C11=År1,'Resultater - Østdanmark'!$H$3:$H$480,IF($C11=År2,'Resultater - Østdanmark'!$I$3:$I$480,'Resultater - Østdanmark'!$J$3:$J$480)),'Resultater - Østdanmark'!$F$3:$F$480,Restprodukter!$A11))</f>
        <v>#REF!</v>
      </c>
      <c r="F11" t="e">
        <f t="shared" si="2"/>
        <v>#REF!</v>
      </c>
      <c r="G11" t="e">
        <f t="shared" si="3"/>
        <v>#REF!</v>
      </c>
      <c r="H11" t="e">
        <f t="shared" si="1"/>
        <v>#REF!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71" t="e">
        <f>SUMIFS('Forbrug af biomasse'!E:E,'Forbrug af biomasse'!F:F,"",'Forbrug af biomasse'!B:B,Restprodukter!$B12,'Forbrug af biomasse'!C:C,Restprodukter!$A12,'Forbrug af biomasse'!D:D,Restprodukter!$C12)</f>
        <v>#REF!</v>
      </c>
      <c r="E12" t="e">
        <f>IF(B12="Vestdanmark",SUMIFS(IF($C12=År1,'Resultater - Vestdanmark'!$H$3:$H$480,IF($C12=År2,'Resultater - Vestdanmark'!$I$3:$I$480,'Resultater - Vestdanmark'!$J$3:$J$480)),'Resultater - Vestdanmark'!$F$3:$F$480,Restprodukter!$A12),SUMIFS(IF($C12=År1,'Resultater - Østdanmark'!$H$3:$H$480,IF($C12=År2,'Resultater - Østdanmark'!$I$3:$I$480,'Resultater - Østdanmark'!$J$3:$J$480)),'Resultater - Østdanmark'!$F$3:$F$480,Restprodukter!$A12))</f>
        <v>#REF!</v>
      </c>
      <c r="F12" t="e">
        <f t="shared" si="2"/>
        <v>#REF!</v>
      </c>
      <c r="G12" t="e">
        <f t="shared" si="3"/>
        <v>#REF!</v>
      </c>
      <c r="H12" t="e">
        <f t="shared" si="1"/>
        <v>#REF!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71" t="e">
        <f>SUMIFS('Forbrug af biomasse'!E:E,'Forbrug af biomasse'!F:F,"",'Forbrug af biomasse'!B:B,Restprodukter!$B13,'Forbrug af biomasse'!C:C,Restprodukter!$A13,'Forbrug af biomasse'!D:D,Restprodukter!$C13)</f>
        <v>#REF!</v>
      </c>
      <c r="E13" t="e">
        <f>IF(B13="Vestdanmark",SUMIFS(IF($C13=År1,'Resultater - Vestdanmark'!$H$3:$H$480,IF($C13=År2,'Resultater - Vestdanmark'!$I$3:$I$480,'Resultater - Vestdanmark'!$J$3:$J$480)),'Resultater - Vestdanmark'!$F$3:$F$480,Restprodukter!$A13),SUMIFS(IF($C13=År1,'Resultater - Østdanmark'!$H$3:$H$480,IF($C13=År2,'Resultater - Østdanmark'!$I$3:$I$480,'Resultater - Østdanmark'!$J$3:$J$480)),'Resultater - Østdanmark'!$F$3:$F$480,Restprodukter!$A13))</f>
        <v>#REF!</v>
      </c>
      <c r="F13" t="e">
        <f>E13-D13</f>
        <v>#REF!</v>
      </c>
      <c r="G13" t="e">
        <f t="shared" si="3"/>
        <v>#REF!</v>
      </c>
      <c r="H13" t="e">
        <f t="shared" si="1"/>
        <v>#REF!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71" t="e">
        <f>SUMIFS('Forbrug af biomasse'!E:E,'Forbrug af biomasse'!F:F,"",'Forbrug af biomasse'!B:B,Restprodukter!$B14,'Forbrug af biomasse'!C:C,Restprodukter!$A14,'Forbrug af biomasse'!D:D,Restprodukter!$C14)</f>
        <v>#REF!</v>
      </c>
      <c r="E14" t="e">
        <f>IF(B14="Vestdanmark",SUMIFS(IF($C14=År1,'Resultater - Vestdanmark'!$H$3:$H$480,IF($C14=År2,'Resultater - Vestdanmark'!$I$3:$I$480,'Resultater - Vestdanmark'!$J$3:$J$480)),'Resultater - Vestdanmark'!$F$3:$F$480,Restprodukter!$A14),SUMIFS(IF($C14=År1,'Resultater - Østdanmark'!$H$3:$H$480,IF($C14=År2,'Resultater - Østdanmark'!$I$3:$I$480,'Resultater - Østdanmark'!$J$3:$J$480)),'Resultater - Østdanmark'!$F$3:$F$480,Restprodukter!$A14))</f>
        <v>#REF!</v>
      </c>
      <c r="F14" t="e">
        <f>E14-D14</f>
        <v>#REF!</v>
      </c>
      <c r="G14" t="e">
        <f t="shared" si="3"/>
        <v>#REF!</v>
      </c>
      <c r="H14" t="e">
        <f t="shared" si="1"/>
        <v>#REF!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71">
        <f>SUMIFS('Forbrug af biomasse'!E:E,'Forbrug af biomasse'!F:F,"",'Forbrug af biomasse'!B:B,Restprodukter!$B15,'Forbrug af biomasse'!C:C,Restprodukter!$A15,'Forbrug af biomasse'!D:D,Restprodukter!$C15)</f>
        <v>0</v>
      </c>
      <c r="E15" t="e">
        <f>IF(B15="Vestdanmark",SUMIFS(IF($C15=År1,'Resultater - Vestdanmark'!$H$3:$H$480,IF($C15=År2,'Resultater - Vestdanmark'!$I$3:$I$480,'Resultater - Vestdanmark'!$J$3:$J$480)),'Resultater - Vestdanmark'!$F$3:$F$480,Restprodukter!$A15),SUMIFS(IF($C15=År1,'Resultater - Østdanmark'!$H$3:$H$480,IF($C15=År2,'Resultater - Østdanmark'!$I$3:$I$480,'Resultater - Østdanmark'!$J$3:$J$480)),'Resultater - Østdanmark'!$F$3:$F$480,Restprodukter!$A15))</f>
        <v>#REF!</v>
      </c>
      <c r="F15" t="e">
        <f t="shared" si="2"/>
        <v>#REF!</v>
      </c>
      <c r="G15" t="e">
        <f t="shared" si="3"/>
        <v>#REF!</v>
      </c>
      <c r="H15" t="e">
        <f t="shared" si="1"/>
        <v>#REF!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71">
        <f>SUMIFS('Forbrug af biomasse'!E:E,'Forbrug af biomasse'!F:F,"",'Forbrug af biomasse'!B:B,Restprodukter!$B16,'Forbrug af biomasse'!C:C,Restprodukter!$A16,'Forbrug af biomasse'!D:D,Restprodukter!$C16)</f>
        <v>0</v>
      </c>
      <c r="E16" t="e">
        <f>IF(B16="Vestdanmark",SUMIFS(IF($C16=År1,'Resultater - Vestdanmark'!$H$3:$H$480,IF($C16=År2,'Resultater - Vestdanmark'!$I$3:$I$480,'Resultater - Vestdanmark'!$J$3:$J$480)),'Resultater - Vestdanmark'!$F$3:$F$480,Restprodukter!$A16),SUMIFS(IF($C16=År1,'Resultater - Østdanmark'!$H$3:$H$480,IF($C16=År2,'Resultater - Østdanmark'!$I$3:$I$480,'Resultater - Østdanmark'!$J$3:$J$480)),'Resultater - Østdanmark'!$F$3:$F$480,Restprodukter!$A16))</f>
        <v>#REF!</v>
      </c>
      <c r="F16" t="e">
        <f t="shared" si="2"/>
        <v>#REF!</v>
      </c>
      <c r="G16" t="e">
        <f t="shared" si="3"/>
        <v>#REF!</v>
      </c>
      <c r="H16" t="e">
        <f t="shared" si="1"/>
        <v>#REF!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71">
        <f>SUMIFS('Forbrug af biomasse'!E:E,'Forbrug af biomasse'!F:F,"",'Forbrug af biomasse'!B:B,Restprodukter!$B17,'Forbrug af biomasse'!C:C,Restprodukter!$A17,'Forbrug af biomasse'!D:D,Restprodukter!$C17)</f>
        <v>0</v>
      </c>
      <c r="E17" t="e">
        <f>IF(B17="Vestdanmark",SUMIFS(IF($C17=År1,'Resultater - Vestdanmark'!$H$3:$H$480,IF($C17=År2,'Resultater - Vestdanmark'!$I$3:$I$480,'Resultater - Vestdanmark'!$J$3:$J$480)),'Resultater - Vestdanmark'!$F$3:$F$480,Restprodukter!$A17),SUMIFS(IF($C17=År1,'Resultater - Østdanmark'!$H$3:$H$480,IF($C17=År2,'Resultater - Østdanmark'!$I$3:$I$480,'Resultater - Østdanmark'!$J$3:$J$480)),'Resultater - Østdanmark'!$F$3:$F$480,Restprodukter!$A17))</f>
        <v>#REF!</v>
      </c>
      <c r="F17" t="e">
        <f t="shared" si="2"/>
        <v>#REF!</v>
      </c>
      <c r="G17" t="e">
        <f t="shared" si="3"/>
        <v>#REF!</v>
      </c>
      <c r="H17" t="e">
        <f t="shared" si="1"/>
        <v>#REF!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71" t="e">
        <f>SUMIFS('Forbrug af biomasse'!E:E,'Forbrug af biomasse'!F:F,"",'Forbrug af biomasse'!B:B,Restprodukter!$B18,'Forbrug af biomasse'!C:C,Restprodukter!$A18,'Forbrug af biomasse'!D:D,Restprodukter!$C18)</f>
        <v>#REF!</v>
      </c>
      <c r="E18" t="e">
        <f>IF(B18="Vestdanmark",SUMIFS(IF($C18=År1,'Resultater - Vestdanmark'!$H$3:$H$480,IF($C18=År2,'Resultater - Vestdanmark'!$I$3:$I$480,'Resultater - Vestdanmark'!$J$3:$J$480)),'Resultater - Vestdanmark'!$F$3:$F$480,Restprodukter!$A18),SUMIFS(IF($C18=År1,'Resultater - Østdanmark'!$H$3:$H$480,IF($C18=År2,'Resultater - Østdanmark'!$I$3:$I$480,'Resultater - Østdanmark'!$J$3:$J$480)),'Resultater - Østdanmark'!$F$3:$F$480,Restprodukter!$A18))</f>
        <v>#REF!</v>
      </c>
      <c r="F18" t="e">
        <f t="shared" si="2"/>
        <v>#REF!</v>
      </c>
      <c r="G18" t="e">
        <f t="shared" si="3"/>
        <v>#REF!</v>
      </c>
      <c r="H18" t="e">
        <f t="shared" si="1"/>
        <v>#REF!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71" t="e">
        <f>SUMIFS('Forbrug af biomasse'!E:E,'Forbrug af biomasse'!F:F,"",'Forbrug af biomasse'!B:B,Restprodukter!$B19,'Forbrug af biomasse'!C:C,Restprodukter!$A19,'Forbrug af biomasse'!D:D,Restprodukter!$C19)</f>
        <v>#REF!</v>
      </c>
      <c r="E19" t="e">
        <f>IF(B19="Vestdanmark",SUMIFS(IF($C19=År1,'Resultater - Vestdanmark'!$H$3:$H$480,IF($C19=År2,'Resultater - Vestdanmark'!$I$3:$I$480,'Resultater - Vestdanmark'!$J$3:$J$480)),'Resultater - Vestdanmark'!$F$3:$F$480,Restprodukter!$A19),SUMIFS(IF($C19=År1,'Resultater - Østdanmark'!$H$3:$H$480,IF($C19=År2,'Resultater - Østdanmark'!$I$3:$I$480,'Resultater - Østdanmark'!$J$3:$J$480)),'Resultater - Østdanmark'!$F$3:$F$480,Restprodukter!$A19))</f>
        <v>#REF!</v>
      </c>
      <c r="F19" t="e">
        <f t="shared" si="2"/>
        <v>#REF!</v>
      </c>
      <c r="G19" t="e">
        <f t="shared" si="3"/>
        <v>#REF!</v>
      </c>
      <c r="H19" t="e">
        <f t="shared" si="1"/>
        <v>#REF!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71" t="e">
        <f>SUMIFS('Forbrug af biomasse'!E:E,'Forbrug af biomasse'!F:F,"",'Forbrug af biomasse'!B:B,Restprodukter!$B20,'Forbrug af biomasse'!C:C,Restprodukter!$A20,'Forbrug af biomasse'!D:D,Restprodukter!$C20)</f>
        <v>#REF!</v>
      </c>
      <c r="E20" t="e">
        <f>IF(B20="Vestdanmark",SUMIFS(IF($C20=År1,'Resultater - Vestdanmark'!$H$3:$H$480,IF($C20=År2,'Resultater - Vestdanmark'!$I$3:$I$480,'Resultater - Vestdanmark'!$J$3:$J$480)),'Resultater - Vestdanmark'!$F$3:$F$480,Restprodukter!$A20),SUMIFS(IF($C20=År1,'Resultater - Østdanmark'!$H$3:$H$480,IF($C20=År2,'Resultater - Østdanmark'!$I$3:$I$480,'Resultater - Østdanmark'!$J$3:$J$480)),'Resultater - Østdanmark'!$F$3:$F$480,Restprodukter!$A20))</f>
        <v>#REF!</v>
      </c>
      <c r="F20" t="e">
        <f t="shared" si="2"/>
        <v>#REF!</v>
      </c>
      <c r="G20" t="e">
        <f t="shared" si="3"/>
        <v>#REF!</v>
      </c>
      <c r="H20" t="e">
        <f t="shared" si="1"/>
        <v>#REF!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71">
        <f>SUMIFS('Forbrug af biomasse'!E:E,'Forbrug af biomasse'!F:F,"",'Forbrug af biomasse'!B:B,Restprodukter!$B21,'Forbrug af biomasse'!C:C,Restprodukter!$A21,'Forbrug af biomasse'!D:D,Restprodukter!$C21)</f>
        <v>0</v>
      </c>
      <c r="E21" t="e">
        <f>IF(B21="Vestdanmark",SUMIFS(IF($C21=År1,'Resultater - Vestdanmark'!$H$3:$H$480,IF($C21=År2,'Resultater - Vestdanmark'!$I$3:$I$480,'Resultater - Vestdanmark'!$J$3:$J$480)),'Resultater - Vestdanmark'!$F$3:$F$480,Restprodukter!$A21),SUMIFS(IF($C21=År1,'Resultater - Østdanmark'!$H$3:$H$480,IF($C21=År2,'Resultater - Østdanmark'!$I$3:$I$480,'Resultater - Østdanmark'!$J$3:$J$480)),'Resultater - Østdanmark'!$F$3:$F$480,Restprodukter!$A21))</f>
        <v>#REF!</v>
      </c>
      <c r="F21" t="e">
        <f t="shared" si="2"/>
        <v>#REF!</v>
      </c>
      <c r="G21" t="e">
        <f t="shared" si="3"/>
        <v>#REF!</v>
      </c>
      <c r="H21" t="e">
        <f t="shared" si="1"/>
        <v>#REF!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71">
        <f>SUMIFS('Forbrug af biomasse'!E:E,'Forbrug af biomasse'!F:F,"",'Forbrug af biomasse'!B:B,Restprodukter!$B22,'Forbrug af biomasse'!C:C,Restprodukter!$A22,'Forbrug af biomasse'!D:D,Restprodukter!$C22)</f>
        <v>0</v>
      </c>
      <c r="E22" t="e">
        <f>IF(B22="Vestdanmark",SUMIFS(IF($C22=År1,'Resultater - Vestdanmark'!$H$3:$H$480,IF($C22=År2,'Resultater - Vestdanmark'!$I$3:$I$480,'Resultater - Vestdanmark'!$J$3:$J$480)),'Resultater - Vestdanmark'!$F$3:$F$480,Restprodukter!$A22),SUMIFS(IF($C22=År1,'Resultater - Østdanmark'!$H$3:$H$480,IF($C22=År2,'Resultater - Østdanmark'!$I$3:$I$480,'Resultater - Østdanmark'!$J$3:$J$480)),'Resultater - Østdanmark'!$F$3:$F$480,Restprodukter!$A22))</f>
        <v>#REF!</v>
      </c>
      <c r="F22" t="e">
        <f t="shared" si="2"/>
        <v>#REF!</v>
      </c>
      <c r="G22" t="e">
        <f t="shared" si="3"/>
        <v>#REF!</v>
      </c>
      <c r="H22" t="e">
        <f t="shared" si="1"/>
        <v>#REF!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71">
        <f>SUMIFS('Forbrug af biomasse'!E:E,'Forbrug af biomasse'!F:F,"",'Forbrug af biomasse'!B:B,Restprodukter!$B23,'Forbrug af biomasse'!C:C,Restprodukter!$A23,'Forbrug af biomasse'!D:D,Restprodukter!$C23)</f>
        <v>0</v>
      </c>
      <c r="E23" t="e">
        <f>IF(B23="Vestdanmark",SUMIFS(IF($C23=År1,'Resultater - Vestdanmark'!$H$3:$H$480,IF($C23=År2,'Resultater - Vestdanmark'!$I$3:$I$480,'Resultater - Vestdanmark'!$J$3:$J$480)),'Resultater - Vestdanmark'!$F$3:$F$480,Restprodukter!$A23),SUMIFS(IF($C23=År1,'Resultater - Østdanmark'!$H$3:$H$480,IF($C23=År2,'Resultater - Østdanmark'!$I$3:$I$480,'Resultater - Østdanmark'!$J$3:$J$480)),'Resultater - Østdanmark'!$F$3:$F$480,Restprodukter!$A23))</f>
        <v>#REF!</v>
      </c>
      <c r="F23" t="e">
        <f t="shared" si="2"/>
        <v>#REF!</v>
      </c>
      <c r="G23" t="e">
        <f t="shared" si="3"/>
        <v>#REF!</v>
      </c>
      <c r="H23" t="e">
        <f t="shared" si="1"/>
        <v>#REF!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71" t="e">
        <f>SUMIFS('Forbrug af biomasse'!E:E,'Forbrug af biomasse'!F:F,"",'Forbrug af biomasse'!B:B,Restprodukter!$B24,'Forbrug af biomasse'!C:C,Restprodukter!$A24,'Forbrug af biomasse'!D:D,Restprodukter!$C24)</f>
        <v>#REF!</v>
      </c>
      <c r="E24" t="e">
        <f>IF(B24="Vestdanmark",SUMIFS(IF($C24=År1,'Resultater - Vestdanmark'!$H$3:$H$480,IF($C24=År2,'Resultater - Vestdanmark'!$I$3:$I$480,'Resultater - Vestdanmark'!$J$3:$J$480)),'Resultater - Vestdanmark'!$F$3:$F$480,Restprodukter!$A24),SUMIFS(IF($C24=År1,'Resultater - Østdanmark'!$H$3:$H$480,IF($C24=År2,'Resultater - Østdanmark'!$I$3:$I$480,'Resultater - Østdanmark'!$J$3:$J$480)),'Resultater - Østdanmark'!$F$3:$F$480,Restprodukter!$A24))</f>
        <v>#REF!</v>
      </c>
      <c r="F24" t="e">
        <f t="shared" si="2"/>
        <v>#REF!</v>
      </c>
      <c r="G24" t="e">
        <f t="shared" si="3"/>
        <v>#REF!</v>
      </c>
      <c r="H24" t="e">
        <f t="shared" si="1"/>
        <v>#REF!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71" t="e">
        <f>SUMIFS('Forbrug af biomasse'!E:E,'Forbrug af biomasse'!F:F,"",'Forbrug af biomasse'!B:B,Restprodukter!$B25,'Forbrug af biomasse'!C:C,Restprodukter!$A25,'Forbrug af biomasse'!D:D,Restprodukter!$C25)</f>
        <v>#REF!</v>
      </c>
      <c r="E25" t="e">
        <f>IF(B25="Vestdanmark",SUMIFS(IF($C25=År1,'Resultater - Vestdanmark'!$H$3:$H$480,IF($C25=År2,'Resultater - Vestdanmark'!$I$3:$I$480,'Resultater - Vestdanmark'!$J$3:$J$480)),'Resultater - Vestdanmark'!$F$3:$F$480,Restprodukter!$A25),SUMIFS(IF($C25=År1,'Resultater - Østdanmark'!$H$3:$H$480,IF($C25=År2,'Resultater - Østdanmark'!$I$3:$I$480,'Resultater - Østdanmark'!$J$3:$J$480)),'Resultater - Østdanmark'!$F$3:$F$480,Restprodukter!$A25))</f>
        <v>#REF!</v>
      </c>
      <c r="F25" t="e">
        <f t="shared" si="2"/>
        <v>#REF!</v>
      </c>
      <c r="G25" t="e">
        <f t="shared" si="3"/>
        <v>#REF!</v>
      </c>
      <c r="H25" t="e">
        <f t="shared" si="1"/>
        <v>#REF!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71" t="e">
        <f>SUMIFS('Forbrug af biomasse'!E:E,'Forbrug af biomasse'!F:F,"",'Forbrug af biomasse'!B:B,Restprodukter!$B26,'Forbrug af biomasse'!C:C,Restprodukter!$A26,'Forbrug af biomasse'!D:D,Restprodukter!$C26)</f>
        <v>#REF!</v>
      </c>
      <c r="E26" t="e">
        <f>IF(B26="Vestdanmark",SUMIFS(IF($C26=År1,'Resultater - Vestdanmark'!$H$3:$H$480,IF($C26=År2,'Resultater - Vestdanmark'!$I$3:$I$480,'Resultater - Vestdanmark'!$J$3:$J$480)),'Resultater - Vestdanmark'!$F$3:$F$480,Restprodukter!$A26),SUMIFS(IF($C26=År1,'Resultater - Østdanmark'!$H$3:$H$480,IF($C26=År2,'Resultater - Østdanmark'!$I$3:$I$480,'Resultater - Østdanmark'!$J$3:$J$480)),'Resultater - Østdanmark'!$F$3:$F$480,Restprodukter!$A26))</f>
        <v>#REF!</v>
      </c>
      <c r="F26" t="e">
        <f t="shared" si="2"/>
        <v>#REF!</v>
      </c>
      <c r="G26" t="e">
        <f t="shared" si="3"/>
        <v>#REF!</v>
      </c>
      <c r="H26" t="e">
        <f t="shared" si="1"/>
        <v>#REF!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71">
        <f>SUMIFS('Forbrug af biomasse'!E:E,'Forbrug af biomasse'!F:F,"",'Forbrug af biomasse'!B:B,Restprodukter!$B27,'Forbrug af biomasse'!C:C,Restprodukter!$A27,'Forbrug af biomasse'!D:D,Restprodukter!$C27)</f>
        <v>0</v>
      </c>
      <c r="E27" t="e">
        <f>IF(B27="Vestdanmark",SUMIFS(IF($C27=År1,'Resultater - Vestdanmark'!$H$3:$H$480,IF($C27=År2,'Resultater - Vestdanmark'!$I$3:$I$480,'Resultater - Vestdanmark'!$J$3:$J$480)),'Resultater - Vestdanmark'!$F$3:$F$480,Restprodukter!$A27),SUMIFS(IF($C27=År1,'Resultater - Østdanmark'!$H$3:$H$480,IF($C27=År2,'Resultater - Østdanmark'!$I$3:$I$480,'Resultater - Østdanmark'!$J$3:$J$480)),'Resultater - Østdanmark'!$F$3:$F$480,Restprodukter!$A27))</f>
        <v>#REF!</v>
      </c>
      <c r="F27" t="e">
        <f t="shared" si="2"/>
        <v>#REF!</v>
      </c>
      <c r="G27" t="e">
        <f t="shared" si="3"/>
        <v>#REF!</v>
      </c>
      <c r="H27" t="e">
        <f t="shared" si="1"/>
        <v>#REF!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71">
        <f>SUMIFS('Forbrug af biomasse'!E:E,'Forbrug af biomasse'!F:F,"",'Forbrug af biomasse'!B:B,Restprodukter!$B28,'Forbrug af biomasse'!C:C,Restprodukter!$A28,'Forbrug af biomasse'!D:D,Restprodukter!$C28)</f>
        <v>0</v>
      </c>
      <c r="E28" t="e">
        <f>IF(B28="Vestdanmark",SUMIFS(IF($C28=År1,'Resultater - Vestdanmark'!$H$3:$H$480,IF($C28=År2,'Resultater - Vestdanmark'!$I$3:$I$480,'Resultater - Vestdanmark'!$J$3:$J$480)),'Resultater - Vestdanmark'!$F$3:$F$480,Restprodukter!$A28),SUMIFS(IF($C28=År1,'Resultater - Østdanmark'!$H$3:$H$480,IF($C28=År2,'Resultater - Østdanmark'!$I$3:$I$480,'Resultater - Østdanmark'!$J$3:$J$480)),'Resultater - Østdanmark'!$F$3:$F$480,Restprodukter!$A28))</f>
        <v>#REF!</v>
      </c>
      <c r="F28" t="e">
        <f t="shared" si="2"/>
        <v>#REF!</v>
      </c>
      <c r="G28" t="e">
        <f t="shared" si="3"/>
        <v>#REF!</v>
      </c>
      <c r="H28" t="e">
        <f t="shared" si="1"/>
        <v>#REF!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71">
        <f>SUMIFS('Forbrug af biomasse'!E:E,'Forbrug af biomasse'!F:F,"",'Forbrug af biomasse'!B:B,Restprodukter!$B29,'Forbrug af biomasse'!C:C,Restprodukter!$A29,'Forbrug af biomasse'!D:D,Restprodukter!$C29)</f>
        <v>0</v>
      </c>
      <c r="E29" t="e">
        <f>IF(B29="Vestdanmark",SUMIFS(IF($C29=År1,'Resultater - Vestdanmark'!$H$3:$H$480,IF($C29=År2,'Resultater - Vestdanmark'!$I$3:$I$480,'Resultater - Vestdanmark'!$J$3:$J$480)),'Resultater - Vestdanmark'!$F$3:$F$480,Restprodukter!$A29),SUMIFS(IF($C29=År1,'Resultater - Østdanmark'!$H$3:$H$480,IF($C29=År2,'Resultater - Østdanmark'!$I$3:$I$480,'Resultater - Østdanmark'!$J$3:$J$480)),'Resultater - Østdanmark'!$F$3:$F$480,Restprodukter!$A29))</f>
        <v>#REF!</v>
      </c>
      <c r="F29" t="e">
        <f t="shared" si="2"/>
        <v>#REF!</v>
      </c>
      <c r="G29" t="e">
        <f t="shared" si="3"/>
        <v>#REF!</v>
      </c>
      <c r="H29" t="e">
        <f t="shared" si="1"/>
        <v>#REF!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71" t="e">
        <f>SUMIFS('Forbrug af biomasse'!E:E,'Forbrug af biomasse'!F:F,"",'Forbrug af biomasse'!B:B,Restprodukter!$B30,'Forbrug af biomasse'!C:C,Restprodukter!$A30,'Forbrug af biomasse'!D:D,Restprodukter!$C30)</f>
        <v>#REF!</v>
      </c>
      <c r="E30" t="e">
        <f>IF(B30="Vestdanmark",SUMIFS(IF($C30=År1,'Resultater - Vestdanmark'!$H$3:$H$480,IF($C30=År2,'Resultater - Vestdanmark'!$I$3:$I$480,'Resultater - Vestdanmark'!$J$3:$J$480)),'Resultater - Vestdanmark'!$F$3:$F$480,Restprodukter!$A30),SUMIFS(IF($C30=År1,'Resultater - Østdanmark'!$H$3:$H$480,IF($C30=År2,'Resultater - Østdanmark'!$I$3:$I$480,'Resultater - Østdanmark'!$J$3:$J$480)),'Resultater - Østdanmark'!$F$3:$F$480,Restprodukter!$A30))</f>
        <v>#REF!</v>
      </c>
      <c r="F30" t="e">
        <f t="shared" si="2"/>
        <v>#REF!</v>
      </c>
      <c r="G30" t="e">
        <f t="shared" si="3"/>
        <v>#REF!</v>
      </c>
      <c r="H30" t="e">
        <f t="shared" si="1"/>
        <v>#REF!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71" t="e">
        <f>SUMIFS('Forbrug af biomasse'!E:E,'Forbrug af biomasse'!F:F,"",'Forbrug af biomasse'!B:B,Restprodukter!$B31,'Forbrug af biomasse'!C:C,Restprodukter!$A31,'Forbrug af biomasse'!D:D,Restprodukter!$C31)</f>
        <v>#REF!</v>
      </c>
      <c r="E31" t="e">
        <f>IF(B31="Vestdanmark",SUMIFS(IF($C31=År1,'Resultater - Vestdanmark'!$H$3:$H$480,IF($C31=År2,'Resultater - Vestdanmark'!$I$3:$I$480,'Resultater - Vestdanmark'!$J$3:$J$480)),'Resultater - Vestdanmark'!$F$3:$F$480,Restprodukter!$A31),SUMIFS(IF($C31=År1,'Resultater - Østdanmark'!$H$3:$H$480,IF($C31=År2,'Resultater - Østdanmark'!$I$3:$I$480,'Resultater - Østdanmark'!$J$3:$J$480)),'Resultater - Østdanmark'!$F$3:$F$480,Restprodukter!$A31))</f>
        <v>#REF!</v>
      </c>
      <c r="F31" t="e">
        <f t="shared" si="2"/>
        <v>#REF!</v>
      </c>
      <c r="G31" t="e">
        <f t="shared" si="3"/>
        <v>#REF!</v>
      </c>
      <c r="H31" t="e">
        <f t="shared" si="1"/>
        <v>#REF!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71" t="e">
        <f>SUMIFS('Forbrug af biomasse'!E:E,'Forbrug af biomasse'!F:F,"",'Forbrug af biomasse'!B:B,Restprodukter!$B32,'Forbrug af biomasse'!C:C,Restprodukter!$A32,'Forbrug af biomasse'!D:D,Restprodukter!$C32)</f>
        <v>#REF!</v>
      </c>
      <c r="E32" t="e">
        <f>IF(B32="Vestdanmark",SUMIFS(IF($C32=År1,'Resultater - Vestdanmark'!$H$3:$H$480,IF($C32=År2,'Resultater - Vestdanmark'!$I$3:$I$480,'Resultater - Vestdanmark'!$J$3:$J$480)),'Resultater - Vestdanmark'!$F$3:$F$480,Restprodukter!$A32),SUMIFS(IF($C32=År1,'Resultater - Østdanmark'!$H$3:$H$480,IF($C32=År2,'Resultater - Østdanmark'!$I$3:$I$480,'Resultater - Østdanmark'!$J$3:$J$480)),'Resultater - Østdanmark'!$F$3:$F$480,Restprodukter!$A32))</f>
        <v>#REF!</v>
      </c>
      <c r="F32" t="e">
        <f t="shared" si="2"/>
        <v>#REF!</v>
      </c>
      <c r="G32" t="e">
        <f t="shared" si="3"/>
        <v>#REF!</v>
      </c>
      <c r="H32" t="e">
        <f t="shared" si="1"/>
        <v>#REF!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71">
        <f>SUMIFS('Forbrug af biomasse'!E:E,'Forbrug af biomasse'!F:F,"",'Forbrug af biomasse'!B:B,Restprodukter!$B33,'Forbrug af biomasse'!C:C,Restprodukter!$A33,'Forbrug af biomasse'!D:D,Restprodukter!$C33)</f>
        <v>0</v>
      </c>
      <c r="E33" t="e">
        <f>IF(B33="Vestdanmark",SUMIFS(IF($C33=År1,'Resultater - Vestdanmark'!$H$3:$H$480,IF($C33=År2,'Resultater - Vestdanmark'!$I$3:$I$480,'Resultater - Vestdanmark'!$J$3:$J$480)),'Resultater - Vestdanmark'!$F$3:$F$480,Restprodukter!$A33),SUMIFS(IF($C33=År1,'Resultater - Østdanmark'!$H$3:$H$480,IF($C33=År2,'Resultater - Østdanmark'!$I$3:$I$480,'Resultater - Østdanmark'!$J$3:$J$480)),'Resultater - Østdanmark'!$F$3:$F$480,Restprodukter!$A33))</f>
        <v>#REF!</v>
      </c>
      <c r="F33" t="e">
        <f t="shared" si="2"/>
        <v>#REF!</v>
      </c>
      <c r="G33" t="e">
        <f t="shared" si="3"/>
        <v>#REF!</v>
      </c>
      <c r="H33" t="e">
        <f t="shared" si="1"/>
        <v>#REF!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71">
        <f>SUMIFS('Forbrug af biomasse'!E:E,'Forbrug af biomasse'!F:F,"",'Forbrug af biomasse'!B:B,Restprodukter!$B34,'Forbrug af biomasse'!C:C,Restprodukter!$A34,'Forbrug af biomasse'!D:D,Restprodukter!$C34)</f>
        <v>0</v>
      </c>
      <c r="E34" t="e">
        <f>IF(B34="Vestdanmark",SUMIFS(IF($C34=År1,'Resultater - Vestdanmark'!$H$3:$H$480,IF($C34=År2,'Resultater - Vestdanmark'!$I$3:$I$480,'Resultater - Vestdanmark'!$J$3:$J$480)),'Resultater - Vestdanmark'!$F$3:$F$480,Restprodukter!$A34),SUMIFS(IF($C34=År1,'Resultater - Østdanmark'!$H$3:$H$480,IF($C34=År2,'Resultater - Østdanmark'!$I$3:$I$480,'Resultater - Østdanmark'!$J$3:$J$480)),'Resultater - Østdanmark'!$F$3:$F$480,Restprodukter!$A34))</f>
        <v>#REF!</v>
      </c>
      <c r="F34" t="e">
        <f t="shared" si="2"/>
        <v>#REF!</v>
      </c>
      <c r="G34" t="e">
        <f t="shared" si="3"/>
        <v>#REF!</v>
      </c>
      <c r="H34" t="e">
        <f t="shared" si="1"/>
        <v>#REF!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71">
        <f>SUMIFS('Forbrug af biomasse'!E:E,'Forbrug af biomasse'!F:F,"",'Forbrug af biomasse'!B:B,Restprodukter!$B35,'Forbrug af biomasse'!C:C,Restprodukter!$A35,'Forbrug af biomasse'!D:D,Restprodukter!$C35)</f>
        <v>0</v>
      </c>
      <c r="E35" t="e">
        <f>IF(B35="Vestdanmark",SUMIFS(IF($C35=År1,'Resultater - Vestdanmark'!$H$3:$H$480,IF($C35=År2,'Resultater - Vestdanmark'!$I$3:$I$480,'Resultater - Vestdanmark'!$J$3:$J$480)),'Resultater - Vestdanmark'!$F$3:$F$480,Restprodukter!$A35),SUMIFS(IF($C35=År1,'Resultater - Østdanmark'!$H$3:$H$480,IF($C35=År2,'Resultater - Østdanmark'!$I$3:$I$480,'Resultater - Østdanmark'!$J$3:$J$480)),'Resultater - Østdanmark'!$F$3:$F$480,Restprodukter!$A35))</f>
        <v>#REF!</v>
      </c>
      <c r="F35" t="e">
        <f t="shared" si="2"/>
        <v>#REF!</v>
      </c>
      <c r="G35" t="e">
        <f t="shared" si="3"/>
        <v>#REF!</v>
      </c>
      <c r="H35" t="e">
        <f t="shared" si="1"/>
        <v>#REF!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71" t="e">
        <f>SUMIFS('Forbrug af biomasse'!E:E,'Forbrug af biomasse'!F:F,"",'Forbrug af biomasse'!B:B,Restprodukter!$B36,'Forbrug af biomasse'!C:C,Restprodukter!$A36,'Forbrug af biomasse'!D:D,Restprodukter!$C36)</f>
        <v>#REF!</v>
      </c>
      <c r="E36" t="e">
        <f>IF(B36="Vestdanmark",SUMIFS(IF($C36=År1,'Resultater - Vestdanmark'!$H$3:$H$480,IF($C36=År2,'Resultater - Vestdanmark'!$I$3:$I$480,'Resultater - Vestdanmark'!$J$3:$J$480)),'Resultater - Vestdanmark'!$F$3:$F$480,Restprodukter!$A36),SUMIFS(IF($C36=År1,'Resultater - Østdanmark'!$H$3:$H$480,IF($C36=År2,'Resultater - Østdanmark'!$I$3:$I$480,'Resultater - Østdanmark'!$J$3:$J$480)),'Resultater - Østdanmark'!$F$3:$F$480,Restprodukter!$A36))</f>
        <v>#REF!</v>
      </c>
      <c r="F36" t="e">
        <f t="shared" si="2"/>
        <v>#REF!</v>
      </c>
      <c r="G36" t="e">
        <f t="shared" si="3"/>
        <v>#REF!</v>
      </c>
      <c r="H36" t="e">
        <f t="shared" si="1"/>
        <v>#REF!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71" t="e">
        <f>SUMIFS('Forbrug af biomasse'!E:E,'Forbrug af biomasse'!F:F,"",'Forbrug af biomasse'!B:B,Restprodukter!$B37,'Forbrug af biomasse'!C:C,Restprodukter!$A37,'Forbrug af biomasse'!D:D,Restprodukter!$C37)</f>
        <v>#REF!</v>
      </c>
      <c r="E37" t="e">
        <f>IF(B37="Vestdanmark",SUMIFS(IF($C37=År1,'Resultater - Vestdanmark'!$H$3:$H$480,IF($C37=År2,'Resultater - Vestdanmark'!$I$3:$I$480,'Resultater - Vestdanmark'!$J$3:$J$480)),'Resultater - Vestdanmark'!$F$3:$F$480,Restprodukter!$A37),SUMIFS(IF($C37=År1,'Resultater - Østdanmark'!$H$3:$H$480,IF($C37=År2,'Resultater - Østdanmark'!$I$3:$I$480,'Resultater - Østdanmark'!$J$3:$J$480)),'Resultater - Østdanmark'!$F$3:$F$480,Restprodukter!$A37))</f>
        <v>#REF!</v>
      </c>
      <c r="F37" t="e">
        <f t="shared" si="2"/>
        <v>#REF!</v>
      </c>
      <c r="G37" t="e">
        <f t="shared" si="3"/>
        <v>#REF!</v>
      </c>
      <c r="H37" t="e">
        <f t="shared" si="1"/>
        <v>#REF!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480"/>
  <sheetViews>
    <sheetView topLeftCell="A410" zoomScale="80" zoomScaleNormal="80" workbookViewId="0">
      <selection activeCell="M418" sqref="M418:O432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5" t="e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input'!$A$3:$A$230,$A$1)),IF(VLOOKUP($A3,[1]!Table1[#All],2,FALSE)="Resultat",SUMIF($F$1:$F2,$D3,H$1:H2)+SUMIF($F4:$F$490,$D3,H4:H$490),0))*'[1]Processer - data'!H3,"")*IF($C3&lt;&gt;"",IF($F3="Halm",Landbrug!C$16*Landbrug!C$17,IF(LEFT($D3,5)="Areal", IF($G3="Ton",Landbrug!C$18,1),1)),1)*IF($F3="Grøntsager",IF($A3="Grøntsager i drivhus",Landbrug!C$51,1-Landbrug!C$51),1)</f>
        <v>#REF!</v>
      </c>
      <c r="I3" s="306" t="e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input'!$A$3:$A$230,$A$1)),IF(VLOOKUP($A3,[1]!Table1[#All],2,FALSE)="Resultat",SUMIF($F$1:$F2,$D3,I$1:I2)+SUMIF($F4:$F$490,$D3,I4:I$490),0))*'[1]Processer - data'!I3,"")*IF($C3&lt;&gt;"",IF($F3="Halm",Landbrug!D$16*Landbrug!D$17,IF(LEFT($D3,5)="Areal", IF($G3="Ton",Landbrug!D$18,1),1)),1)*IF($F3="Grøntsager",IF($A3="Grøntsager i drivhus",Landbrug!D$51,1-Landbrug!D$51),1)</f>
        <v>#REF!</v>
      </c>
      <c r="J3" s="307" t="e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input'!$A$3:$A$230,$A$1)),IF(VLOOKUP($A3,[1]!Table1[#All],2,FALSE)="Resultat",SUMIF($F$1:$F2,$D3,J$1:J2)+SUMIF($F4:$F$490,$D3,J4:J$490),0))*'[1]Processer - data'!J3,"")*IF($C3&lt;&gt;"",IF($F3="Halm",Landbrug!E$16*Landbrug!E$17,IF(LEFT($D3,5)="Areal", IF($G3="Ton",Landbrug!E$18,1),1)),1)*IF($F3="Grøntsager",IF($A3="Grøntsager i drivhus",Landbrug!E$51,1-Landbrug!E$51),1)</f>
        <v>#REF!</v>
      </c>
      <c r="M3" t="e">
        <f>SUMIF($F$3:$F$472,"Roer",H3:H472)</f>
        <v>#REF!</v>
      </c>
      <c r="N3" s="171" t="e">
        <f>SUMIF($F$3:$F$472,"Roer",I3:I472)</f>
        <v>#REF!</v>
      </c>
      <c r="O3" s="171" t="e">
        <f>SUMIF($F$3:$F$472,"Roer",J3:J472)</f>
        <v>#REF!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2" t="e">
        <f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input'!$A$3:$A$230,$A$1)),IF(VLOOKUP($A4,[1]!Table1[#All],2,FALSE)="Resultat",SUMIF($F$1:$F3,$D4,H$1:H3)+SUMIF($F5:$F$490,$D4,H5:H$490),0))*'[1]Processer - data'!H4,"")*IF($C4&lt;&gt;"",IF($F4="Halm",Landbrug!C$16*Landbrug!C$17,IF(LEFT($D4,5)="Areal", IF($G4="Ton",Landbrug!C$18,1),1)),1)*IF($F4="Grøntsager",IF($A4="Grøntsager i drivhus",Landbrug!C$51,1-Landbrug!C$51),1)</f>
        <v>#REF!</v>
      </c>
      <c r="I4" s="303" t="e">
        <f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input'!$A$3:$A$230,$A$1)),IF(VLOOKUP($A4,[1]!Table1[#All],2,FALSE)="Resultat",SUMIF($F$1:$F3,$D4,I$1:I3)+SUMIF($F5:$F$490,$D4,I5:I$490),0))*'[1]Processer - data'!I4,"")*IF($C4&lt;&gt;"",IF($F4="Halm",Landbrug!D$16*Landbrug!D$17,IF(LEFT($D4,5)="Areal", IF($G4="Ton",Landbrug!D$18,1),1)),1)*IF($F4="Grøntsager",IF($A4="Grøntsager i drivhus",Landbrug!D$51,1-Landbrug!D$51),1)</f>
        <v>#REF!</v>
      </c>
      <c r="J4" s="304" t="e">
        <f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input'!$A$3:$A$230,$A$1)),IF(VLOOKUP($A4,[1]!Table1[#All],2,FALSE)="Resultat",SUMIF($F$1:$F3,$D4,J$1:J3)+SUMIF($F5:$F$490,$D4,J5:J$490),0))*'[1]Processer - data'!J4,"")*IF($C4&lt;&gt;"",IF($F4="Halm",Landbrug!E$16*Landbrug!E$17,IF(LEFT($D4,5)="Areal", IF($G4="Ton",Landbrug!E$18,1),1)),1)*IF($F4="Grøntsager",IF($A4="Grøntsager i drivhus",Landbrug!E$51,1-Landbrug!E$51),1)</f>
        <v>#REF!</v>
      </c>
      <c r="N4" s="171"/>
      <c r="O4" s="171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2" t="e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input'!$A$3:$A$230,$A$1)),IF(VLOOKUP($A5,[1]!Table1[#All],2,FALSE)="Resultat",SUMIF($F$1:$F4,$D5,H$1:H4)+SUMIF($F7:$F$490,$D5,H7:H$490),0))*'[1]Processer - data'!H5,"")*IF($C5&lt;&gt;"",IF($F5="Halm",Landbrug!C$16*Landbrug!C$17,IF(LEFT($D5,5)="Areal", IF($G5="Ton",Landbrug!C$18,1),1)),1)*IF($F5="Grøntsager",IF($A5="Grøntsager i drivhus",Landbrug!C$51,1-Landbrug!C$51),1)</f>
        <v>#REF!</v>
      </c>
      <c r="I5" s="303" t="e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input'!$A$3:$A$230,$A$1)),IF(VLOOKUP($A5,[1]!Table1[#All],2,FALSE)="Resultat",SUMIF($F$1:$F4,$D5,I$1:I4)+SUMIF($F7:$F$490,$D5,I7:I$490),0))*'[1]Processer - data'!I5,"")*IF($C5&lt;&gt;"",IF($F5="Halm",Landbrug!D$16*Landbrug!D$17,IF(LEFT($D5,5)="Areal", IF($G5="Ton",Landbrug!D$18,1),1)),1)*IF($F5="Grøntsager",IF($A5="Grøntsager i drivhus",Landbrug!D$51,1-Landbrug!D$51),1)</f>
        <v>#REF!</v>
      </c>
      <c r="J5" s="304" t="e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input'!$A$3:$A$230,$A$1)),IF(VLOOKUP($A5,[1]!Table1[#All],2,FALSE)="Resultat",SUMIF($F$1:$F4,$D5,J$1:J4)+SUMIF($F7:$F$490,$D5,J7:J$490),0))*'[1]Processer - data'!J5,"")*IF($C5&lt;&gt;"",IF($F5="Halm",Landbrug!E$16*Landbrug!E$17,IF(LEFT($D5,5)="Areal", IF($G5="Ton",Landbrug!E$18,1),1)),1)*IF($F5="Grøntsager",IF($A5="Grøntsager i drivhus",Landbrug!E$51,1-Landbrug!E$51),1)</f>
        <v>#REF!</v>
      </c>
    </row>
    <row r="6" spans="1:21" s="171" customFormat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2" t="e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input'!$A$3:$A$230,$A$1)),IF(VLOOKUP($A6,[1]!Table1[#All],2,FALSE)="Resultat",SUMIF($F$1:$F5,$D6,H$1:H5)+SUMIF($F8:$F$490,$D6,H8:H$490),0))*'[1]Processer - data'!H6,"")*IF($C6&lt;&gt;"",IF($F6="Halm",Landbrug!C$16*Landbrug!C$17,IF(LEFT($D6,5)="Areal", IF($G6="Ton",Landbrug!C$18,1),1)),1)*IF($F6="Grøntsager",IF($A6="Grøntsager i drivhus",Landbrug!C$51,1-Landbrug!C$51),1)</f>
        <v>#REF!</v>
      </c>
      <c r="I6" s="303" t="e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input'!$A$3:$A$230,$A$1)),IF(VLOOKUP($A6,[1]!Table1[#All],2,FALSE)="Resultat",SUMIF($F$1:$F5,$D6,I$1:I5)+SUMIF($F8:$F$490,$D6,I8:I$490),0))*'[1]Processer - data'!I6,"")*IF($C6&lt;&gt;"",IF($F6="Halm",Landbrug!D$16*Landbrug!D$17,IF(LEFT($D6,5)="Areal", IF($G6="Ton",Landbrug!D$18,1),1)),1)*IF($F6="Grøntsager",IF($A6="Grøntsager i drivhus",Landbrug!D$51,1-Landbrug!D$51),1)</f>
        <v>#REF!</v>
      </c>
      <c r="J6" s="304" t="e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input'!$A$3:$A$230,$A$1)),IF(VLOOKUP($A6,[1]!Table1[#All],2,FALSE)="Resultat",SUMIF($F$1:$F5,$D6,J$1:J5)+SUMIF($F8:$F$490,$D6,J8:J$490),0))*'[1]Processer - data'!J6,"")*IF($C6&lt;&gt;"",IF($F6="Halm",Landbrug!E$16*Landbrug!E$17,IF(LEFT($D6,5)="Areal", IF($G6="Ton",Landbrug!E$18,1),1)),1)*IF($F6="Grøntsager",IF($A6="Grøntsager i drivhus",Landbrug!E$51,1-Landbrug!E$51),1)</f>
        <v>#REF!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2" t="e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input'!$A$3:$A$230,$A$1)),IF(VLOOKUP($A7,[1]!Table1[#All],2,FALSE)="Resultat",SUMIF($F$1:$F5,$D7,H$1:H5)+SUMIF($F8:$F$490,$D7,H8:H$490),0))*'[1]Processer - data'!H7,"")*IF($C7&lt;&gt;"",IF($F7="Halm",Landbrug!C$16*Landbrug!C$17,IF(LEFT($D7,5)="Areal", IF($G7="Ton",Landbrug!C$18,1),1)),1)*IF($F7="Grøntsager",IF($A7="Grøntsager i drivhus",Landbrug!C$51,1-Landbrug!C$51),1)</f>
        <v>#REF!</v>
      </c>
      <c r="I7" s="303" t="e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input'!$A$3:$A$230,$A$1)),IF(VLOOKUP($A7,[1]!Table1[#All],2,FALSE)="Resultat",SUMIF($F$1:$F5,$D7,I$1:I5)+SUMIF($F8:$F$490,$D7,I8:I$490),0))*'[1]Processer - data'!I7,"")*IF($C7&lt;&gt;"",IF($F7="Halm",Landbrug!D$16*Landbrug!D$17,IF(LEFT($D7,5)="Areal", IF($G7="Ton",Landbrug!D$18,1),1)),1)*IF($F7="Grøntsager",IF($A7="Grøntsager i drivhus",Landbrug!D$51,1-Landbrug!D$51),1)</f>
        <v>#REF!</v>
      </c>
      <c r="J7" s="304" t="e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input'!$A$3:$A$230,$A$1)),IF(VLOOKUP($A7,[1]!Table1[#All],2,FALSE)="Resultat",SUMIF($F$1:$F5,$D7,J$1:J5)+SUMIF($F8:$F$490,$D7,J8:J$490),0))*'[1]Processer - data'!J7,"")*IF($C7&lt;&gt;"",IF($F7="Halm",Landbrug!E$16*Landbrug!E$17,IF(LEFT($D7,5)="Areal", IF($G7="Ton",Landbrug!E$18,1),1)),1)*IF($F7="Grøntsager",IF($A7="Grøntsager i drivhus",Landbrug!E$51,1-Landbrug!E$51),1)</f>
        <v>#REF!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2" t="e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input'!$A$3:$A$230,$A$1)),IF(VLOOKUP($A8,[1]!Table1[#All],2,FALSE)="Resultat",SUMIF($F$1:$F7,$D8,H$1:H7)+SUMIF($F9:$F$490,$D8,H9:H$490),0))*'[1]Processer - data'!H8,"")*IF($C8&lt;&gt;"",IF($F8="Halm",Landbrug!C$16*Landbrug!C$17,IF(LEFT($D8,5)="Areal", IF($G8="Ton",Landbrug!C$18,1),1)),1)*IF($F8="Grøntsager",IF($A8="Grøntsager i drivhus",Landbrug!C$51,1-Landbrug!C$51),1)</f>
        <v>#REF!</v>
      </c>
      <c r="I8" s="303" t="e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input'!$A$3:$A$230,$A$1)),IF(VLOOKUP($A8,[1]!Table1[#All],2,FALSE)="Resultat",SUMIF($F$1:$F7,$D8,I$1:I7)+SUMIF($F9:$F$490,$D8,I9:I$490),0))*'[1]Processer - data'!I8,"")*IF($C8&lt;&gt;"",IF($F8="Halm",Landbrug!D$16*Landbrug!D$17,IF(LEFT($D8,5)="Areal", IF($G8="Ton",Landbrug!D$18,1),1)),1)*IF($F8="Grøntsager",IF($A8="Grøntsager i drivhus",Landbrug!D$51,1-Landbrug!D$51),1)</f>
        <v>#REF!</v>
      </c>
      <c r="J8" s="304" t="e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input'!$A$3:$A$230,$A$1)),IF(VLOOKUP($A8,[1]!Table1[#All],2,FALSE)="Resultat",SUMIF($F$1:$F7,$D8,J$1:J7)+SUMIF($F9:$F$490,$D8,J9:J$490),0))*'[1]Processer - data'!J8,"")*IF($C8&lt;&gt;"",IF($F8="Halm",Landbrug!E$16*Landbrug!E$17,IF(LEFT($D8,5)="Areal", IF($G8="Ton",Landbrug!E$18,1),1)),1)*IF($F8="Grøntsager",IF($A8="Grøntsager i drivhus",Landbrug!E$51,1-Landbrug!E$51),1)</f>
        <v>#REF!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2" t="e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input'!$A$3:$A$230,$A$1)),IF(VLOOKUP($A9,[1]!Table1[#All],2,FALSE)="Resultat",SUMIF($F$1:$F8,$D9,H$1:H8)+SUMIF($F10:$F$490,$D9,H10:H$490),0))*'[1]Processer - data'!H9,"")*IF($C9&lt;&gt;"",IF($F9="Halm",Landbrug!C$16*Landbrug!C$17,IF(LEFT($D9,5)="Areal", IF($G9="Ton",Landbrug!C$18,1),1)),1)*IF($F9="Grøntsager",IF($A9="Grøntsager i drivhus",Landbrug!C$51,1-Landbrug!C$51),1)</f>
        <v>#REF!</v>
      </c>
      <c r="I9" s="303" t="e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input'!$A$3:$A$230,$A$1)),IF(VLOOKUP($A9,[1]!Table1[#All],2,FALSE)="Resultat",SUMIF($F$1:$F8,$D9,I$1:I8)+SUMIF($F10:$F$490,$D9,I10:I$490),0))*'[1]Processer - data'!I9,"")*IF($C9&lt;&gt;"",IF($F9="Halm",Landbrug!D$16*Landbrug!D$17,IF(LEFT($D9,5)="Areal", IF($G9="Ton",Landbrug!D$18,1),1)),1)*IF($F9="Grøntsager",IF($A9="Grøntsager i drivhus",Landbrug!D$51,1-Landbrug!D$51),1)</f>
        <v>#REF!</v>
      </c>
      <c r="J9" s="304" t="e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input'!$A$3:$A$230,$A$1)),IF(VLOOKUP($A9,[1]!Table1[#All],2,FALSE)="Resultat",SUMIF($F$1:$F8,$D9,J$1:J8)+SUMIF($F10:$F$490,$D9,J10:J$490),0))*'[1]Processer - data'!J9,"")*IF($C9&lt;&gt;"",IF($F9="Halm",Landbrug!E$16*Landbrug!E$17,IF(LEFT($D9,5)="Areal", IF($G9="Ton",Landbrug!E$18,1),1)),1)*IF($F9="Grøntsager",IF($A9="Grøntsager i drivhus",Landbrug!E$51,1-Landbrug!E$51),1)</f>
        <v>#REF!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2" t="e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input'!$A$3:$A$230,$A$1)),IF(VLOOKUP($A10,[1]!Table1[#All],2,FALSE)="Resultat",SUMIF($F$1:$F9,$D10,H$1:H9)+SUMIF($F11:$F$490,$D10,H11:H$490),0))*'[1]Processer - data'!H10,"")*IF($C10&lt;&gt;"",IF($F10="Halm",Landbrug!C$16*Landbrug!C$17,IF(LEFT($D10,5)="Areal", IF($G10="Ton",Landbrug!C$18,1),1)),1)*IF($F10="Grøntsager",IF($A10="Grøntsager i drivhus",Landbrug!C$51,1-Landbrug!C$51),1)</f>
        <v>#REF!</v>
      </c>
      <c r="I10" s="303" t="e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input'!$A$3:$A$230,$A$1)),IF(VLOOKUP($A10,[1]!Table1[#All],2,FALSE)="Resultat",SUMIF($F$1:$F9,$D10,I$1:I9)+SUMIF($F11:$F$490,$D10,I11:I$490),0))*'[1]Processer - data'!I10,"")*IF($C10&lt;&gt;"",IF($F10="Halm",Landbrug!D$16*Landbrug!D$17,IF(LEFT($D10,5)="Areal", IF($G10="Ton",Landbrug!D$18,1),1)),1)*IF($F10="Grøntsager",IF($A10="Grøntsager i drivhus",Landbrug!D$51,1-Landbrug!D$51),1)</f>
        <v>#REF!</v>
      </c>
      <c r="J10" s="304" t="e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input'!$A$3:$A$230,$A$1)),IF(VLOOKUP($A10,[1]!Table1[#All],2,FALSE)="Resultat",SUMIF($F$1:$F9,$D10,J$1:J9)+SUMIF($F11:$F$490,$D10,J11:J$490),0))*'[1]Processer - data'!J10,"")*IF($C10&lt;&gt;"",IF($F10="Halm",Landbrug!E$16*Landbrug!E$17,IF(LEFT($D10,5)="Areal", IF($G10="Ton",Landbrug!E$18,1),1)),1)*IF($F10="Grøntsager",IF($A10="Grøntsager i drivhus",Landbrug!E$51,1-Landbrug!E$51),1)</f>
        <v>#REF!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2" t="e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input'!$A$3:$A$230,$A$1)),IF(VLOOKUP($A11,[1]!Table1[#All],2,FALSE)="Resultat",SUMIF($F$1:$F10,$D11,H$1:H10)+SUMIF($F12:$F$490,$D11,H12:H$490),0))*'[1]Processer - data'!H11,"")*IF($C11&lt;&gt;"",IF($F11="Halm",Landbrug!C$16*Landbrug!C$17,IF(LEFT($D11,5)="Areal", IF($G11="Ton",Landbrug!C$18,1),1)),1)*IF($F11="Grøntsager",IF($A11="Grøntsager i drivhus",Landbrug!C$51,1-Landbrug!C$51),1)</f>
        <v>#REF!</v>
      </c>
      <c r="I11" s="303" t="e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input'!$A$3:$A$230,$A$1)),IF(VLOOKUP($A11,[1]!Table1[#All],2,FALSE)="Resultat",SUMIF($F$1:$F10,$D11,I$1:I10)+SUMIF($F12:$F$490,$D11,I12:I$490),0))*'[1]Processer - data'!I11,"")*IF($C11&lt;&gt;"",IF($F11="Halm",Landbrug!D$16*Landbrug!D$17,IF(LEFT($D11,5)="Areal", IF($G11="Ton",Landbrug!D$18,1),1)),1)*IF($F11="Grøntsager",IF($A11="Grøntsager i drivhus",Landbrug!D$51,1-Landbrug!D$51),1)</f>
        <v>#REF!</v>
      </c>
      <c r="J11" s="304" t="e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input'!$A$3:$A$230,$A$1)),IF(VLOOKUP($A11,[1]!Table1[#All],2,FALSE)="Resultat",SUMIF($F$1:$F10,$D11,J$1:J10)+SUMIF($F12:$F$490,$D11,J12:J$490),0))*'[1]Processer - data'!J11,"")*IF($C11&lt;&gt;"",IF($F11="Halm",Landbrug!E$16*Landbrug!E$17,IF(LEFT($D11,5)="Areal", IF($G11="Ton",Landbrug!E$18,1),1)),1)*IF($F11="Grøntsager",IF($A11="Grøntsager i drivhus",Landbrug!E$51,1-Landbrug!E$51),1)</f>
        <v>#REF!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2" t="e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input'!$A$3:$A$230,$A$1)),IF(VLOOKUP($A12,[1]!Table1[#All],2,FALSE)="Resultat",SUMIF($F$1:$F11,$D12,H$1:H11)+SUMIF($F13:$F$490,$D12,H13:H$490),0))*'[1]Processer - data'!H12,"")*IF($C12&lt;&gt;"",IF($F12="Halm",Landbrug!C$16*Landbrug!C$17,IF(LEFT($D12,5)="Areal", IF($G12="Ton",Landbrug!C$18,1),1)),1)*IF($F12="Grøntsager",IF($A12="Grøntsager i drivhus",Landbrug!C$51,1-Landbrug!C$51),1)</f>
        <v>#REF!</v>
      </c>
      <c r="I12" s="303" t="e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input'!$A$3:$A$230,$A$1)),IF(VLOOKUP($A12,[1]!Table1[#All],2,FALSE)="Resultat",SUMIF($F$1:$F11,$D12,I$1:I11)+SUMIF($F13:$F$490,$D12,I13:I$490),0))*'[1]Processer - data'!I12,"")*IF($C12&lt;&gt;"",IF($F12="Halm",Landbrug!D$16*Landbrug!D$17,IF(LEFT($D12,5)="Areal", IF($G12="Ton",Landbrug!D$18,1),1)),1)*IF($F12="Grøntsager",IF($A12="Grøntsager i drivhus",Landbrug!D$51,1-Landbrug!D$51),1)</f>
        <v>#REF!</v>
      </c>
      <c r="J12" s="304" t="e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input'!$A$3:$A$230,$A$1)),IF(VLOOKUP($A12,[1]!Table1[#All],2,FALSE)="Resultat",SUMIF($F$1:$F11,$D12,J$1:J11)+SUMIF($F13:$F$490,$D12,J13:J$490),0))*'[1]Processer - data'!J12,"")*IF($C12&lt;&gt;"",IF($F12="Halm",Landbrug!E$16*Landbrug!E$17,IF(LEFT($D12,5)="Areal", IF($G12="Ton",Landbrug!E$18,1),1)),1)*IF($F12="Grøntsager",IF($A12="Grøntsager i drivhus",Landbrug!E$51,1-Landbrug!E$51),1)</f>
        <v>#REF!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2" t="e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input'!$A$3:$A$230,$A$1)),IF(VLOOKUP($A13,[1]!Table1[#All],2,FALSE)="Resultat",SUMIF($F$1:$F12,$D13,H$1:H12)+SUMIF($F14:$F$490,$D13,H14:H$490),0))*'[1]Processer - data'!H13,"")*IF($C13&lt;&gt;"",IF($F13="Halm",Landbrug!C$16*Landbrug!C$17,IF(LEFT($D13,5)="Areal", IF($G13="Ton",Landbrug!C$18,1),1)),1)*IF($F13="Grøntsager",IF($A13="Grøntsager i drivhus",Landbrug!C$51,1-Landbrug!C$51),1)</f>
        <v>#REF!</v>
      </c>
      <c r="I13" s="303" t="e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input'!$A$3:$A$230,$A$1)),IF(VLOOKUP($A13,[1]!Table1[#All],2,FALSE)="Resultat",SUMIF($F$1:$F12,$D13,I$1:I12)+SUMIF($F14:$F$490,$D13,I14:I$490),0))*'[1]Processer - data'!I13,"")*IF($C13&lt;&gt;"",IF($F13="Halm",Landbrug!D$16*Landbrug!D$17,IF(LEFT($D13,5)="Areal", IF($G13="Ton",Landbrug!D$18,1),1)),1)*IF($F13="Grøntsager",IF($A13="Grøntsager i drivhus",Landbrug!D$51,1-Landbrug!D$51),1)</f>
        <v>#REF!</v>
      </c>
      <c r="J13" s="304" t="e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input'!$A$3:$A$230,$A$1)),IF(VLOOKUP($A13,[1]!Table1[#All],2,FALSE)="Resultat",SUMIF($F$1:$F12,$D13,J$1:J12)+SUMIF($F14:$F$490,$D13,J14:J$490),0))*'[1]Processer - data'!J13,"")*IF($C13&lt;&gt;"",IF($F13="Halm",Landbrug!E$16*Landbrug!E$17,IF(LEFT($D13,5)="Areal", IF($G13="Ton",Landbrug!E$18,1),1)),1)*IF($F13="Grøntsager",IF($A13="Grøntsager i drivhus",Landbrug!E$51,1-Landbrug!E$51),1)</f>
        <v>#REF!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Skovtype1</v>
      </c>
      <c r="D14" t="str">
        <f>IF('[1]Processer - data'!D14&lt;&gt;"",'[1]Processer - data'!D14,"")</f>
        <v>Areal-skovtype1-10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Træer</v>
      </c>
      <c r="G14" t="str">
        <f>IF('[1]Processer - data'!G14&lt;&gt;"",'[1]Processer - data'!G14,"")</f>
        <v>m3</v>
      </c>
      <c r="H14" s="302" t="e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input'!$A$3:$A$230,$A$1)),IF(VLOOKUP($A14,[1]!Table1[#All],2,FALSE)="Resultat",SUMIF($F$1:$F13,$D14,H$1:H13)+SUMIF($F15:$F$490,$D14,H15:H$490),0))*'[1]Processer - data'!H14,"")*IF($C14&lt;&gt;"",IF($F14="Halm",Landbrug!C$16*Landbrug!C$17,IF(LEFT($D14,5)="Areal", IF($G14="Ton",Landbrug!C$18,1),1)),1)*IF($F14="Grøntsager",IF($A14="Grøntsager i drivhus",Landbrug!C$51,1-Landbrug!C$51),1)</f>
        <v>#REF!</v>
      </c>
      <c r="I14" s="303" t="e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input'!$A$3:$A$230,$A$1)),IF(VLOOKUP($A14,[1]!Table1[#All],2,FALSE)="Resultat",SUMIF($F$1:$F13,$D14,I$1:I13)+SUMIF($F15:$F$490,$D14,I15:I$490),0))*'[1]Processer - data'!I14,"")*IF($C14&lt;&gt;"",IF($F14="Halm",Landbrug!D$16*Landbrug!D$17,IF(LEFT($D14,5)="Areal", IF($G14="Ton",Landbrug!D$18,1),1)),1)*IF($F14="Grøntsager",IF($A14="Grøntsager i drivhus",Landbrug!D$51,1-Landbrug!D$51),1)</f>
        <v>#REF!</v>
      </c>
      <c r="J14" s="304" t="e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input'!$A$3:$A$230,$A$1)),IF(VLOOKUP($A14,[1]!Table1[#All],2,FALSE)="Resultat",SUMIF($F$1:$F13,$D14,J$1:J13)+SUMIF($F15:$F$490,$D14,J15:J$490),0))*'[1]Processer - data'!J14,"")*IF($C14&lt;&gt;"",IF($F14="Halm",Landbrug!E$16*Landbrug!E$17,IF(LEFT($D14,5)="Areal", IF($G14="Ton",Landbrug!E$18,1),1)),1)*IF($F14="Grøntsager",IF($A14="Grøntsager i drivhus",Landbrug!E$51,1-Landbrug!E$51),1)</f>
        <v>#REF!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 til energi</v>
      </c>
      <c r="G15" t="str">
        <f>IF('[1]Processer - data'!G15&lt;&gt;"",'[1]Processer - data'!G15,"")</f>
        <v>m3</v>
      </c>
      <c r="H15" s="302" t="e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input'!$A$3:$A$230,$A$1)),IF(VLOOKUP($A15,[1]!Table1[#All],2,FALSE)="Resultat",SUMIF($F$1:$F14,$D15,H$1:H14)+SUMIF($F16:$F$490,$D15,H16:H$490),0))*'[1]Processer - data'!H15,"")*IF($C15&lt;&gt;"",IF($F15="Halm",Landbrug!C$16*Landbrug!C$17,IF(LEFT($D15,5)="Areal", IF($G15="Ton",Landbrug!C$18,1),1)),1)*IF($F15="Grøntsager",IF($A15="Grøntsager i drivhus",Landbrug!C$51,1-Landbrug!C$51),1)</f>
        <v>#REF!</v>
      </c>
      <c r="I15" s="303" t="e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input'!$A$3:$A$230,$A$1)),IF(VLOOKUP($A15,[1]!Table1[#All],2,FALSE)="Resultat",SUMIF($F$1:$F14,$D15,I$1:I14)+SUMIF($F16:$F$490,$D15,I16:I$490),0))*'[1]Processer - data'!I15,"")*IF($C15&lt;&gt;"",IF($F15="Halm",Landbrug!D$16*Landbrug!D$17,IF(LEFT($D15,5)="Areal", IF($G15="Ton",Landbrug!D$18,1),1)),1)*IF($F15="Grøntsager",IF($A15="Grøntsager i drivhus",Landbrug!D$51,1-Landbrug!D$51),1)</f>
        <v>#REF!</v>
      </c>
      <c r="J15" s="304" t="e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input'!$A$3:$A$230,$A$1)),IF(VLOOKUP($A15,[1]!Table1[#All],2,FALSE)="Resultat",SUMIF($F$1:$F14,$D15,J$1:J14)+SUMIF($F16:$F$490,$D15,J16:J$490),0))*'[1]Processer - data'!J15,"")*IF($C15&lt;&gt;"",IF($F15="Halm",Landbrug!E$16*Landbrug!E$17,IF(LEFT($D15,5)="Areal", IF($G15="Ton",Landbrug!E$18,1),1)),1)*IF($F15="Grøntsager",IF($A15="Grøntsager i drivhus",Landbrug!E$51,1-Landbrug!E$51),1)</f>
        <v>#REF!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CO2 - atmosfære</v>
      </c>
      <c r="G16" t="str">
        <f>IF('[1]Processer - data'!G16&lt;&gt;"",'[1]Processer - data'!G16,"")</f>
        <v>t CO2-ækvivalenter</v>
      </c>
      <c r="H16" s="302" t="e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input'!$A$3:$A$230,$A$1)),IF(VLOOKUP($A16,[1]!Table1[#All],2,FALSE)="Resultat",SUMIF($F$1:$F15,$D16,H$1:H15)+SUMIF($F17:$F$490,$D16,H17:H$490),0))*'[1]Processer - data'!H16,"")*IF($C16&lt;&gt;"",IF($F16="Halm",Landbrug!C$16*Landbrug!C$17,IF(LEFT($D16,5)="Areal", IF($G16="Ton",Landbrug!C$18,1),1)),1)*IF($F16="Grøntsager",IF($A16="Grøntsager i drivhus",Landbrug!C$51,1-Landbrug!C$51),1)</f>
        <v>#REF!</v>
      </c>
      <c r="I16" s="303" t="e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input'!$A$3:$A$230,$A$1)),IF(VLOOKUP($A16,[1]!Table1[#All],2,FALSE)="Resultat",SUMIF($F$1:$F15,$D16,I$1:I15)+SUMIF($F17:$F$490,$D16,I17:I$490),0))*'[1]Processer - data'!I16,"")*IF($C16&lt;&gt;"",IF($F16="Halm",Landbrug!D$16*Landbrug!D$17,IF(LEFT($D16,5)="Areal", IF($G16="Ton",Landbrug!D$18,1),1)),1)*IF($F16="Grøntsager",IF($A16="Grøntsager i drivhus",Landbrug!D$51,1-Landbrug!D$51),1)</f>
        <v>#REF!</v>
      </c>
      <c r="J16" s="304" t="e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input'!$A$3:$A$230,$A$1)),IF(VLOOKUP($A16,[1]!Table1[#All],2,FALSE)="Resultat",SUMIF($F$1:$F15,$D16,J$1:J15)+SUMIF($F17:$F$490,$D16,J17:J$490),0))*'[1]Processer - data'!J16,"")*IF($C16&lt;&gt;"",IF($F16="Halm",Landbrug!E$16*Landbrug!E$17,IF(LEFT($D16,5)="Areal", IF($G16="Ton",Landbrug!E$18,1),1)),1)*IF($F16="Grøntsager",IF($A16="Grøntsager i drivhus",Landbrug!E$51,1-Landbrug!E$51),1)</f>
        <v>#REF!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Areal-skovtype1-20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Træer</v>
      </c>
      <c r="G17" t="str">
        <f>IF('[1]Processer - data'!G17&lt;&gt;"",'[1]Processer - data'!G17,"")</f>
        <v>m3</v>
      </c>
      <c r="H17" s="302" t="e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input'!$A$3:$A$230,$A$1)),IF(VLOOKUP($A17,[1]!Table1[#All],2,FALSE)="Resultat",SUMIF($F$1:$F16,$D17,H$1:H16)+SUMIF($F18:$F$490,$D17,H18:H$490),0))*'[1]Processer - data'!H17,"")*IF($C17&lt;&gt;"",IF($F17="Halm",Landbrug!C$16*Landbrug!C$17,IF(LEFT($D17,5)="Areal", IF($G17="Ton",Landbrug!C$18,1),1)),1)*IF($F17="Grøntsager",IF($A17="Grøntsager i drivhus",Landbrug!C$51,1-Landbrug!C$51),1)</f>
        <v>#REF!</v>
      </c>
      <c r="I17" s="303" t="e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input'!$A$3:$A$230,$A$1)),IF(VLOOKUP($A17,[1]!Table1[#All],2,FALSE)="Resultat",SUMIF($F$1:$F16,$D17,I$1:I16)+SUMIF($F18:$F$490,$D17,I18:I$490),0))*'[1]Processer - data'!I17,"")*IF($C17&lt;&gt;"",IF($F17="Halm",Landbrug!D$16*Landbrug!D$17,IF(LEFT($D17,5)="Areal", IF($G17="Ton",Landbrug!D$18,1),1)),1)*IF($F17="Grøntsager",IF($A17="Grøntsager i drivhus",Landbrug!D$51,1-Landbrug!D$51),1)</f>
        <v>#REF!</v>
      </c>
      <c r="J17" s="304" t="e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input'!$A$3:$A$230,$A$1)),IF(VLOOKUP($A17,[1]!Table1[#All],2,FALSE)="Resultat",SUMIF($F$1:$F16,$D17,J$1:J16)+SUMIF($F18:$F$490,$D17,J18:J$490),0))*'[1]Processer - data'!J17,"")*IF($C17&lt;&gt;"",IF($F17="Halm",Landbrug!E$16*Landbrug!E$17,IF(LEFT($D17,5)="Areal", IF($G17="Ton",Landbrug!E$18,1),1)),1)*IF($F17="Grøntsager",IF($A17="Grøntsager i drivhus",Landbrug!E$51,1-Landbrug!E$51),1)</f>
        <v>#REF!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Areal-skovtype1-20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Træ til energi</v>
      </c>
      <c r="G18" t="str">
        <f>IF('[1]Processer - data'!G18&lt;&gt;"",'[1]Processer - data'!G18,"")</f>
        <v>m3</v>
      </c>
      <c r="H18" s="302" t="e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input'!$A$3:$A$230,$A$1)),IF(VLOOKUP($A18,[1]!Table1[#All],2,FALSE)="Resultat",SUMIF($F$1:$F17,$D18,H$1:H17)+SUMIF($F19:$F$490,$D18,H19:H$490),0))*'[1]Processer - data'!H18,"")*IF($C18&lt;&gt;"",IF($F18="Halm",Landbrug!C$16*Landbrug!C$17,IF(LEFT($D18,5)="Areal", IF($G18="Ton",Landbrug!C$18,1),1)),1)*IF($F18="Grøntsager",IF($A18="Grøntsager i drivhus",Landbrug!C$51,1-Landbrug!C$51),1)</f>
        <v>#REF!</v>
      </c>
      <c r="I18" s="303" t="e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input'!$A$3:$A$230,$A$1)),IF(VLOOKUP($A18,[1]!Table1[#All],2,FALSE)="Resultat",SUMIF($F$1:$F17,$D18,I$1:I17)+SUMIF($F19:$F$490,$D18,I19:I$490),0))*'[1]Processer - data'!I18,"")*IF($C18&lt;&gt;"",IF($F18="Halm",Landbrug!D$16*Landbrug!D$17,IF(LEFT($D18,5)="Areal", IF($G18="Ton",Landbrug!D$18,1),1)),1)*IF($F18="Grøntsager",IF($A18="Grøntsager i drivhus",Landbrug!D$51,1-Landbrug!D$51),1)</f>
        <v>#REF!</v>
      </c>
      <c r="J18" s="304" t="e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input'!$A$3:$A$230,$A$1)),IF(VLOOKUP($A18,[1]!Table1[#All],2,FALSE)="Resultat",SUMIF($F$1:$F17,$D18,J$1:J17)+SUMIF($F19:$F$490,$D18,J19:J$490),0))*'[1]Processer - data'!J18,"")*IF($C18&lt;&gt;"",IF($F18="Halm",Landbrug!E$16*Landbrug!E$17,IF(LEFT($D18,5)="Areal", IF($G18="Ton",Landbrug!E$18,1),1)),1)*IF($F18="Grøntsager",IF($A18="Grøntsager i drivhus",Landbrug!E$51,1-Landbrug!E$51),1)</f>
        <v>#REF!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CO2 - atmosfære</v>
      </c>
      <c r="G19" t="str">
        <f>IF('[1]Processer - data'!G19&lt;&gt;"",'[1]Processer - data'!G19,"")</f>
        <v>t CO2-ækvivalenter</v>
      </c>
      <c r="H19" s="302" t="e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input'!$A$3:$A$230,$A$1)),IF(VLOOKUP($A19,[1]!Table1[#All],2,FALSE)="Resultat",SUMIF($F$1:$F18,$D19,H$1:H18)+SUMIF($F20:$F$490,$D19,H20:H$490),0))*'[1]Processer - data'!H19,"")*IF($C19&lt;&gt;"",IF($F19="Halm",Landbrug!C$16*Landbrug!C$17,IF(LEFT($D19,5)="Areal", IF($G19="Ton",Landbrug!C$18,1),1)),1)*IF($F19="Grøntsager",IF($A19="Grøntsager i drivhus",Landbrug!C$51,1-Landbrug!C$51),1)</f>
        <v>#REF!</v>
      </c>
      <c r="I19" s="303" t="e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input'!$A$3:$A$230,$A$1)),IF(VLOOKUP($A19,[1]!Table1[#All],2,FALSE)="Resultat",SUMIF($F$1:$F18,$D19,I$1:I18)+SUMIF($F20:$F$490,$D19,I20:I$490),0))*'[1]Processer - data'!I19,"")*IF($C19&lt;&gt;"",IF($F19="Halm",Landbrug!D$16*Landbrug!D$17,IF(LEFT($D19,5)="Areal", IF($G19="Ton",Landbrug!D$18,1),1)),1)*IF($F19="Grøntsager",IF($A19="Grøntsager i drivhus",Landbrug!D$51,1-Landbrug!D$51),1)</f>
        <v>#REF!</v>
      </c>
      <c r="J19" s="304" t="e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input'!$A$3:$A$230,$A$1)),IF(VLOOKUP($A19,[1]!Table1[#All],2,FALSE)="Resultat",SUMIF($F$1:$F18,$D19,J$1:J18)+SUMIF($F20:$F$490,$D19,J20:J$490),0))*'[1]Processer - data'!J19,"")*IF($C19&lt;&gt;"",IF($F19="Halm",Landbrug!E$16*Landbrug!E$17,IF(LEFT($D19,5)="Areal", IF($G19="Ton",Landbrug!E$18,1),1)),1)*IF($F19="Grøntsager",IF($A19="Grøntsager i drivhus",Landbrug!E$51,1-Landbrug!E$51),1)</f>
        <v>#REF!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Areal-skovtype1-30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Træer</v>
      </c>
      <c r="G20" t="str">
        <f>IF('[1]Processer - data'!G20&lt;&gt;"",'[1]Processer - data'!G20,"")</f>
        <v>m3</v>
      </c>
      <c r="H20" s="302" t="e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input'!$A$3:$A$230,$A$1)),IF(VLOOKUP($A20,[1]!Table1[#All],2,FALSE)="Resultat",SUMIF($F$1:$F19,$D20,H$1:H19)+SUMIF($F21:$F$490,$D20,H21:H$490),0))*'[1]Processer - data'!H20,"")*IF($C20&lt;&gt;"",IF($F20="Halm",Landbrug!C$16*Landbrug!C$17,IF(LEFT($D20,5)="Areal", IF($G20="Ton",Landbrug!C$18,1),1)),1)*IF($F20="Grøntsager",IF($A20="Grøntsager i drivhus",Landbrug!C$51,1-Landbrug!C$51),1)</f>
        <v>#REF!</v>
      </c>
      <c r="I20" s="303" t="e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input'!$A$3:$A$230,$A$1)),IF(VLOOKUP($A20,[1]!Table1[#All],2,FALSE)="Resultat",SUMIF($F$1:$F19,$D20,I$1:I19)+SUMIF($F21:$F$490,$D20,I21:I$490),0))*'[1]Processer - data'!I20,"")*IF($C20&lt;&gt;"",IF($F20="Halm",Landbrug!D$16*Landbrug!D$17,IF(LEFT($D20,5)="Areal", IF($G20="Ton",Landbrug!D$18,1),1)),1)*IF($F20="Grøntsager",IF($A20="Grøntsager i drivhus",Landbrug!D$51,1-Landbrug!D$51),1)</f>
        <v>#REF!</v>
      </c>
      <c r="J20" s="304" t="e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input'!$A$3:$A$230,$A$1)),IF(VLOOKUP($A20,[1]!Table1[#All],2,FALSE)="Resultat",SUMIF($F$1:$F19,$D20,J$1:J19)+SUMIF($F21:$F$490,$D20,J21:J$490),0))*'[1]Processer - data'!J20,"")*IF($C20&lt;&gt;"",IF($F20="Halm",Landbrug!E$16*Landbrug!E$17,IF(LEFT($D20,5)="Areal", IF($G20="Ton",Landbrug!E$18,1),1)),1)*IF($F20="Grøntsager",IF($A20="Grøntsager i drivhus",Landbrug!E$51,1-Landbrug!E$51),1)</f>
        <v>#REF!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Areal-skovtype1-30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Træ til energi</v>
      </c>
      <c r="G21" t="str">
        <f>IF('[1]Processer - data'!G21&lt;&gt;"",'[1]Processer - data'!G21,"")</f>
        <v>m3</v>
      </c>
      <c r="H21" s="302" t="e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input'!$A$3:$A$230,$A$1)),IF(VLOOKUP($A21,[1]!Table1[#All],2,FALSE)="Resultat",SUMIF($F$1:$F20,$D21,H$1:H20)+SUMIF($F22:$F$490,$D21,H22:H$490),0))*'[1]Processer - data'!H21,"")*IF($C21&lt;&gt;"",IF($F21="Halm",Landbrug!C$16*Landbrug!C$17,IF(LEFT($D21,5)="Areal", IF($G21="Ton",Landbrug!C$18,1),1)),1)*IF($F21="Grøntsager",IF($A21="Grøntsager i drivhus",Landbrug!C$51,1-Landbrug!C$51),1)</f>
        <v>#REF!</v>
      </c>
      <c r="I21" s="303" t="e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input'!$A$3:$A$230,$A$1)),IF(VLOOKUP($A21,[1]!Table1[#All],2,FALSE)="Resultat",SUMIF($F$1:$F20,$D21,I$1:I20)+SUMIF($F22:$F$490,$D21,I22:I$490),0))*'[1]Processer - data'!I21,"")*IF($C21&lt;&gt;"",IF($F21="Halm",Landbrug!D$16*Landbrug!D$17,IF(LEFT($D21,5)="Areal", IF($G21="Ton",Landbrug!D$18,1),1)),1)*IF($F21="Grøntsager",IF($A21="Grøntsager i drivhus",Landbrug!D$51,1-Landbrug!D$51),1)</f>
        <v>#REF!</v>
      </c>
      <c r="J21" s="304" t="e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input'!$A$3:$A$230,$A$1)),IF(VLOOKUP($A21,[1]!Table1[#All],2,FALSE)="Resultat",SUMIF($F$1:$F20,$D21,J$1:J20)+SUMIF($F22:$F$490,$D21,J22:J$490),0))*'[1]Processer - data'!J21,"")*IF($C21&lt;&gt;"",IF($F21="Halm",Landbrug!E$16*Landbrug!E$17,IF(LEFT($D21,5)="Areal", IF($G21="Ton",Landbrug!E$18,1),1)),1)*IF($F21="Grøntsager",IF($A21="Grøntsager i drivhus",Landbrug!E$51,1-Landbrug!E$51),1)</f>
        <v>#REF!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Areal-skovtype1-30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atmosfære</v>
      </c>
      <c r="G22" t="str">
        <f>IF('[1]Processer - data'!G22&lt;&gt;"",'[1]Processer - data'!G22,"")</f>
        <v>t CO2-ækvivalenter</v>
      </c>
      <c r="H22" s="302" t="e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input'!$A$3:$A$230,$A$1)),IF(VLOOKUP($A22,[1]!Table1[#All],2,FALSE)="Resultat",SUMIF($F$1:$F21,$D22,H$1:H21)+SUMIF($F23:$F$490,$D22,H23:H$490),0))*'[1]Processer - data'!H22,"")*IF($C22&lt;&gt;"",IF($F22="Halm",Landbrug!C$16*Landbrug!C$17,IF(LEFT($D22,5)="Areal", IF($G22="Ton",Landbrug!C$18,1),1)),1)*IF($F22="Grøntsager",IF($A22="Grøntsager i drivhus",Landbrug!C$51,1-Landbrug!C$51),1)</f>
        <v>#REF!</v>
      </c>
      <c r="I22" s="303" t="e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input'!$A$3:$A$230,$A$1)),IF(VLOOKUP($A22,[1]!Table1[#All],2,FALSE)="Resultat",SUMIF($F$1:$F21,$D22,I$1:I21)+SUMIF($F23:$F$490,$D22,I23:I$490),0))*'[1]Processer - data'!I22,"")*IF($C22&lt;&gt;"",IF($F22="Halm",Landbrug!D$16*Landbrug!D$17,IF(LEFT($D22,5)="Areal", IF($G22="Ton",Landbrug!D$18,1),1)),1)*IF($F22="Grøntsager",IF($A22="Grøntsager i drivhus",Landbrug!D$51,1-Landbrug!D$51),1)</f>
        <v>#REF!</v>
      </c>
      <c r="J22" s="304" t="e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input'!$A$3:$A$230,$A$1)),IF(VLOOKUP($A22,[1]!Table1[#All],2,FALSE)="Resultat",SUMIF($F$1:$F21,$D22,J$1:J21)+SUMIF($F23:$F$490,$D22,J23:J$490),0))*'[1]Processer - data'!J22,"")*IF($C22&lt;&gt;"",IF($F22="Halm",Landbrug!E$16*Landbrug!E$17,IF(LEFT($D22,5)="Areal", IF($G22="Ton",Landbrug!E$18,1),1)),1)*IF($F22="Grøntsager",IF($A22="Grøntsager i drivhus",Landbrug!E$51,1-Landbrug!E$51),1)</f>
        <v>#REF!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Areal-skovtype1-40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302" t="e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input'!$A$3:$A$230,$A$1)),IF(VLOOKUP($A23,[1]!Table1[#All],2,FALSE)="Resultat",SUMIF($F$1:$F22,$D23,H$1:H22)+SUMIF($F24:$F$490,$D23,H24:H$490),0))*'[1]Processer - data'!H23,"")*IF($C23&lt;&gt;"",IF($F23="Halm",Landbrug!C$16*Landbrug!C$17,IF(LEFT($D23,5)="Areal", IF($G23="Ton",Landbrug!C$18,1),1)),1)*IF($F23="Grøntsager",IF($A23="Grøntsager i drivhus",Landbrug!C$51,1-Landbrug!C$51),1)</f>
        <v>#REF!</v>
      </c>
      <c r="I23" s="303" t="e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input'!$A$3:$A$230,$A$1)),IF(VLOOKUP($A23,[1]!Table1[#All],2,FALSE)="Resultat",SUMIF($F$1:$F22,$D23,I$1:I22)+SUMIF($F24:$F$490,$D23,I24:I$490),0))*'[1]Processer - data'!I23,"")*IF($C23&lt;&gt;"",IF($F23="Halm",Landbrug!D$16*Landbrug!D$17,IF(LEFT($D23,5)="Areal", IF($G23="Ton",Landbrug!D$18,1),1)),1)*IF($F23="Grøntsager",IF($A23="Grøntsager i drivhus",Landbrug!D$51,1-Landbrug!D$51),1)</f>
        <v>#REF!</v>
      </c>
      <c r="J23" s="304" t="e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input'!$A$3:$A$230,$A$1)),IF(VLOOKUP($A23,[1]!Table1[#All],2,FALSE)="Resultat",SUMIF($F$1:$F22,$D23,J$1:J22)+SUMIF($F24:$F$490,$D23,J24:J$490),0))*'[1]Processer - data'!J23,"")*IF($C23&lt;&gt;"",IF($F23="Halm",Landbrug!E$16*Landbrug!E$17,IF(LEFT($D23,5)="Areal", IF($G23="Ton",Landbrug!E$18,1),1)),1)*IF($F23="Grøntsager",IF($A23="Grøntsager i drivhus",Landbrug!E$51,1-Landbrug!E$51),1)</f>
        <v>#REF!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Areal-skovtype1-40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302" t="e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input'!$A$3:$A$230,$A$1)),IF(VLOOKUP($A24,[1]!Table1[#All],2,FALSE)="Resultat",SUMIF($F$1:$F23,$D24,H$1:H23)+SUMIF($F25:$F$490,$D24,H25:H$490),0))*'[1]Processer - data'!H24,"")*IF($C24&lt;&gt;"",IF($F24="Halm",Landbrug!C$16*Landbrug!C$17,IF(LEFT($D24,5)="Areal", IF($G24="Ton",Landbrug!C$18,1),1)),1)*IF($F24="Grøntsager",IF($A24="Grøntsager i drivhus",Landbrug!C$51,1-Landbrug!C$51),1)</f>
        <v>#REF!</v>
      </c>
      <c r="I24" s="303" t="e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input'!$A$3:$A$230,$A$1)),IF(VLOOKUP($A24,[1]!Table1[#All],2,FALSE)="Resultat",SUMIF($F$1:$F23,$D24,I$1:I23)+SUMIF($F25:$F$490,$D24,I25:I$490),0))*'[1]Processer - data'!I24,"")*IF($C24&lt;&gt;"",IF($F24="Halm",Landbrug!D$16*Landbrug!D$17,IF(LEFT($D24,5)="Areal", IF($G24="Ton",Landbrug!D$18,1),1)),1)*IF($F24="Grøntsager",IF($A24="Grøntsager i drivhus",Landbrug!D$51,1-Landbrug!D$51),1)</f>
        <v>#REF!</v>
      </c>
      <c r="J24" s="304" t="e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input'!$A$3:$A$230,$A$1)),IF(VLOOKUP($A24,[1]!Table1[#All],2,FALSE)="Resultat",SUMIF($F$1:$F23,$D24,J$1:J23)+SUMIF($F25:$F$490,$D24,J25:J$490),0))*'[1]Processer - data'!J24,"")*IF($C24&lt;&gt;"",IF($F24="Halm",Landbrug!E$16*Landbrug!E$17,IF(LEFT($D24,5)="Areal", IF($G24="Ton",Landbrug!E$18,1),1)),1)*IF($F24="Grøntsager",IF($A24="Grøntsager i drivhus",Landbrug!E$51,1-Landbrug!E$51),1)</f>
        <v>#REF!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Areal-skovtype1-40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302" t="e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input'!$A$3:$A$230,$A$1)),IF(VLOOKUP($A25,[1]!Table1[#All],2,FALSE)="Resultat",SUMIF($F$1:$F24,$D25,H$1:H24)+SUMIF($F26:$F$490,$D25,H26:H$490),0))*'[1]Processer - data'!H25,"")*IF($C25&lt;&gt;"",IF($F25="Halm",Landbrug!C$16*Landbrug!C$17,IF(LEFT($D25,5)="Areal", IF($G25="Ton",Landbrug!C$18,1),1)),1)*IF($F25="Grøntsager",IF($A25="Grøntsager i drivhus",Landbrug!C$51,1-Landbrug!C$51),1)</f>
        <v>#REF!</v>
      </c>
      <c r="I25" s="303" t="e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input'!$A$3:$A$230,$A$1)),IF(VLOOKUP($A25,[1]!Table1[#All],2,FALSE)="Resultat",SUMIF($F$1:$F24,$D25,I$1:I24)+SUMIF($F26:$F$490,$D25,I26:I$490),0))*'[1]Processer - data'!I25,"")*IF($C25&lt;&gt;"",IF($F25="Halm",Landbrug!D$16*Landbrug!D$17,IF(LEFT($D25,5)="Areal", IF($G25="Ton",Landbrug!D$18,1),1)),1)*IF($F25="Grøntsager",IF($A25="Grøntsager i drivhus",Landbrug!D$51,1-Landbrug!D$51),1)</f>
        <v>#REF!</v>
      </c>
      <c r="J25" s="304" t="e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input'!$A$3:$A$230,$A$1)),IF(VLOOKUP($A25,[1]!Table1[#All],2,FALSE)="Resultat",SUMIF($F$1:$F24,$D25,J$1:J24)+SUMIF($F26:$F$490,$D25,J26:J$490),0))*'[1]Processer - data'!J25,"")*IF($C25&lt;&gt;"",IF($F25="Halm",Landbrug!E$16*Landbrug!E$17,IF(LEFT($D25,5)="Areal", IF($G25="Ton",Landbrug!E$18,1),1)),1)*IF($F25="Grøntsager",IF($A25="Grøntsager i drivhus",Landbrug!E$51,1-Landbrug!E$51),1)</f>
        <v>#REF!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Skovtype2</v>
      </c>
      <c r="D26" t="str">
        <f>IF('[1]Processer - data'!D26&lt;&gt;"",'[1]Processer - data'!D26,"")</f>
        <v>Areal-skovtype2-10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Træer</v>
      </c>
      <c r="G26" t="str">
        <f>IF('[1]Processer - data'!G26&lt;&gt;"",'[1]Processer - data'!G26,"")</f>
        <v>m3</v>
      </c>
      <c r="H26" s="302" t="e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input'!$A$3:$A$230,$A$1)),IF(VLOOKUP($A26,[1]!Table1[#All],2,FALSE)="Resultat",SUMIF($F$1:$F25,$D26,H$1:H25)+SUMIF($F27:$F$490,$D26,H27:H$490),0))*'[1]Processer - data'!H26,"")*IF($C26&lt;&gt;"",IF($F26="Halm",Landbrug!C$16*Landbrug!C$17,IF(LEFT($D26,5)="Areal", IF($G26="Ton",Landbrug!C$18,1),1)),1)*IF($F26="Grøntsager",IF($A26="Grøntsager i drivhus",Landbrug!C$51,1-Landbrug!C$51),1)</f>
        <v>#REF!</v>
      </c>
      <c r="I26" s="303" t="e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input'!$A$3:$A$230,$A$1)),IF(VLOOKUP($A26,[1]!Table1[#All],2,FALSE)="Resultat",SUMIF($F$1:$F25,$D26,I$1:I25)+SUMIF($F27:$F$490,$D26,I27:I$490),0))*'[1]Processer - data'!I26,"")*IF($C26&lt;&gt;"",IF($F26="Halm",Landbrug!D$16*Landbrug!D$17,IF(LEFT($D26,5)="Areal", IF($G26="Ton",Landbrug!D$18,1),1)),1)*IF($F26="Grøntsager",IF($A26="Grøntsager i drivhus",Landbrug!D$51,1-Landbrug!D$51),1)</f>
        <v>#REF!</v>
      </c>
      <c r="J26" s="304" t="e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input'!$A$3:$A$230,$A$1)),IF(VLOOKUP($A26,[1]!Table1[#All],2,FALSE)="Resultat",SUMIF($F$1:$F25,$D26,J$1:J25)+SUMIF($F27:$F$490,$D26,J27:J$490),0))*'[1]Processer - data'!J26,"")*IF($C26&lt;&gt;"",IF($F26="Halm",Landbrug!E$16*Landbrug!E$17,IF(LEFT($D26,5)="Areal", IF($G26="Ton",Landbrug!E$18,1),1)),1)*IF($F26="Grøntsager",IF($A26="Grøntsager i drivhus",Landbrug!E$51,1-Landbrug!E$51),1)</f>
        <v>#REF!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Skovtype2</v>
      </c>
      <c r="D27" t="str">
        <f>IF('[1]Processer - data'!D27&lt;&gt;"",'[1]Processer - data'!D27,"")</f>
        <v>Areal-skovtype2-10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 til energi</v>
      </c>
      <c r="G27" t="str">
        <f>IF('[1]Processer - data'!G27&lt;&gt;"",'[1]Processer - data'!G27,"")</f>
        <v>m3</v>
      </c>
      <c r="H27" s="302" t="e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input'!$A$3:$A$230,$A$1)),IF(VLOOKUP($A27,[1]!Table1[#All],2,FALSE)="Resultat",SUMIF($F$1:$F26,$D27,H$1:H26)+SUMIF($F28:$F$490,$D27,H28:H$490),0))*'[1]Processer - data'!H27,"")*IF($C27&lt;&gt;"",IF($F27="Halm",Landbrug!C$16*Landbrug!C$17,IF(LEFT($D27,5)="Areal", IF($G27="Ton",Landbrug!C$18,1),1)),1)*IF($F27="Grøntsager",IF($A27="Grøntsager i drivhus",Landbrug!C$51,1-Landbrug!C$51),1)</f>
        <v>#REF!</v>
      </c>
      <c r="I27" s="303" t="e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input'!$A$3:$A$230,$A$1)),IF(VLOOKUP($A27,[1]!Table1[#All],2,FALSE)="Resultat",SUMIF($F$1:$F26,$D27,I$1:I26)+SUMIF($F28:$F$490,$D27,I28:I$490),0))*'[1]Processer - data'!I27,"")*IF($C27&lt;&gt;"",IF($F27="Halm",Landbrug!D$16*Landbrug!D$17,IF(LEFT($D27,5)="Areal", IF($G27="Ton",Landbrug!D$18,1),1)),1)*IF($F27="Grøntsager",IF($A27="Grøntsager i drivhus",Landbrug!D$51,1-Landbrug!D$51),1)</f>
        <v>#REF!</v>
      </c>
      <c r="J27" s="304" t="e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input'!$A$3:$A$230,$A$1)),IF(VLOOKUP($A27,[1]!Table1[#All],2,FALSE)="Resultat",SUMIF($F$1:$F26,$D27,J$1:J26)+SUMIF($F28:$F$490,$D27,J28:J$490),0))*'[1]Processer - data'!J27,"")*IF($C27&lt;&gt;"",IF($F27="Halm",Landbrug!E$16*Landbrug!E$17,IF(LEFT($D27,5)="Areal", IF($G27="Ton",Landbrug!E$18,1),1)),1)*IF($F27="Grøntsager",IF($A27="Grøntsager i drivhus",Landbrug!E$51,1-Landbrug!E$51),1)</f>
        <v>#REF!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Skovtype2</v>
      </c>
      <c r="D28" t="str">
        <f>IF('[1]Processer - data'!D28&lt;&gt;"",'[1]Processer - data'!D28,"")</f>
        <v>Areal-skovtype2-10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CO2 - atmosfære</v>
      </c>
      <c r="G28" t="str">
        <f>IF('[1]Processer - data'!G28&lt;&gt;"",'[1]Processer - data'!G28,"")</f>
        <v>t CO2-ækvivalenter</v>
      </c>
      <c r="H28" s="302" t="e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input'!$A$3:$A$230,$A$1)),IF(VLOOKUP($A28,[1]!Table1[#All],2,FALSE)="Resultat",SUMIF($F$1:$F27,$D28,H$1:H27)+SUMIF($F29:$F$490,$D28,H29:H$490),0))*'[1]Processer - data'!H28,"")*IF($C28&lt;&gt;"",IF($F28="Halm",Landbrug!C$16*Landbrug!C$17,IF(LEFT($D28,5)="Areal", IF($G28="Ton",Landbrug!C$18,1),1)),1)*IF($F28="Grøntsager",IF($A28="Grøntsager i drivhus",Landbrug!C$51,1-Landbrug!C$51),1)</f>
        <v>#REF!</v>
      </c>
      <c r="I28" s="303" t="e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input'!$A$3:$A$230,$A$1)),IF(VLOOKUP($A28,[1]!Table1[#All],2,FALSE)="Resultat",SUMIF($F$1:$F27,$D28,I$1:I27)+SUMIF($F29:$F$490,$D28,I29:I$490),0))*'[1]Processer - data'!I28,"")*IF($C28&lt;&gt;"",IF($F28="Halm",Landbrug!D$16*Landbrug!D$17,IF(LEFT($D28,5)="Areal", IF($G28="Ton",Landbrug!D$18,1),1)),1)*IF($F28="Grøntsager",IF($A28="Grøntsager i drivhus",Landbrug!D$51,1-Landbrug!D$51),1)</f>
        <v>#REF!</v>
      </c>
      <c r="J28" s="304" t="e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input'!$A$3:$A$230,$A$1)),IF(VLOOKUP($A28,[1]!Table1[#All],2,FALSE)="Resultat",SUMIF($F$1:$F27,$D28,J$1:J27)+SUMIF($F29:$F$490,$D28,J29:J$490),0))*'[1]Processer - data'!J28,"")*IF($C28&lt;&gt;"",IF($F28="Halm",Landbrug!E$16*Landbrug!E$17,IF(LEFT($D28,5)="Areal", IF($G28="Ton",Landbrug!E$18,1),1)),1)*IF($F28="Grøntsager",IF($A28="Grøntsager i drivhus",Landbrug!E$51,1-Landbrug!E$51),1)</f>
        <v>#REF!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Skovtype2</v>
      </c>
      <c r="D29" t="str">
        <f>IF('[1]Processer - data'!D29&lt;&gt;"",'[1]Processer - data'!D29,"")</f>
        <v>Areal-skovtype2-20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Træer</v>
      </c>
      <c r="G29" t="str">
        <f>IF('[1]Processer - data'!G29&lt;&gt;"",'[1]Processer - data'!G29,"")</f>
        <v>m3</v>
      </c>
      <c r="H29" s="302" t="e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input'!$A$3:$A$230,$A$1)),IF(VLOOKUP($A29,[1]!Table1[#All],2,FALSE)="Resultat",SUMIF($F$1:$F28,$D29,H$1:H28)+SUMIF($F30:$F$490,$D29,H30:H$490),0))*'[1]Processer - data'!H29,"")*IF($C29&lt;&gt;"",IF($F29="Halm",Landbrug!C$16*Landbrug!C$17,IF(LEFT($D29,5)="Areal", IF($G29="Ton",Landbrug!C$18,1),1)),1)*IF($F29="Grøntsager",IF($A29="Grøntsager i drivhus",Landbrug!C$51,1-Landbrug!C$51),1)</f>
        <v>#REF!</v>
      </c>
      <c r="I29" s="303" t="e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input'!$A$3:$A$230,$A$1)),IF(VLOOKUP($A29,[1]!Table1[#All],2,FALSE)="Resultat",SUMIF($F$1:$F28,$D29,I$1:I28)+SUMIF($F30:$F$490,$D29,I30:I$490),0))*'[1]Processer - data'!I29,"")*IF($C29&lt;&gt;"",IF($F29="Halm",Landbrug!D$16*Landbrug!D$17,IF(LEFT($D29,5)="Areal", IF($G29="Ton",Landbrug!D$18,1),1)),1)*IF($F29="Grøntsager",IF($A29="Grøntsager i drivhus",Landbrug!D$51,1-Landbrug!D$51),1)</f>
        <v>#REF!</v>
      </c>
      <c r="J29" s="304" t="e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input'!$A$3:$A$230,$A$1)),IF(VLOOKUP($A29,[1]!Table1[#All],2,FALSE)="Resultat",SUMIF($F$1:$F28,$D29,J$1:J28)+SUMIF($F30:$F$490,$D29,J30:J$490),0))*'[1]Processer - data'!J29,"")*IF($C29&lt;&gt;"",IF($F29="Halm",Landbrug!E$16*Landbrug!E$17,IF(LEFT($D29,5)="Areal", IF($G29="Ton",Landbrug!E$18,1),1)),1)*IF($F29="Grøntsager",IF($A29="Grøntsager i drivhus",Landbrug!E$51,1-Landbrug!E$51),1)</f>
        <v>#REF!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Skovtype2</v>
      </c>
      <c r="D30" t="str">
        <f>IF('[1]Processer - data'!D30&lt;&gt;"",'[1]Processer - data'!D30,"")</f>
        <v>Areal-skovtype2-20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Træ til energi</v>
      </c>
      <c r="G30" t="str">
        <f>IF('[1]Processer - data'!G30&lt;&gt;"",'[1]Processer - data'!G30,"")</f>
        <v>m3</v>
      </c>
      <c r="H30" s="302" t="e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input'!$A$3:$A$230,$A$1)),IF(VLOOKUP($A30,[1]!Table1[#All],2,FALSE)="Resultat",SUMIF($F$1:$F29,$D30,H$1:H29)+SUMIF($F31:$F$490,$D30,H31:H$490),0))*'[1]Processer - data'!H30,"")*IF($C30&lt;&gt;"",IF($F30="Halm",Landbrug!C$16*Landbrug!C$17,IF(LEFT($D30,5)="Areal", IF($G30="Ton",Landbrug!C$18,1),1)),1)*IF($F30="Grøntsager",IF($A30="Grøntsager i drivhus",Landbrug!C$51,1-Landbrug!C$51),1)</f>
        <v>#REF!</v>
      </c>
      <c r="I30" s="303" t="e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input'!$A$3:$A$230,$A$1)),IF(VLOOKUP($A30,[1]!Table1[#All],2,FALSE)="Resultat",SUMIF($F$1:$F29,$D30,I$1:I29)+SUMIF($F31:$F$490,$D30,I31:I$490),0))*'[1]Processer - data'!I30,"")*IF($C30&lt;&gt;"",IF($F30="Halm",Landbrug!D$16*Landbrug!D$17,IF(LEFT($D30,5)="Areal", IF($G30="Ton",Landbrug!D$18,1),1)),1)*IF($F30="Grøntsager",IF($A30="Grøntsager i drivhus",Landbrug!D$51,1-Landbrug!D$51),1)</f>
        <v>#REF!</v>
      </c>
      <c r="J30" s="304" t="e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input'!$A$3:$A$230,$A$1)),IF(VLOOKUP($A30,[1]!Table1[#All],2,FALSE)="Resultat",SUMIF($F$1:$F29,$D30,J$1:J29)+SUMIF($F31:$F$490,$D30,J31:J$490),0))*'[1]Processer - data'!J30,"")*IF($C30&lt;&gt;"",IF($F30="Halm",Landbrug!E$16*Landbrug!E$17,IF(LEFT($D30,5)="Areal", IF($G30="Ton",Landbrug!E$18,1),1)),1)*IF($F30="Grøntsager",IF($A30="Grøntsager i drivhus",Landbrug!E$51,1-Landbrug!E$51),1)</f>
        <v>#REF!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Areal-skovtype2-20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CO2 - atmosfære</v>
      </c>
      <c r="G31" t="str">
        <f>IF('[1]Processer - data'!G31&lt;&gt;"",'[1]Processer - data'!G31,"")</f>
        <v>t CO2-ækvivalenter</v>
      </c>
      <c r="H31" s="302" t="e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input'!$A$3:$A$230,$A$1)),IF(VLOOKUP($A31,[1]!Table1[#All],2,FALSE)="Resultat",SUMIF($F$1:$F30,$D31,H$1:H30)+SUMIF($F32:$F$490,$D31,H32:H$490),0))*'[1]Processer - data'!H31,"")*IF($C31&lt;&gt;"",IF($F31="Halm",Landbrug!C$16*Landbrug!C$17,IF(LEFT($D31,5)="Areal", IF($G31="Ton",Landbrug!C$18,1),1)),1)*IF($F31="Grøntsager",IF($A31="Grøntsager i drivhus",Landbrug!C$51,1-Landbrug!C$51),1)</f>
        <v>#REF!</v>
      </c>
      <c r="I31" s="303" t="e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input'!$A$3:$A$230,$A$1)),IF(VLOOKUP($A31,[1]!Table1[#All],2,FALSE)="Resultat",SUMIF($F$1:$F30,$D31,I$1:I30)+SUMIF($F32:$F$490,$D31,I32:I$490),0))*'[1]Processer - data'!I31,"")*IF($C31&lt;&gt;"",IF($F31="Halm",Landbrug!D$16*Landbrug!D$17,IF(LEFT($D31,5)="Areal", IF($G31="Ton",Landbrug!D$18,1),1)),1)*IF($F31="Grøntsager",IF($A31="Grøntsager i drivhus",Landbrug!D$51,1-Landbrug!D$51),1)</f>
        <v>#REF!</v>
      </c>
      <c r="J31" s="304" t="e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input'!$A$3:$A$230,$A$1)),IF(VLOOKUP($A31,[1]!Table1[#All],2,FALSE)="Resultat",SUMIF($F$1:$F30,$D31,J$1:J30)+SUMIF($F32:$F$490,$D31,J32:J$490),0))*'[1]Processer - data'!J31,"")*IF($C31&lt;&gt;"",IF($F31="Halm",Landbrug!E$16*Landbrug!E$17,IF(LEFT($D31,5)="Areal", IF($G31="Ton",Landbrug!E$18,1),1)),1)*IF($F31="Grøntsager",IF($A31="Grøntsager i drivhus",Landbrug!E$51,1-Landbrug!E$51),1)</f>
        <v>#REF!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Areal-skovtype2-30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Træer</v>
      </c>
      <c r="G32" t="str">
        <f>IF('[1]Processer - data'!G32&lt;&gt;"",'[1]Processer - data'!G32,"")</f>
        <v>m3</v>
      </c>
      <c r="H32" s="302" t="e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input'!$A$3:$A$230,$A$1)),IF(VLOOKUP($A32,[1]!Table1[#All],2,FALSE)="Resultat",SUMIF($F$1:$F31,$D32,H$1:H31)+SUMIF($F33:$F$490,$D32,H33:H$490),0))*'[1]Processer - data'!H32,"")*IF($C32&lt;&gt;"",IF($F32="Halm",Landbrug!C$16*Landbrug!C$17,IF(LEFT($D32,5)="Areal", IF($G32="Ton",Landbrug!C$18,1),1)),1)*IF($F32="Grøntsager",IF($A32="Grøntsager i drivhus",Landbrug!C$51,1-Landbrug!C$51),1)</f>
        <v>#REF!</v>
      </c>
      <c r="I32" s="303" t="e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input'!$A$3:$A$230,$A$1)),IF(VLOOKUP($A32,[1]!Table1[#All],2,FALSE)="Resultat",SUMIF($F$1:$F31,$D32,I$1:I31)+SUMIF($F33:$F$490,$D32,I33:I$490),0))*'[1]Processer - data'!I32,"")*IF($C32&lt;&gt;"",IF($F32="Halm",Landbrug!D$16*Landbrug!D$17,IF(LEFT($D32,5)="Areal", IF($G32="Ton",Landbrug!D$18,1),1)),1)*IF($F32="Grøntsager",IF($A32="Grøntsager i drivhus",Landbrug!D$51,1-Landbrug!D$51),1)</f>
        <v>#REF!</v>
      </c>
      <c r="J32" s="304" t="e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input'!$A$3:$A$230,$A$1)),IF(VLOOKUP($A32,[1]!Table1[#All],2,FALSE)="Resultat",SUMIF($F$1:$F31,$D32,J$1:J31)+SUMIF($F33:$F$490,$D32,J33:J$490),0))*'[1]Processer - data'!J32,"")*IF($C32&lt;&gt;"",IF($F32="Halm",Landbrug!E$16*Landbrug!E$17,IF(LEFT($D32,5)="Areal", IF($G32="Ton",Landbrug!E$18,1),1)),1)*IF($F32="Grøntsager",IF($A32="Grøntsager i drivhus",Landbrug!E$51,1-Landbrug!E$51),1)</f>
        <v>#REF!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Areal-skovtype2-30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Træ til energi</v>
      </c>
      <c r="G33" t="str">
        <f>IF('[1]Processer - data'!G33&lt;&gt;"",'[1]Processer - data'!G33,"")</f>
        <v>m3</v>
      </c>
      <c r="H33" s="302" t="e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input'!$A$3:$A$230,$A$1)),IF(VLOOKUP($A33,[1]!Table1[#All],2,FALSE)="Resultat",SUMIF($F$1:$F32,$D33,H$1:H32)+SUMIF($F34:$F$490,$D33,H34:H$490),0))*'[1]Processer - data'!H33,"")*IF($C33&lt;&gt;"",IF($F33="Halm",Landbrug!C$16*Landbrug!C$17,IF(LEFT($D33,5)="Areal", IF($G33="Ton",Landbrug!C$18,1),1)),1)*IF($F33="Grøntsager",IF($A33="Grøntsager i drivhus",Landbrug!C$51,1-Landbrug!C$51),1)</f>
        <v>#REF!</v>
      </c>
      <c r="I33" s="303" t="e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input'!$A$3:$A$230,$A$1)),IF(VLOOKUP($A33,[1]!Table1[#All],2,FALSE)="Resultat",SUMIF($F$1:$F32,$D33,I$1:I32)+SUMIF($F34:$F$490,$D33,I34:I$490),0))*'[1]Processer - data'!I33,"")*IF($C33&lt;&gt;"",IF($F33="Halm",Landbrug!D$16*Landbrug!D$17,IF(LEFT($D33,5)="Areal", IF($G33="Ton",Landbrug!D$18,1),1)),1)*IF($F33="Grøntsager",IF($A33="Grøntsager i drivhus",Landbrug!D$51,1-Landbrug!D$51),1)</f>
        <v>#REF!</v>
      </c>
      <c r="J33" s="304" t="e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input'!$A$3:$A$230,$A$1)),IF(VLOOKUP($A33,[1]!Table1[#All],2,FALSE)="Resultat",SUMIF($F$1:$F32,$D33,J$1:J32)+SUMIF($F34:$F$490,$D33,J34:J$490),0))*'[1]Processer - data'!J33,"")*IF($C33&lt;&gt;"",IF($F33="Halm",Landbrug!E$16*Landbrug!E$17,IF(LEFT($D33,5)="Areal", IF($G33="Ton",Landbrug!E$18,1),1)),1)*IF($F33="Grøntsager",IF($A33="Grøntsager i drivhus",Landbrug!E$51,1-Landbrug!E$51),1)</f>
        <v>#REF!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Areal-skovtype2-30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atmosfære</v>
      </c>
      <c r="G34" t="str">
        <f>IF('[1]Processer - data'!G34&lt;&gt;"",'[1]Processer - data'!G34,"")</f>
        <v>t CO2-ækvivalenter</v>
      </c>
      <c r="H34" s="302" t="e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input'!$A$3:$A$230,$A$1)),IF(VLOOKUP($A34,[1]!Table1[#All],2,FALSE)="Resultat",SUMIF($F$1:$F33,$D34,H$1:H33)+SUMIF($F35:$F$490,$D34,H35:H$490),0))*'[1]Processer - data'!H34,"")*IF($C34&lt;&gt;"",IF($F34="Halm",Landbrug!C$16*Landbrug!C$17,IF(LEFT($D34,5)="Areal", IF($G34="Ton",Landbrug!C$18,1),1)),1)*IF($F34="Grøntsager",IF($A34="Grøntsager i drivhus",Landbrug!C$51,1-Landbrug!C$51),1)</f>
        <v>#REF!</v>
      </c>
      <c r="I34" s="303" t="e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input'!$A$3:$A$230,$A$1)),IF(VLOOKUP($A34,[1]!Table1[#All],2,FALSE)="Resultat",SUMIF($F$1:$F33,$D34,I$1:I33)+SUMIF($F35:$F$490,$D34,I35:I$490),0))*'[1]Processer - data'!I34,"")*IF($C34&lt;&gt;"",IF($F34="Halm",Landbrug!D$16*Landbrug!D$17,IF(LEFT($D34,5)="Areal", IF($G34="Ton",Landbrug!D$18,1),1)),1)*IF($F34="Grøntsager",IF($A34="Grøntsager i drivhus",Landbrug!D$51,1-Landbrug!D$51),1)</f>
        <v>#REF!</v>
      </c>
      <c r="J34" s="304" t="e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input'!$A$3:$A$230,$A$1)),IF(VLOOKUP($A34,[1]!Table1[#All],2,FALSE)="Resultat",SUMIF($F$1:$F33,$D34,J$1:J33)+SUMIF($F35:$F$490,$D34,J35:J$490),0))*'[1]Processer - data'!J34,"")*IF($C34&lt;&gt;"",IF($F34="Halm",Landbrug!E$16*Landbrug!E$17,IF(LEFT($D34,5)="Areal", IF($G34="Ton",Landbrug!E$18,1),1)),1)*IF($F34="Grøntsager",IF($A34="Grøntsager i drivhus",Landbrug!E$51,1-Landbrug!E$51),1)</f>
        <v>#REF!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Areal-skovtype2-40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302" t="e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input'!$A$3:$A$230,$A$1)),IF(VLOOKUP($A35,[1]!Table1[#All],2,FALSE)="Resultat",SUMIF($F$1:$F34,$D35,H$1:H34)+SUMIF($F36:$F$490,$D35,H36:H$490),0))*'[1]Processer - data'!H35,"")*IF($C35&lt;&gt;"",IF($F35="Halm",Landbrug!C$16*Landbrug!C$17,IF(LEFT($D35,5)="Areal", IF($G35="Ton",Landbrug!C$18,1),1)),1)*IF($F35="Grøntsager",IF($A35="Grøntsager i drivhus",Landbrug!C$51,1-Landbrug!C$51),1)</f>
        <v>#REF!</v>
      </c>
      <c r="I35" s="303" t="e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input'!$A$3:$A$230,$A$1)),IF(VLOOKUP($A35,[1]!Table1[#All],2,FALSE)="Resultat",SUMIF($F$1:$F34,$D35,I$1:I34)+SUMIF($F36:$F$490,$D35,I36:I$490),0))*'[1]Processer - data'!I35,"")*IF($C35&lt;&gt;"",IF($F35="Halm",Landbrug!D$16*Landbrug!D$17,IF(LEFT($D35,5)="Areal", IF($G35="Ton",Landbrug!D$18,1),1)),1)*IF($F35="Grøntsager",IF($A35="Grøntsager i drivhus",Landbrug!D$51,1-Landbrug!D$51),1)</f>
        <v>#REF!</v>
      </c>
      <c r="J35" s="304" t="e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input'!$A$3:$A$230,$A$1)),IF(VLOOKUP($A35,[1]!Table1[#All],2,FALSE)="Resultat",SUMIF($F$1:$F34,$D35,J$1:J34)+SUMIF($F36:$F$490,$D35,J36:J$490),0))*'[1]Processer - data'!J35,"")*IF($C35&lt;&gt;"",IF($F35="Halm",Landbrug!E$16*Landbrug!E$17,IF(LEFT($D35,5)="Areal", IF($G35="Ton",Landbrug!E$18,1),1)),1)*IF($F35="Grøntsager",IF($A35="Grøntsager i drivhus",Landbrug!E$51,1-Landbrug!E$51),1)</f>
        <v>#REF!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Areal-skovtype2-40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302" t="e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input'!$A$3:$A$230,$A$1)),IF(VLOOKUP($A36,[1]!Table1[#All],2,FALSE)="Resultat",SUMIF($F$1:$F35,$D36,H$1:H35)+SUMIF($F37:$F$490,$D36,H37:H$490),0))*'[1]Processer - data'!H36,"")*IF($C36&lt;&gt;"",IF($F36="Halm",Landbrug!C$16*Landbrug!C$17,IF(LEFT($D36,5)="Areal", IF($G36="Ton",Landbrug!C$18,1),1)),1)*IF($F36="Grøntsager",IF($A36="Grøntsager i drivhus",Landbrug!C$51,1-Landbrug!C$51),1)</f>
        <v>#REF!</v>
      </c>
      <c r="I36" s="303" t="e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input'!$A$3:$A$230,$A$1)),IF(VLOOKUP($A36,[1]!Table1[#All],2,FALSE)="Resultat",SUMIF($F$1:$F35,$D36,I$1:I35)+SUMIF($F37:$F$490,$D36,I37:I$490),0))*'[1]Processer - data'!I36,"")*IF($C36&lt;&gt;"",IF($F36="Halm",Landbrug!D$16*Landbrug!D$17,IF(LEFT($D36,5)="Areal", IF($G36="Ton",Landbrug!D$18,1),1)),1)*IF($F36="Grøntsager",IF($A36="Grøntsager i drivhus",Landbrug!D$51,1-Landbrug!D$51),1)</f>
        <v>#REF!</v>
      </c>
      <c r="J36" s="304" t="e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input'!$A$3:$A$230,$A$1)),IF(VLOOKUP($A36,[1]!Table1[#All],2,FALSE)="Resultat",SUMIF($F$1:$F35,$D36,J$1:J35)+SUMIF($F37:$F$490,$D36,J37:J$490),0))*'[1]Processer - data'!J36,"")*IF($C36&lt;&gt;"",IF($F36="Halm",Landbrug!E$16*Landbrug!E$17,IF(LEFT($D36,5)="Areal", IF($G36="Ton",Landbrug!E$18,1),1)),1)*IF($F36="Grøntsager",IF($A36="Grøntsager i drivhus",Landbrug!E$51,1-Landbrug!E$51),1)</f>
        <v>#REF!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Areal-skovtype2-40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302" t="e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input'!$A$3:$A$230,$A$1)),IF(VLOOKUP($A37,[1]!Table1[#All],2,FALSE)="Resultat",SUMIF($F$1:$F36,$D37,H$1:H36)+SUMIF($F38:$F$490,$D37,H38:H$490),0))*'[1]Processer - data'!H37,"")*IF($C37&lt;&gt;"",IF($F37="Halm",Landbrug!C$16*Landbrug!C$17,IF(LEFT($D37,5)="Areal", IF($G37="Ton",Landbrug!C$18,1),1)),1)*IF($F37="Grøntsager",IF($A37="Grøntsager i drivhus",Landbrug!C$51,1-Landbrug!C$51),1)</f>
        <v>#REF!</v>
      </c>
      <c r="I37" s="303" t="e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input'!$A$3:$A$230,$A$1)),IF(VLOOKUP($A37,[1]!Table1[#All],2,FALSE)="Resultat",SUMIF($F$1:$F36,$D37,I$1:I36)+SUMIF($F38:$F$490,$D37,I38:I$490),0))*'[1]Processer - data'!I37,"")*IF($C37&lt;&gt;"",IF($F37="Halm",Landbrug!D$16*Landbrug!D$17,IF(LEFT($D37,5)="Areal", IF($G37="Ton",Landbrug!D$18,1),1)),1)*IF($F37="Grøntsager",IF($A37="Grøntsager i drivhus",Landbrug!D$51,1-Landbrug!D$51),1)</f>
        <v>#REF!</v>
      </c>
      <c r="J37" s="304" t="e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input'!$A$3:$A$230,$A$1)),IF(VLOOKUP($A37,[1]!Table1[#All],2,FALSE)="Resultat",SUMIF($F$1:$F36,$D37,J$1:J36)+SUMIF($F38:$F$490,$D37,J38:J$490),0))*'[1]Processer - data'!J37,"")*IF($C37&lt;&gt;"",IF($F37="Halm",Landbrug!E$16*Landbrug!E$17,IF(LEFT($D37,5)="Areal", IF($G37="Ton",Landbrug!E$18,1),1)),1)*IF($F37="Grøntsager",IF($A37="Grøntsager i drivhus",Landbrug!E$51,1-Landbrug!E$51),1)</f>
        <v>#REF!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Skovtype3</v>
      </c>
      <c r="D38" t="str">
        <f>IF('[1]Processer - data'!D38&lt;&gt;"",'[1]Processer - data'!D38,"")</f>
        <v>Areal-skovtype3-10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Træer</v>
      </c>
      <c r="G38" t="str">
        <f>IF('[1]Processer - data'!G38&lt;&gt;"",'[1]Processer - data'!G38,"")</f>
        <v>m3</v>
      </c>
      <c r="H38" s="302" t="e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input'!$A$3:$A$230,$A$1)),IF(VLOOKUP($A38,[1]!Table1[#All],2,FALSE)="Resultat",SUMIF($F$1:$F37,$D38,H$1:H37)+SUMIF($F39:$F$490,$D38,H39:H$490),0))*'[1]Processer - data'!H38,"")*IF($C38&lt;&gt;"",IF($F38="Halm",Landbrug!C$16*Landbrug!C$17,IF(LEFT($D38,5)="Areal", IF($G38="Ton",Landbrug!C$18,1),1)),1)*IF($F38="Grøntsager",IF($A38="Grøntsager i drivhus",Landbrug!C$51,1-Landbrug!C$51),1)</f>
        <v>#REF!</v>
      </c>
      <c r="I38" s="303" t="e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input'!$A$3:$A$230,$A$1)),IF(VLOOKUP($A38,[1]!Table1[#All],2,FALSE)="Resultat",SUMIF($F$1:$F37,$D38,I$1:I37)+SUMIF($F39:$F$490,$D38,I39:I$490),0))*'[1]Processer - data'!I38,"")*IF($C38&lt;&gt;"",IF($F38="Halm",Landbrug!D$16*Landbrug!D$17,IF(LEFT($D38,5)="Areal", IF($G38="Ton",Landbrug!D$18,1),1)),1)*IF($F38="Grøntsager",IF($A38="Grøntsager i drivhus",Landbrug!D$51,1-Landbrug!D$51),1)</f>
        <v>#REF!</v>
      </c>
      <c r="J38" s="304" t="e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input'!$A$3:$A$230,$A$1)),IF(VLOOKUP($A38,[1]!Table1[#All],2,FALSE)="Resultat",SUMIF($F$1:$F37,$D38,J$1:J37)+SUMIF($F39:$F$490,$D38,J39:J$490),0))*'[1]Processer - data'!J38,"")*IF($C38&lt;&gt;"",IF($F38="Halm",Landbrug!E$16*Landbrug!E$17,IF(LEFT($D38,5)="Areal", IF($G38="Ton",Landbrug!E$18,1),1)),1)*IF($F38="Grøntsager",IF($A38="Grøntsager i drivhus",Landbrug!E$51,1-Landbrug!E$51),1)</f>
        <v>#REF!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Skovtype3</v>
      </c>
      <c r="D39" t="str">
        <f>IF('[1]Processer - data'!D39&lt;&gt;"",'[1]Processer - data'!D39,"")</f>
        <v>Areal-skovtype3-10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 til energi</v>
      </c>
      <c r="G39" t="str">
        <f>IF('[1]Processer - data'!G39&lt;&gt;"",'[1]Processer - data'!G39,"")</f>
        <v>m3</v>
      </c>
      <c r="H39" s="302" t="e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input'!$A$3:$A$230,$A$1)),IF(VLOOKUP($A39,[1]!Table1[#All],2,FALSE)="Resultat",SUMIF($F$1:$F38,$D39,H$1:H38)+SUMIF($F40:$F$490,$D39,H40:H$490),0))*'[1]Processer - data'!H39,"")*IF($C39&lt;&gt;"",IF($F39="Halm",Landbrug!C$16*Landbrug!C$17,IF(LEFT($D39,5)="Areal", IF($G39="Ton",Landbrug!C$18,1),1)),1)*IF($F39="Grøntsager",IF($A39="Grøntsager i drivhus",Landbrug!C$51,1-Landbrug!C$51),1)</f>
        <v>#REF!</v>
      </c>
      <c r="I39" s="303" t="e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input'!$A$3:$A$230,$A$1)),IF(VLOOKUP($A39,[1]!Table1[#All],2,FALSE)="Resultat",SUMIF($F$1:$F38,$D39,I$1:I38)+SUMIF($F40:$F$490,$D39,I40:I$490),0))*'[1]Processer - data'!I39,"")*IF($C39&lt;&gt;"",IF($F39="Halm",Landbrug!D$16*Landbrug!D$17,IF(LEFT($D39,5)="Areal", IF($G39="Ton",Landbrug!D$18,1),1)),1)*IF($F39="Grøntsager",IF($A39="Grøntsager i drivhus",Landbrug!D$51,1-Landbrug!D$51),1)</f>
        <v>#REF!</v>
      </c>
      <c r="J39" s="304" t="e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input'!$A$3:$A$230,$A$1)),IF(VLOOKUP($A39,[1]!Table1[#All],2,FALSE)="Resultat",SUMIF($F$1:$F38,$D39,J$1:J38)+SUMIF($F40:$F$490,$D39,J40:J$490),0))*'[1]Processer - data'!J39,"")*IF($C39&lt;&gt;"",IF($F39="Halm",Landbrug!E$16*Landbrug!E$17,IF(LEFT($D39,5)="Areal", IF($G39="Ton",Landbrug!E$18,1),1)),1)*IF($F39="Grøntsager",IF($A39="Grøntsager i drivhus",Landbrug!E$51,1-Landbrug!E$51),1)</f>
        <v>#REF!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Skovtype3</v>
      </c>
      <c r="D40" t="str">
        <f>IF('[1]Processer - data'!D40&lt;&gt;"",'[1]Processer - data'!D40,"")</f>
        <v>Areal-skovtype3-10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CO2 - atmosfære</v>
      </c>
      <c r="G40" t="str">
        <f>IF('[1]Processer - data'!G40&lt;&gt;"",'[1]Processer - data'!G40,"")</f>
        <v>t CO2-ækvivalenter</v>
      </c>
      <c r="H40" s="302" t="e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input'!$A$3:$A$230,$A$1)),IF(VLOOKUP($A40,[1]!Table1[#All],2,FALSE)="Resultat",SUMIF($F$1:$F39,$D40,H$1:H39)+SUMIF($F41:$F$490,$D40,H41:H$490),0))*'[1]Processer - data'!H40,"")*IF($C40&lt;&gt;"",IF($F40="Halm",Landbrug!C$16*Landbrug!C$17,IF(LEFT($D40,5)="Areal", IF($G40="Ton",Landbrug!C$18,1),1)),1)*IF($F40="Grøntsager",IF($A40="Grøntsager i drivhus",Landbrug!C$51,1-Landbrug!C$51),1)</f>
        <v>#REF!</v>
      </c>
      <c r="I40" s="303" t="e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input'!$A$3:$A$230,$A$1)),IF(VLOOKUP($A40,[1]!Table1[#All],2,FALSE)="Resultat",SUMIF($F$1:$F39,$D40,I$1:I39)+SUMIF($F41:$F$490,$D40,I41:I$490),0))*'[1]Processer - data'!I40,"")*IF($C40&lt;&gt;"",IF($F40="Halm",Landbrug!D$16*Landbrug!D$17,IF(LEFT($D40,5)="Areal", IF($G40="Ton",Landbrug!D$18,1),1)),1)*IF($F40="Grøntsager",IF($A40="Grøntsager i drivhus",Landbrug!D$51,1-Landbrug!D$51),1)</f>
        <v>#REF!</v>
      </c>
      <c r="J40" s="304" t="e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input'!$A$3:$A$230,$A$1)),IF(VLOOKUP($A40,[1]!Table1[#All],2,FALSE)="Resultat",SUMIF($F$1:$F39,$D40,J$1:J39)+SUMIF($F41:$F$490,$D40,J41:J$490),0))*'[1]Processer - data'!J40,"")*IF($C40&lt;&gt;"",IF($F40="Halm",Landbrug!E$16*Landbrug!E$17,IF(LEFT($D40,5)="Areal", IF($G40="Ton",Landbrug!E$18,1),1)),1)*IF($F40="Grøntsager",IF($A40="Grøntsager i drivhus",Landbrug!E$51,1-Landbrug!E$51),1)</f>
        <v>#REF!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Skovtype3</v>
      </c>
      <c r="D41" t="str">
        <f>IF('[1]Processer - data'!D41&lt;&gt;"",'[1]Processer - data'!D41,"")</f>
        <v>Areal-skovtype3-20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Træer</v>
      </c>
      <c r="G41" t="str">
        <f>IF('[1]Processer - data'!G41&lt;&gt;"",'[1]Processer - data'!G41,"")</f>
        <v>m3</v>
      </c>
      <c r="H41" s="302" t="e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input'!$A$3:$A$230,$A$1)),IF(VLOOKUP($A41,[1]!Table1[#All],2,FALSE)="Resultat",SUMIF($F$1:$F40,$D41,H$1:H40)+SUMIF($F42:$F$490,$D41,H42:H$490),0))*'[1]Processer - data'!H41,"")*IF($C41&lt;&gt;"",IF($F41="Halm",Landbrug!C$16*Landbrug!C$17,IF(LEFT($D41,5)="Areal", IF($G41="Ton",Landbrug!C$18,1),1)),1)*IF($F41="Grøntsager",IF($A41="Grøntsager i drivhus",Landbrug!C$51,1-Landbrug!C$51),1)</f>
        <v>#REF!</v>
      </c>
      <c r="I41" s="303" t="e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input'!$A$3:$A$230,$A$1)),IF(VLOOKUP($A41,[1]!Table1[#All],2,FALSE)="Resultat",SUMIF($F$1:$F40,$D41,I$1:I40)+SUMIF($F42:$F$490,$D41,I42:I$490),0))*'[1]Processer - data'!I41,"")*IF($C41&lt;&gt;"",IF($F41="Halm",Landbrug!D$16*Landbrug!D$17,IF(LEFT($D41,5)="Areal", IF($G41="Ton",Landbrug!D$18,1),1)),1)*IF($F41="Grøntsager",IF($A41="Grøntsager i drivhus",Landbrug!D$51,1-Landbrug!D$51),1)</f>
        <v>#REF!</v>
      </c>
      <c r="J41" s="304" t="e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input'!$A$3:$A$230,$A$1)),IF(VLOOKUP($A41,[1]!Table1[#All],2,FALSE)="Resultat",SUMIF($F$1:$F40,$D41,J$1:J40)+SUMIF($F42:$F$490,$D41,J42:J$490),0))*'[1]Processer - data'!J41,"")*IF($C41&lt;&gt;"",IF($F41="Halm",Landbrug!E$16*Landbrug!E$17,IF(LEFT($D41,5)="Areal", IF($G41="Ton",Landbrug!E$18,1),1)),1)*IF($F41="Grøntsager",IF($A41="Grøntsager i drivhus",Landbrug!E$51,1-Landbrug!E$51),1)</f>
        <v>#REF!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Skovtype3</v>
      </c>
      <c r="D42" t="str">
        <f>IF('[1]Processer - data'!D42&lt;&gt;"",'[1]Processer - data'!D42,"")</f>
        <v>Areal-skovtype3-20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Træ til energi</v>
      </c>
      <c r="G42" t="str">
        <f>IF('[1]Processer - data'!G42&lt;&gt;"",'[1]Processer - data'!G42,"")</f>
        <v>m3</v>
      </c>
      <c r="H42" s="302" t="e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input'!$A$3:$A$230,$A$1)),IF(VLOOKUP($A42,[1]!Table1[#All],2,FALSE)="Resultat",SUMIF($F$1:$F41,$D42,H$1:H41)+SUMIF($F43:$F$490,$D42,H43:H$490),0))*'[1]Processer - data'!H42,"")*IF($C42&lt;&gt;"",IF($F42="Halm",Landbrug!C$16*Landbrug!C$17,IF(LEFT($D42,5)="Areal", IF($G42="Ton",Landbrug!C$18,1),1)),1)*IF($F42="Grøntsager",IF($A42="Grøntsager i drivhus",Landbrug!C$51,1-Landbrug!C$51),1)</f>
        <v>#REF!</v>
      </c>
      <c r="I42" s="303" t="e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input'!$A$3:$A$230,$A$1)),IF(VLOOKUP($A42,[1]!Table1[#All],2,FALSE)="Resultat",SUMIF($F$1:$F41,$D42,I$1:I41)+SUMIF($F43:$F$490,$D42,I43:I$490),0))*'[1]Processer - data'!I42,"")*IF($C42&lt;&gt;"",IF($F42="Halm",Landbrug!D$16*Landbrug!D$17,IF(LEFT($D42,5)="Areal", IF($G42="Ton",Landbrug!D$18,1),1)),1)*IF($F42="Grøntsager",IF($A42="Grøntsager i drivhus",Landbrug!D$51,1-Landbrug!D$51),1)</f>
        <v>#REF!</v>
      </c>
      <c r="J42" s="304" t="e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input'!$A$3:$A$230,$A$1)),IF(VLOOKUP($A42,[1]!Table1[#All],2,FALSE)="Resultat",SUMIF($F$1:$F41,$D42,J$1:J41)+SUMIF($F43:$F$490,$D42,J43:J$490),0))*'[1]Processer - data'!J42,"")*IF($C42&lt;&gt;"",IF($F42="Halm",Landbrug!E$16*Landbrug!E$17,IF(LEFT($D42,5)="Areal", IF($G42="Ton",Landbrug!E$18,1),1)),1)*IF($F42="Grøntsager",IF($A42="Grøntsager i drivhus",Landbrug!E$51,1-Landbrug!E$51),1)</f>
        <v>#REF!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Skovtype3</v>
      </c>
      <c r="D43" t="str">
        <f>IF('[1]Processer - data'!D43&lt;&gt;"",'[1]Processer - data'!D43,"")</f>
        <v>Areal-skovtype3-20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CO2 - atmosfære</v>
      </c>
      <c r="G43" t="str">
        <f>IF('[1]Processer - data'!G43&lt;&gt;"",'[1]Processer - data'!G43,"")</f>
        <v>t CO2-ækvivalenter</v>
      </c>
      <c r="H43" s="302" t="e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input'!$A$3:$A$230,$A$1)),IF(VLOOKUP($A43,[1]!Table1[#All],2,FALSE)="Resultat",SUMIF($F$1:$F42,$D43,H$1:H42)+SUMIF($F44:$F$490,$D43,H44:H$490),0))*'[1]Processer - data'!H43,"")*IF($C43&lt;&gt;"",IF($F43="Halm",Landbrug!C$16*Landbrug!C$17,IF(LEFT($D43,5)="Areal", IF($G43="Ton",Landbrug!C$18,1),1)),1)*IF($F43="Grøntsager",IF($A43="Grøntsager i drivhus",Landbrug!C$51,1-Landbrug!C$51),1)</f>
        <v>#REF!</v>
      </c>
      <c r="I43" s="303" t="e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input'!$A$3:$A$230,$A$1)),IF(VLOOKUP($A43,[1]!Table1[#All],2,FALSE)="Resultat",SUMIF($F$1:$F42,$D43,I$1:I42)+SUMIF($F44:$F$490,$D43,I44:I$490),0))*'[1]Processer - data'!I43,"")*IF($C43&lt;&gt;"",IF($F43="Halm",Landbrug!D$16*Landbrug!D$17,IF(LEFT($D43,5)="Areal", IF($G43="Ton",Landbrug!D$18,1),1)),1)*IF($F43="Grøntsager",IF($A43="Grøntsager i drivhus",Landbrug!D$51,1-Landbrug!D$51),1)</f>
        <v>#REF!</v>
      </c>
      <c r="J43" s="304" t="e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input'!$A$3:$A$230,$A$1)),IF(VLOOKUP($A43,[1]!Table1[#All],2,FALSE)="Resultat",SUMIF($F$1:$F42,$D43,J$1:J42)+SUMIF($F44:$F$490,$D43,J44:J$490),0))*'[1]Processer - data'!J43,"")*IF($C43&lt;&gt;"",IF($F43="Halm",Landbrug!E$16*Landbrug!E$17,IF(LEFT($D43,5)="Areal", IF($G43="Ton",Landbrug!E$18,1),1)),1)*IF($F43="Grøntsager",IF($A43="Grøntsager i drivhus",Landbrug!E$51,1-Landbrug!E$51),1)</f>
        <v>#REF!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Skovtype3</v>
      </c>
      <c r="D44" t="str">
        <f>IF('[1]Processer - data'!D44&lt;&gt;"",'[1]Processer - data'!D44,"")</f>
        <v>Areal-skovtype3-30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Træer</v>
      </c>
      <c r="G44" t="str">
        <f>IF('[1]Processer - data'!G44&lt;&gt;"",'[1]Processer - data'!G44,"")</f>
        <v>m3</v>
      </c>
      <c r="H44" s="302" t="e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input'!$A$3:$A$230,$A$1)),IF(VLOOKUP($A44,[1]!Table1[#All],2,FALSE)="Resultat",SUMIF($F$1:$F43,$D44,H$1:H43)+SUMIF($F45:$F$490,$D44,H45:H$490),0))*'[1]Processer - data'!H44,"")*IF($C44&lt;&gt;"",IF($F44="Halm",Landbrug!C$16*Landbrug!C$17,IF(LEFT($D44,5)="Areal", IF($G44="Ton",Landbrug!C$18,1),1)),1)*IF($F44="Grøntsager",IF($A44="Grøntsager i drivhus",Landbrug!C$51,1-Landbrug!C$51),1)</f>
        <v>#REF!</v>
      </c>
      <c r="I44" s="303" t="e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input'!$A$3:$A$230,$A$1)),IF(VLOOKUP($A44,[1]!Table1[#All],2,FALSE)="Resultat",SUMIF($F$1:$F43,$D44,I$1:I43)+SUMIF($F45:$F$490,$D44,I45:I$490),0))*'[1]Processer - data'!I44,"")*IF($C44&lt;&gt;"",IF($F44="Halm",Landbrug!D$16*Landbrug!D$17,IF(LEFT($D44,5)="Areal", IF($G44="Ton",Landbrug!D$18,1),1)),1)*IF($F44="Grøntsager",IF($A44="Grøntsager i drivhus",Landbrug!D$51,1-Landbrug!D$51),1)</f>
        <v>#REF!</v>
      </c>
      <c r="J44" s="304" t="e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input'!$A$3:$A$230,$A$1)),IF(VLOOKUP($A44,[1]!Table1[#All],2,FALSE)="Resultat",SUMIF($F$1:$F43,$D44,J$1:J43)+SUMIF($F45:$F$490,$D44,J45:J$490),0))*'[1]Processer - data'!J44,"")*IF($C44&lt;&gt;"",IF($F44="Halm",Landbrug!E$16*Landbrug!E$17,IF(LEFT($D44,5)="Areal", IF($G44="Ton",Landbrug!E$18,1),1)),1)*IF($F44="Grøntsager",IF($A44="Grøntsager i drivhus",Landbrug!E$51,1-Landbrug!E$51),1)</f>
        <v>#REF!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Skovtype3</v>
      </c>
      <c r="D45" t="str">
        <f>IF('[1]Processer - data'!D45&lt;&gt;"",'[1]Processer - data'!D45,"")</f>
        <v>Areal-skovtype3-30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Træ til energi</v>
      </c>
      <c r="G45" t="str">
        <f>IF('[1]Processer - data'!G45&lt;&gt;"",'[1]Processer - data'!G45,"")</f>
        <v>m3</v>
      </c>
      <c r="H45" s="302" t="e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input'!$A$3:$A$230,$A$1)),IF(VLOOKUP($A45,[1]!Table1[#All],2,FALSE)="Resultat",SUMIF($F$1:$F44,$D45,H$1:H44)+SUMIF($F46:$F$490,$D45,H46:H$490),0))*'[1]Processer - data'!H45,"")*IF($C45&lt;&gt;"",IF($F45="Halm",Landbrug!C$16*Landbrug!C$17,IF(LEFT($D45,5)="Areal", IF($G45="Ton",Landbrug!C$18,1),1)),1)*IF($F45="Grøntsager",IF($A45="Grøntsager i drivhus",Landbrug!C$51,1-Landbrug!C$51),1)</f>
        <v>#REF!</v>
      </c>
      <c r="I45" s="303" t="e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input'!$A$3:$A$230,$A$1)),IF(VLOOKUP($A45,[1]!Table1[#All],2,FALSE)="Resultat",SUMIF($F$1:$F44,$D45,I$1:I44)+SUMIF($F46:$F$490,$D45,I46:I$490),0))*'[1]Processer - data'!I45,"")*IF($C45&lt;&gt;"",IF($F45="Halm",Landbrug!D$16*Landbrug!D$17,IF(LEFT($D45,5)="Areal", IF($G45="Ton",Landbrug!D$18,1),1)),1)*IF($F45="Grøntsager",IF($A45="Grøntsager i drivhus",Landbrug!D$51,1-Landbrug!D$51),1)</f>
        <v>#REF!</v>
      </c>
      <c r="J45" s="304" t="e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input'!$A$3:$A$230,$A$1)),IF(VLOOKUP($A45,[1]!Table1[#All],2,FALSE)="Resultat",SUMIF($F$1:$F44,$D45,J$1:J44)+SUMIF($F46:$F$490,$D45,J46:J$490),0))*'[1]Processer - data'!J45,"")*IF($C45&lt;&gt;"",IF($F45="Halm",Landbrug!E$16*Landbrug!E$17,IF(LEFT($D45,5)="Areal", IF($G45="Ton",Landbrug!E$18,1),1)),1)*IF($F45="Grøntsager",IF($A45="Grøntsager i drivhus",Landbrug!E$51,1-Landbrug!E$51),1)</f>
        <v>#REF!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Skovtype3</v>
      </c>
      <c r="D46" t="str">
        <f>IF('[1]Processer - data'!D46&lt;&gt;"",'[1]Processer - data'!D46,"")</f>
        <v>Areal-skovtype3-30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atmosfære</v>
      </c>
      <c r="G46" t="str">
        <f>IF('[1]Processer - data'!G46&lt;&gt;"",'[1]Processer - data'!G46,"")</f>
        <v>t CO2-ækvivalenter</v>
      </c>
      <c r="H46" s="302" t="e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input'!$A$3:$A$230,$A$1)),IF(VLOOKUP($A46,[1]!Table1[#All],2,FALSE)="Resultat",SUMIF($F$1:$F45,$D46,H$1:H45)+SUMIF($F47:$F$490,$D46,H47:H$490),0))*'[1]Processer - data'!H46,"")*IF($C46&lt;&gt;"",IF($F46="Halm",Landbrug!C$16*Landbrug!C$17,IF(LEFT($D46,5)="Areal", IF($G46="Ton",Landbrug!C$18,1),1)),1)*IF($F46="Grøntsager",IF($A46="Grøntsager i drivhus",Landbrug!C$51,1-Landbrug!C$51),1)</f>
        <v>#REF!</v>
      </c>
      <c r="I46" s="303" t="e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input'!$A$3:$A$230,$A$1)),IF(VLOOKUP($A46,[1]!Table1[#All],2,FALSE)="Resultat",SUMIF($F$1:$F45,$D46,I$1:I45)+SUMIF($F47:$F$490,$D46,I47:I$490),0))*'[1]Processer - data'!I46,"")*IF($C46&lt;&gt;"",IF($F46="Halm",Landbrug!D$16*Landbrug!D$17,IF(LEFT($D46,5)="Areal", IF($G46="Ton",Landbrug!D$18,1),1)),1)*IF($F46="Grøntsager",IF($A46="Grøntsager i drivhus",Landbrug!D$51,1-Landbrug!D$51),1)</f>
        <v>#REF!</v>
      </c>
      <c r="J46" s="304" t="e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input'!$A$3:$A$230,$A$1)),IF(VLOOKUP($A46,[1]!Table1[#All],2,FALSE)="Resultat",SUMIF($F$1:$F45,$D46,J$1:J45)+SUMIF($F47:$F$490,$D46,J47:J$490),0))*'[1]Processer - data'!J46,"")*IF($C46&lt;&gt;"",IF($F46="Halm",Landbrug!E$16*Landbrug!E$17,IF(LEFT($D46,5)="Areal", IF($G46="Ton",Landbrug!E$18,1),1)),1)*IF($F46="Grøntsager",IF($A46="Grøntsager i drivhus",Landbrug!E$51,1-Landbrug!E$51),1)</f>
        <v>#REF!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Areal-skovtype3-40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302" t="e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input'!$A$3:$A$230,$A$1)),IF(VLOOKUP($A47,[1]!Table1[#All],2,FALSE)="Resultat",SUMIF($F$1:$F46,$D47,H$1:H46)+SUMIF($F48:$F$490,$D47,H48:H$490),0))*'[1]Processer - data'!H47,"")*IF($C47&lt;&gt;"",IF($F47="Halm",Landbrug!C$16*Landbrug!C$17,IF(LEFT($D47,5)="Areal", IF($G47="Ton",Landbrug!C$18,1),1)),1)*IF($F47="Grøntsager",IF($A47="Grøntsager i drivhus",Landbrug!C$51,1-Landbrug!C$51),1)</f>
        <v>#REF!</v>
      </c>
      <c r="I47" s="303" t="e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input'!$A$3:$A$230,$A$1)),IF(VLOOKUP($A47,[1]!Table1[#All],2,FALSE)="Resultat",SUMIF($F$1:$F46,$D47,I$1:I46)+SUMIF($F48:$F$490,$D47,I48:I$490),0))*'[1]Processer - data'!I47,"")*IF($C47&lt;&gt;"",IF($F47="Halm",Landbrug!D$16*Landbrug!D$17,IF(LEFT($D47,5)="Areal", IF($G47="Ton",Landbrug!D$18,1),1)),1)*IF($F47="Grøntsager",IF($A47="Grøntsager i drivhus",Landbrug!D$51,1-Landbrug!D$51),1)</f>
        <v>#REF!</v>
      </c>
      <c r="J47" s="304" t="e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input'!$A$3:$A$230,$A$1)),IF(VLOOKUP($A47,[1]!Table1[#All],2,FALSE)="Resultat",SUMIF($F$1:$F46,$D47,J$1:J46)+SUMIF($F48:$F$490,$D47,J48:J$490),0))*'[1]Processer - data'!J47,"")*IF($C47&lt;&gt;"",IF($F47="Halm",Landbrug!E$16*Landbrug!E$17,IF(LEFT($D47,5)="Areal", IF($G47="Ton",Landbrug!E$18,1),1)),1)*IF($F47="Grøntsager",IF($A47="Grøntsager i drivhus",Landbrug!E$51,1-Landbrug!E$51),1)</f>
        <v>#REF!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Areal-skovtype3-40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302" t="e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input'!$A$3:$A$230,$A$1)),IF(VLOOKUP($A48,[1]!Table1[#All],2,FALSE)="Resultat",SUMIF($F$1:$F47,$D48,H$1:H47)+SUMIF($F49:$F$490,$D48,H49:H$490),0))*'[1]Processer - data'!H48,"")*IF($C48&lt;&gt;"",IF($F48="Halm",Landbrug!C$16*Landbrug!C$17,IF(LEFT($D48,5)="Areal", IF($G48="Ton",Landbrug!C$18,1),1)),1)*IF($F48="Grøntsager",IF($A48="Grøntsager i drivhus",Landbrug!C$51,1-Landbrug!C$51),1)</f>
        <v>#REF!</v>
      </c>
      <c r="I48" s="303" t="e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input'!$A$3:$A$230,$A$1)),IF(VLOOKUP($A48,[1]!Table1[#All],2,FALSE)="Resultat",SUMIF($F$1:$F47,$D48,I$1:I47)+SUMIF($F49:$F$490,$D48,I49:I$490),0))*'[1]Processer - data'!I48,"")*IF($C48&lt;&gt;"",IF($F48="Halm",Landbrug!D$16*Landbrug!D$17,IF(LEFT($D48,5)="Areal", IF($G48="Ton",Landbrug!D$18,1),1)),1)*IF($F48="Grøntsager",IF($A48="Grøntsager i drivhus",Landbrug!D$51,1-Landbrug!D$51),1)</f>
        <v>#REF!</v>
      </c>
      <c r="J48" s="304" t="e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input'!$A$3:$A$230,$A$1)),IF(VLOOKUP($A48,[1]!Table1[#All],2,FALSE)="Resultat",SUMIF($F$1:$F47,$D48,J$1:J47)+SUMIF($F49:$F$490,$D48,J49:J$490),0))*'[1]Processer - data'!J48,"")*IF($C48&lt;&gt;"",IF($F48="Halm",Landbrug!E$16*Landbrug!E$17,IF(LEFT($D48,5)="Areal", IF($G48="Ton",Landbrug!E$18,1),1)),1)*IF($F48="Grøntsager",IF($A48="Grøntsager i drivhus",Landbrug!E$51,1-Landbrug!E$51),1)</f>
        <v>#REF!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Areal-skovtype3-40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302" t="e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input'!$A$3:$A$230,$A$1)),IF(VLOOKUP($A49,[1]!Table1[#All],2,FALSE)="Resultat",SUMIF($F$1:$F48,$D49,H$1:H48)+SUMIF($F50:$F$490,$D49,H50:H$490),0))*'[1]Processer - data'!H49,"")*IF($C49&lt;&gt;"",IF($F49="Halm",Landbrug!C$16*Landbrug!C$17,IF(LEFT($D49,5)="Areal", IF($G49="Ton",Landbrug!C$18,1),1)),1)*IF($F49="Grøntsager",IF($A49="Grøntsager i drivhus",Landbrug!C$51,1-Landbrug!C$51),1)</f>
        <v>#REF!</v>
      </c>
      <c r="I49" s="303" t="e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input'!$A$3:$A$230,$A$1)),IF(VLOOKUP($A49,[1]!Table1[#All],2,FALSE)="Resultat",SUMIF($F$1:$F48,$D49,I$1:I48)+SUMIF($F50:$F$490,$D49,I50:I$490),0))*'[1]Processer - data'!I49,"")*IF($C49&lt;&gt;"",IF($F49="Halm",Landbrug!D$16*Landbrug!D$17,IF(LEFT($D49,5)="Areal", IF($G49="Ton",Landbrug!D$18,1),1)),1)*IF($F49="Grøntsager",IF($A49="Grøntsager i drivhus",Landbrug!D$51,1-Landbrug!D$51),1)</f>
        <v>#REF!</v>
      </c>
      <c r="J49" s="304" t="e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input'!$A$3:$A$230,$A$1)),IF(VLOOKUP($A49,[1]!Table1[#All],2,FALSE)="Resultat",SUMIF($F$1:$F48,$D49,J$1:J48)+SUMIF($F50:$F$490,$D49,J50:J$490),0))*'[1]Processer - data'!J49,"")*IF($C49&lt;&gt;"",IF($F49="Halm",Landbrug!E$16*Landbrug!E$17,IF(LEFT($D49,5)="Areal", IF($G49="Ton",Landbrug!E$18,1),1)),1)*IF($F49="Grøntsager",IF($A49="Grøntsager i drivhus",Landbrug!E$51,1-Landbrug!E$51),1)</f>
        <v>#REF!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Skovtype4</v>
      </c>
      <c r="D50" t="str">
        <f>IF('[1]Processer - data'!D50&lt;&gt;"",'[1]Processer - data'!D50,"")</f>
        <v>Areal-skovtype4-10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Træer</v>
      </c>
      <c r="G50" t="str">
        <f>IF('[1]Processer - data'!G50&lt;&gt;"",'[1]Processer - data'!G50,"")</f>
        <v>m3</v>
      </c>
      <c r="H50" s="302" t="e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input'!$A$3:$A$230,$A$1)),IF(VLOOKUP($A50,[1]!Table1[#All],2,FALSE)="Resultat",SUMIF($F$1:$F49,$D50,H$1:H49)+SUMIF($F51:$F$490,$D50,H51:H$490),0))*'[1]Processer - data'!H50,"")*IF($C50&lt;&gt;"",IF($F50="Halm",Landbrug!C$16*Landbrug!C$17,IF(LEFT($D50,5)="Areal", IF($G50="Ton",Landbrug!C$18,1),1)),1)*IF($F50="Grøntsager",IF($A50="Grøntsager i drivhus",Landbrug!C$51,1-Landbrug!C$51),1)</f>
        <v>#REF!</v>
      </c>
      <c r="I50" s="303" t="e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input'!$A$3:$A$230,$A$1)),IF(VLOOKUP($A50,[1]!Table1[#All],2,FALSE)="Resultat",SUMIF($F$1:$F49,$D50,I$1:I49)+SUMIF($F51:$F$490,$D50,I51:I$490),0))*'[1]Processer - data'!I50,"")*IF($C50&lt;&gt;"",IF($F50="Halm",Landbrug!D$16*Landbrug!D$17,IF(LEFT($D50,5)="Areal", IF($G50="Ton",Landbrug!D$18,1),1)),1)*IF($F50="Grøntsager",IF($A50="Grøntsager i drivhus",Landbrug!D$51,1-Landbrug!D$51),1)</f>
        <v>#REF!</v>
      </c>
      <c r="J50" s="304" t="e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input'!$A$3:$A$230,$A$1)),IF(VLOOKUP($A50,[1]!Table1[#All],2,FALSE)="Resultat",SUMIF($F$1:$F49,$D50,J$1:J49)+SUMIF($F51:$F$490,$D50,J51:J$490),0))*'[1]Processer - data'!J50,"")*IF($C50&lt;&gt;"",IF($F50="Halm",Landbrug!E$16*Landbrug!E$17,IF(LEFT($D50,5)="Areal", IF($G50="Ton",Landbrug!E$18,1),1)),1)*IF($F50="Grøntsager",IF($A50="Grøntsager i drivhus",Landbrug!E$51,1-Landbrug!E$51),1)</f>
        <v>#REF!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Skovtype4</v>
      </c>
      <c r="D51" t="str">
        <f>IF('[1]Processer - data'!D51&lt;&gt;"",'[1]Processer - data'!D51,"")</f>
        <v>Areal-skovtype4-10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 til energi</v>
      </c>
      <c r="G51" t="str">
        <f>IF('[1]Processer - data'!G51&lt;&gt;"",'[1]Processer - data'!G51,"")</f>
        <v>m3</v>
      </c>
      <c r="H51" s="302" t="e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input'!$A$3:$A$230,$A$1)),IF(VLOOKUP($A51,[1]!Table1[#All],2,FALSE)="Resultat",SUMIF($F$1:$F50,$D51,H$1:H50)+SUMIF($F52:$F$490,$D51,H52:H$490),0))*'[1]Processer - data'!H51,"")*IF($C51&lt;&gt;"",IF($F51="Halm",Landbrug!C$16*Landbrug!C$17,IF(LEFT($D51,5)="Areal", IF($G51="Ton",Landbrug!C$18,1),1)),1)*IF($F51="Grøntsager",IF($A51="Grøntsager i drivhus",Landbrug!C$51,1-Landbrug!C$51),1)</f>
        <v>#REF!</v>
      </c>
      <c r="I51" s="303" t="e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input'!$A$3:$A$230,$A$1)),IF(VLOOKUP($A51,[1]!Table1[#All],2,FALSE)="Resultat",SUMIF($F$1:$F50,$D51,I$1:I50)+SUMIF($F52:$F$490,$D51,I52:I$490),0))*'[1]Processer - data'!I51,"")*IF($C51&lt;&gt;"",IF($F51="Halm",Landbrug!D$16*Landbrug!D$17,IF(LEFT($D51,5)="Areal", IF($G51="Ton",Landbrug!D$18,1),1)),1)*IF($F51="Grøntsager",IF($A51="Grøntsager i drivhus",Landbrug!D$51,1-Landbrug!D$51),1)</f>
        <v>#REF!</v>
      </c>
      <c r="J51" s="304" t="e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input'!$A$3:$A$230,$A$1)),IF(VLOOKUP($A51,[1]!Table1[#All],2,FALSE)="Resultat",SUMIF($F$1:$F50,$D51,J$1:J50)+SUMIF($F52:$F$490,$D51,J52:J$490),0))*'[1]Processer - data'!J51,"")*IF($C51&lt;&gt;"",IF($F51="Halm",Landbrug!E$16*Landbrug!E$17,IF(LEFT($D51,5)="Areal", IF($G51="Ton",Landbrug!E$18,1),1)),1)*IF($F51="Grøntsager",IF($A51="Grøntsager i drivhus",Landbrug!E$51,1-Landbrug!E$51),1)</f>
        <v>#REF!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Skovtype4</v>
      </c>
      <c r="D52" t="str">
        <f>IF('[1]Processer - data'!D52&lt;&gt;"",'[1]Processer - data'!D52,"")</f>
        <v>Areal-skovtype4-10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CO2 - atmosfære</v>
      </c>
      <c r="G52" t="str">
        <f>IF('[1]Processer - data'!G52&lt;&gt;"",'[1]Processer - data'!G52,"")</f>
        <v>t CO2-ækvivalenter</v>
      </c>
      <c r="H52" s="302" t="e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input'!$A$3:$A$230,$A$1)),IF(VLOOKUP($A52,[1]!Table1[#All],2,FALSE)="Resultat",SUMIF($F$1:$F51,$D52,H$1:H51)+SUMIF($F53:$F$490,$D52,H53:H$490),0))*'[1]Processer - data'!H52,"")*IF($C52&lt;&gt;"",IF($F52="Halm",Landbrug!C$16*Landbrug!C$17,IF(LEFT($D52,5)="Areal", IF($G52="Ton",Landbrug!C$18,1),1)),1)*IF($F52="Grøntsager",IF($A52="Grøntsager i drivhus",Landbrug!C$51,1-Landbrug!C$51),1)</f>
        <v>#REF!</v>
      </c>
      <c r="I52" s="303" t="e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input'!$A$3:$A$230,$A$1)),IF(VLOOKUP($A52,[1]!Table1[#All],2,FALSE)="Resultat",SUMIF($F$1:$F51,$D52,I$1:I51)+SUMIF($F53:$F$490,$D52,I53:I$490),0))*'[1]Processer - data'!I52,"")*IF($C52&lt;&gt;"",IF($F52="Halm",Landbrug!D$16*Landbrug!D$17,IF(LEFT($D52,5)="Areal", IF($G52="Ton",Landbrug!D$18,1),1)),1)*IF($F52="Grøntsager",IF($A52="Grøntsager i drivhus",Landbrug!D$51,1-Landbrug!D$51),1)</f>
        <v>#REF!</v>
      </c>
      <c r="J52" s="304" t="e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input'!$A$3:$A$230,$A$1)),IF(VLOOKUP($A52,[1]!Table1[#All],2,FALSE)="Resultat",SUMIF($F$1:$F51,$D52,J$1:J51)+SUMIF($F53:$F$490,$D52,J53:J$490),0))*'[1]Processer - data'!J52,"")*IF($C52&lt;&gt;"",IF($F52="Halm",Landbrug!E$16*Landbrug!E$17,IF(LEFT($D52,5)="Areal", IF($G52="Ton",Landbrug!E$18,1),1)),1)*IF($F52="Grøntsager",IF($A52="Grøntsager i drivhus",Landbrug!E$51,1-Landbrug!E$51),1)</f>
        <v>#REF!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Skovtype4</v>
      </c>
      <c r="D53" t="str">
        <f>IF('[1]Processer - data'!D53&lt;&gt;"",'[1]Processer - data'!D53,"")</f>
        <v>Areal-skovtype4-20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Træer</v>
      </c>
      <c r="G53" t="str">
        <f>IF('[1]Processer - data'!G53&lt;&gt;"",'[1]Processer - data'!G53,"")</f>
        <v>m3</v>
      </c>
      <c r="H53" s="302" t="e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input'!$A$3:$A$230,$A$1)),IF(VLOOKUP($A53,[1]!Table1[#All],2,FALSE)="Resultat",SUMIF($F$1:$F52,$D53,H$1:H52)+SUMIF($F54:$F$490,$D53,H54:H$490),0))*'[1]Processer - data'!H53,"")*IF($C53&lt;&gt;"",IF($F53="Halm",Landbrug!C$16*Landbrug!C$17,IF(LEFT($D53,5)="Areal", IF($G53="Ton",Landbrug!C$18,1),1)),1)*IF($F53="Grøntsager",IF($A53="Grøntsager i drivhus",Landbrug!C$51,1-Landbrug!C$51),1)</f>
        <v>#REF!</v>
      </c>
      <c r="I53" s="303" t="e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input'!$A$3:$A$230,$A$1)),IF(VLOOKUP($A53,[1]!Table1[#All],2,FALSE)="Resultat",SUMIF($F$1:$F52,$D53,I$1:I52)+SUMIF($F54:$F$490,$D53,I54:I$490),0))*'[1]Processer - data'!I53,"")*IF($C53&lt;&gt;"",IF($F53="Halm",Landbrug!D$16*Landbrug!D$17,IF(LEFT($D53,5)="Areal", IF($G53="Ton",Landbrug!D$18,1),1)),1)*IF($F53="Grøntsager",IF($A53="Grøntsager i drivhus",Landbrug!D$51,1-Landbrug!D$51),1)</f>
        <v>#REF!</v>
      </c>
      <c r="J53" s="304" t="e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input'!$A$3:$A$230,$A$1)),IF(VLOOKUP($A53,[1]!Table1[#All],2,FALSE)="Resultat",SUMIF($F$1:$F52,$D53,J$1:J52)+SUMIF($F54:$F$490,$D53,J54:J$490),0))*'[1]Processer - data'!J53,"")*IF($C53&lt;&gt;"",IF($F53="Halm",Landbrug!E$16*Landbrug!E$17,IF(LEFT($D53,5)="Areal", IF($G53="Ton",Landbrug!E$18,1),1)),1)*IF($F53="Grøntsager",IF($A53="Grøntsager i drivhus",Landbrug!E$51,1-Landbrug!E$51),1)</f>
        <v>#REF!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Skovtype4</v>
      </c>
      <c r="D54" t="str">
        <f>IF('[1]Processer - data'!D54&lt;&gt;"",'[1]Processer - data'!D54,"")</f>
        <v>Areal-skovtype4-20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Træ til energi</v>
      </c>
      <c r="G54" t="str">
        <f>IF('[1]Processer - data'!G54&lt;&gt;"",'[1]Processer - data'!G54,"")</f>
        <v>m3</v>
      </c>
      <c r="H54" s="302" t="e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input'!$A$3:$A$230,$A$1)),IF(VLOOKUP($A54,[1]!Table1[#All],2,FALSE)="Resultat",SUMIF($F$1:$F53,$D54,H$1:H53)+SUMIF($F55:$F$490,$D54,H55:H$490),0))*'[1]Processer - data'!H54,"")*IF($C54&lt;&gt;"",IF($F54="Halm",Landbrug!C$16*Landbrug!C$17,IF(LEFT($D54,5)="Areal", IF($G54="Ton",Landbrug!C$18,1),1)),1)*IF($F54="Grøntsager",IF($A54="Grøntsager i drivhus",Landbrug!C$51,1-Landbrug!C$51),1)</f>
        <v>#REF!</v>
      </c>
      <c r="I54" s="303" t="e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input'!$A$3:$A$230,$A$1)),IF(VLOOKUP($A54,[1]!Table1[#All],2,FALSE)="Resultat",SUMIF($F$1:$F53,$D54,I$1:I53)+SUMIF($F55:$F$490,$D54,I55:I$490),0))*'[1]Processer - data'!I54,"")*IF($C54&lt;&gt;"",IF($F54="Halm",Landbrug!D$16*Landbrug!D$17,IF(LEFT($D54,5)="Areal", IF($G54="Ton",Landbrug!D$18,1),1)),1)*IF($F54="Grøntsager",IF($A54="Grøntsager i drivhus",Landbrug!D$51,1-Landbrug!D$51),1)</f>
        <v>#REF!</v>
      </c>
      <c r="J54" s="304" t="e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input'!$A$3:$A$230,$A$1)),IF(VLOOKUP($A54,[1]!Table1[#All],2,FALSE)="Resultat",SUMIF($F$1:$F53,$D54,J$1:J53)+SUMIF($F55:$F$490,$D54,J55:J$490),0))*'[1]Processer - data'!J54,"")*IF($C54&lt;&gt;"",IF($F54="Halm",Landbrug!E$16*Landbrug!E$17,IF(LEFT($D54,5)="Areal", IF($G54="Ton",Landbrug!E$18,1),1)),1)*IF($F54="Grøntsager",IF($A54="Grøntsager i drivhus",Landbrug!E$51,1-Landbrug!E$51),1)</f>
        <v>#REF!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Skovtype4</v>
      </c>
      <c r="D55" t="str">
        <f>IF('[1]Processer - data'!D55&lt;&gt;"",'[1]Processer - data'!D55,"")</f>
        <v>Areal-skovtype4-20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CO2 - atmosfære</v>
      </c>
      <c r="G55" t="str">
        <f>IF('[1]Processer - data'!G55&lt;&gt;"",'[1]Processer - data'!G55,"")</f>
        <v>t CO2-ækvivalenter</v>
      </c>
      <c r="H55" s="302" t="e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input'!$A$3:$A$230,$A$1)),IF(VLOOKUP($A55,[1]!Table1[#All],2,FALSE)="Resultat",SUMIF($F$1:$F54,$D55,H$1:H54)+SUMIF($F56:$F$490,$D55,H56:H$490),0))*'[1]Processer - data'!H55,"")*IF($C55&lt;&gt;"",IF($F55="Halm",Landbrug!C$16*Landbrug!C$17,IF(LEFT($D55,5)="Areal", IF($G55="Ton",Landbrug!C$18,1),1)),1)*IF($F55="Grøntsager",IF($A55="Grøntsager i drivhus",Landbrug!C$51,1-Landbrug!C$51),1)</f>
        <v>#REF!</v>
      </c>
      <c r="I55" s="303" t="e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input'!$A$3:$A$230,$A$1)),IF(VLOOKUP($A55,[1]!Table1[#All],2,FALSE)="Resultat",SUMIF($F$1:$F54,$D55,I$1:I54)+SUMIF($F56:$F$490,$D55,I56:I$490),0))*'[1]Processer - data'!I55,"")*IF($C55&lt;&gt;"",IF($F55="Halm",Landbrug!D$16*Landbrug!D$17,IF(LEFT($D55,5)="Areal", IF($G55="Ton",Landbrug!D$18,1),1)),1)*IF($F55="Grøntsager",IF($A55="Grøntsager i drivhus",Landbrug!D$51,1-Landbrug!D$51),1)</f>
        <v>#REF!</v>
      </c>
      <c r="J55" s="304" t="e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input'!$A$3:$A$230,$A$1)),IF(VLOOKUP($A55,[1]!Table1[#All],2,FALSE)="Resultat",SUMIF($F$1:$F54,$D55,J$1:J54)+SUMIF($F56:$F$490,$D55,J56:J$490),0))*'[1]Processer - data'!J55,"")*IF($C55&lt;&gt;"",IF($F55="Halm",Landbrug!E$16*Landbrug!E$17,IF(LEFT($D55,5)="Areal", IF($G55="Ton",Landbrug!E$18,1),1)),1)*IF($F55="Grøntsager",IF($A55="Grøntsager i drivhus",Landbrug!E$51,1-Landbrug!E$51),1)</f>
        <v>#REF!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Skovtype4</v>
      </c>
      <c r="D56" t="str">
        <f>IF('[1]Processer - data'!D56&lt;&gt;"",'[1]Processer - data'!D56,"")</f>
        <v>Areal-skovtype4-30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Træer</v>
      </c>
      <c r="G56" t="str">
        <f>IF('[1]Processer - data'!G56&lt;&gt;"",'[1]Processer - data'!G56,"")</f>
        <v>m3</v>
      </c>
      <c r="H56" s="302" t="e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input'!$A$3:$A$230,$A$1)),IF(VLOOKUP($A56,[1]!Table1[#All],2,FALSE)="Resultat",SUMIF($F$1:$F55,$D56,H$1:H55)+SUMIF($F57:$F$490,$D56,H57:H$490),0))*'[1]Processer - data'!H56,"")*IF($C56&lt;&gt;"",IF($F56="Halm",Landbrug!C$16*Landbrug!C$17,IF(LEFT($D56,5)="Areal", IF($G56="Ton",Landbrug!C$18,1),1)),1)*IF($F56="Grøntsager",IF($A56="Grøntsager i drivhus",Landbrug!C$51,1-Landbrug!C$51),1)</f>
        <v>#REF!</v>
      </c>
      <c r="I56" s="303" t="e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input'!$A$3:$A$230,$A$1)),IF(VLOOKUP($A56,[1]!Table1[#All],2,FALSE)="Resultat",SUMIF($F$1:$F55,$D56,I$1:I55)+SUMIF($F57:$F$490,$D56,I57:I$490),0))*'[1]Processer - data'!I56,"")*IF($C56&lt;&gt;"",IF($F56="Halm",Landbrug!D$16*Landbrug!D$17,IF(LEFT($D56,5)="Areal", IF($G56="Ton",Landbrug!D$18,1),1)),1)*IF($F56="Grøntsager",IF($A56="Grøntsager i drivhus",Landbrug!D$51,1-Landbrug!D$51),1)</f>
        <v>#REF!</v>
      </c>
      <c r="J56" s="304" t="e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input'!$A$3:$A$230,$A$1)),IF(VLOOKUP($A56,[1]!Table1[#All],2,FALSE)="Resultat",SUMIF($F$1:$F55,$D56,J$1:J55)+SUMIF($F57:$F$490,$D56,J57:J$490),0))*'[1]Processer - data'!J56,"")*IF($C56&lt;&gt;"",IF($F56="Halm",Landbrug!E$16*Landbrug!E$17,IF(LEFT($D56,5)="Areal", IF($G56="Ton",Landbrug!E$18,1),1)),1)*IF($F56="Grøntsager",IF($A56="Grøntsager i drivhus",Landbrug!E$51,1-Landbrug!E$51),1)</f>
        <v>#REF!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Skovtype4</v>
      </c>
      <c r="D57" t="str">
        <f>IF('[1]Processer - data'!D57&lt;&gt;"",'[1]Processer - data'!D57,"")</f>
        <v>Areal-skovtype4-30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Træ til energi</v>
      </c>
      <c r="G57" t="str">
        <f>IF('[1]Processer - data'!G57&lt;&gt;"",'[1]Processer - data'!G57,"")</f>
        <v>m3</v>
      </c>
      <c r="H57" s="302" t="e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input'!$A$3:$A$230,$A$1)),IF(VLOOKUP($A57,[1]!Table1[#All],2,FALSE)="Resultat",SUMIF($F$1:$F56,$D57,H$1:H56)+SUMIF($F58:$F$490,$D57,H58:H$490),0))*'[1]Processer - data'!H57,"")*IF($C57&lt;&gt;"",IF($F57="Halm",Landbrug!C$16*Landbrug!C$17,IF(LEFT($D57,5)="Areal", IF($G57="Ton",Landbrug!C$18,1),1)),1)*IF($F57="Grøntsager",IF($A57="Grøntsager i drivhus",Landbrug!C$51,1-Landbrug!C$51),1)</f>
        <v>#REF!</v>
      </c>
      <c r="I57" s="303" t="e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input'!$A$3:$A$230,$A$1)),IF(VLOOKUP($A57,[1]!Table1[#All],2,FALSE)="Resultat",SUMIF($F$1:$F56,$D57,I$1:I56)+SUMIF($F58:$F$490,$D57,I58:I$490),0))*'[1]Processer - data'!I57,"")*IF($C57&lt;&gt;"",IF($F57="Halm",Landbrug!D$16*Landbrug!D$17,IF(LEFT($D57,5)="Areal", IF($G57="Ton",Landbrug!D$18,1),1)),1)*IF($F57="Grøntsager",IF($A57="Grøntsager i drivhus",Landbrug!D$51,1-Landbrug!D$51),1)</f>
        <v>#REF!</v>
      </c>
      <c r="J57" s="304" t="e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input'!$A$3:$A$230,$A$1)),IF(VLOOKUP($A57,[1]!Table1[#All],2,FALSE)="Resultat",SUMIF($F$1:$F56,$D57,J$1:J56)+SUMIF($F58:$F$490,$D57,J58:J$490),0))*'[1]Processer - data'!J57,"")*IF($C57&lt;&gt;"",IF($F57="Halm",Landbrug!E$16*Landbrug!E$17,IF(LEFT($D57,5)="Areal", IF($G57="Ton",Landbrug!E$18,1),1)),1)*IF($F57="Grøntsager",IF($A57="Grøntsager i drivhus",Landbrug!E$51,1-Landbrug!E$51),1)</f>
        <v>#REF!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Skovtype4</v>
      </c>
      <c r="D58" t="str">
        <f>IF('[1]Processer - data'!D58&lt;&gt;"",'[1]Processer - data'!D58,"")</f>
        <v>Areal-skovtype4-30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atmosfære</v>
      </c>
      <c r="G58" t="str">
        <f>IF('[1]Processer - data'!G58&lt;&gt;"",'[1]Processer - data'!G58,"")</f>
        <v>t CO2-ækvivalenter</v>
      </c>
      <c r="H58" s="302" t="e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input'!$A$3:$A$230,$A$1)),IF(VLOOKUP($A58,[1]!Table1[#All],2,FALSE)="Resultat",SUMIF($F$1:$F57,$D58,H$1:H57)+SUMIF($F59:$F$490,$D58,H59:H$490),0))*'[1]Processer - data'!H58,"")*IF($C58&lt;&gt;"",IF($F58="Halm",Landbrug!C$16*Landbrug!C$17,IF(LEFT($D58,5)="Areal", IF($G58="Ton",Landbrug!C$18,1),1)),1)*IF($F58="Grøntsager",IF($A58="Grøntsager i drivhus",Landbrug!C$51,1-Landbrug!C$51),1)</f>
        <v>#REF!</v>
      </c>
      <c r="I58" s="303" t="e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input'!$A$3:$A$230,$A$1)),IF(VLOOKUP($A58,[1]!Table1[#All],2,FALSE)="Resultat",SUMIF($F$1:$F57,$D58,I$1:I57)+SUMIF($F59:$F$490,$D58,I59:I$490),0))*'[1]Processer - data'!I58,"")*IF($C58&lt;&gt;"",IF($F58="Halm",Landbrug!D$16*Landbrug!D$17,IF(LEFT($D58,5)="Areal", IF($G58="Ton",Landbrug!D$18,1),1)),1)*IF($F58="Grøntsager",IF($A58="Grøntsager i drivhus",Landbrug!D$51,1-Landbrug!D$51),1)</f>
        <v>#REF!</v>
      </c>
      <c r="J58" s="304" t="e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input'!$A$3:$A$230,$A$1)),IF(VLOOKUP($A58,[1]!Table1[#All],2,FALSE)="Resultat",SUMIF($F$1:$F57,$D58,J$1:J57)+SUMIF($F59:$F$490,$D58,J59:J$490),0))*'[1]Processer - data'!J58,"")*IF($C58&lt;&gt;"",IF($F58="Halm",Landbrug!E$16*Landbrug!E$17,IF(LEFT($D58,5)="Areal", IF($G58="Ton",Landbrug!E$18,1),1)),1)*IF($F58="Grøntsager",IF($A58="Grøntsager i drivhus",Landbrug!E$51,1-Landbrug!E$51),1)</f>
        <v>#REF!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Skovtype4</v>
      </c>
      <c r="D59" t="str">
        <f>IF('[1]Processer - data'!D59&lt;&gt;"",'[1]Processer - data'!D59,"")</f>
        <v>Areal-skovtype4-40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302" t="e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input'!$A$3:$A$230,$A$1)),IF(VLOOKUP($A59,[1]!Table1[#All],2,FALSE)="Resultat",SUMIF($F$1:$F58,$D59,H$1:H58)+SUMIF($F60:$F$490,$D59,H60:H$490),0))*'[1]Processer - data'!H59,"")*IF($C59&lt;&gt;"",IF($F59="Halm",Landbrug!C$16*Landbrug!C$17,IF(LEFT($D59,5)="Areal", IF($G59="Ton",Landbrug!C$18,1),1)),1)*IF($F59="Grøntsager",IF($A59="Grøntsager i drivhus",Landbrug!C$51,1-Landbrug!C$51),1)</f>
        <v>#REF!</v>
      </c>
      <c r="I59" s="303" t="e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input'!$A$3:$A$230,$A$1)),IF(VLOOKUP($A59,[1]!Table1[#All],2,FALSE)="Resultat",SUMIF($F$1:$F58,$D59,I$1:I58)+SUMIF($F60:$F$490,$D59,I60:I$490),0))*'[1]Processer - data'!I59,"")*IF($C59&lt;&gt;"",IF($F59="Halm",Landbrug!D$16*Landbrug!D$17,IF(LEFT($D59,5)="Areal", IF($G59="Ton",Landbrug!D$18,1),1)),1)*IF($F59="Grøntsager",IF($A59="Grøntsager i drivhus",Landbrug!D$51,1-Landbrug!D$51),1)</f>
        <v>#REF!</v>
      </c>
      <c r="J59" s="304" t="e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input'!$A$3:$A$230,$A$1)),IF(VLOOKUP($A59,[1]!Table1[#All],2,FALSE)="Resultat",SUMIF($F$1:$F58,$D59,J$1:J58)+SUMIF($F60:$F$490,$D59,J60:J$490),0))*'[1]Processer - data'!J59,"")*IF($C59&lt;&gt;"",IF($F59="Halm",Landbrug!E$16*Landbrug!E$17,IF(LEFT($D59,5)="Areal", IF($G59="Ton",Landbrug!E$18,1),1)),1)*IF($F59="Grøntsager",IF($A59="Grøntsager i drivhus",Landbrug!E$51,1-Landbrug!E$51),1)</f>
        <v>#REF!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Skovtype4</v>
      </c>
      <c r="D60" t="str">
        <f>IF('[1]Processer - data'!D60&lt;&gt;"",'[1]Processer - data'!D60,"")</f>
        <v>Areal-skovtype4-40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302" t="e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input'!$A$3:$A$230,$A$1)),IF(VLOOKUP($A60,[1]!Table1[#All],2,FALSE)="Resultat",SUMIF($F$1:$F59,$D60,H$1:H59)+SUMIF($F61:$F$490,$D60,H61:H$490),0))*'[1]Processer - data'!H60,"")*IF($C60&lt;&gt;"",IF($F60="Halm",Landbrug!C$16*Landbrug!C$17,IF(LEFT($D60,5)="Areal", IF($G60="Ton",Landbrug!C$18,1),1)),1)*IF($F60="Grøntsager",IF($A60="Grøntsager i drivhus",Landbrug!C$51,1-Landbrug!C$51),1)</f>
        <v>#REF!</v>
      </c>
      <c r="I60" s="303" t="e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input'!$A$3:$A$230,$A$1)),IF(VLOOKUP($A60,[1]!Table1[#All],2,FALSE)="Resultat",SUMIF($F$1:$F59,$D60,I$1:I59)+SUMIF($F61:$F$490,$D60,I61:I$490),0))*'[1]Processer - data'!I60,"")*IF($C60&lt;&gt;"",IF($F60="Halm",Landbrug!D$16*Landbrug!D$17,IF(LEFT($D60,5)="Areal", IF($G60="Ton",Landbrug!D$18,1),1)),1)*IF($F60="Grøntsager",IF($A60="Grøntsager i drivhus",Landbrug!D$51,1-Landbrug!D$51),1)</f>
        <v>#REF!</v>
      </c>
      <c r="J60" s="304" t="e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input'!$A$3:$A$230,$A$1)),IF(VLOOKUP($A60,[1]!Table1[#All],2,FALSE)="Resultat",SUMIF($F$1:$F59,$D60,J$1:J59)+SUMIF($F61:$F$490,$D60,J61:J$490),0))*'[1]Processer - data'!J60,"")*IF($C60&lt;&gt;"",IF($F60="Halm",Landbrug!E$16*Landbrug!E$17,IF(LEFT($D60,5)="Areal", IF($G60="Ton",Landbrug!E$18,1),1)),1)*IF($F60="Grøntsager",IF($A60="Grøntsager i drivhus",Landbrug!E$51,1-Landbrug!E$51),1)</f>
        <v>#REF!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Skovtype4</v>
      </c>
      <c r="D61" t="str">
        <f>IF('[1]Processer - data'!D61&lt;&gt;"",'[1]Processer - data'!D61,"")</f>
        <v>Areal-skovtype4-40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302" t="e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input'!$A$3:$A$230,$A$1)),IF(VLOOKUP($A61,[1]!Table1[#All],2,FALSE)="Resultat",SUMIF($F$1:$F60,$D61,H$1:H60)+SUMIF($F62:$F$490,$D61,H62:H$490),0))*'[1]Processer - data'!H61,"")*IF($C61&lt;&gt;"",IF($F61="Halm",Landbrug!C$16*Landbrug!C$17,IF(LEFT($D61,5)="Areal", IF($G61="Ton",Landbrug!C$18,1),1)),1)*IF($F61="Grøntsager",IF($A61="Grøntsager i drivhus",Landbrug!C$51,1-Landbrug!C$51),1)</f>
        <v>#REF!</v>
      </c>
      <c r="I61" s="303" t="e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input'!$A$3:$A$230,$A$1)),IF(VLOOKUP($A61,[1]!Table1[#All],2,FALSE)="Resultat",SUMIF($F$1:$F60,$D61,I$1:I60)+SUMIF($F62:$F$490,$D61,I62:I$490),0))*'[1]Processer - data'!I61,"")*IF($C61&lt;&gt;"",IF($F61="Halm",Landbrug!D$16*Landbrug!D$17,IF(LEFT($D61,5)="Areal", IF($G61="Ton",Landbrug!D$18,1),1)),1)*IF($F61="Grøntsager",IF($A61="Grøntsager i drivhus",Landbrug!D$51,1-Landbrug!D$51),1)</f>
        <v>#REF!</v>
      </c>
      <c r="J61" s="304" t="e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input'!$A$3:$A$230,$A$1)),IF(VLOOKUP($A61,[1]!Table1[#All],2,FALSE)="Resultat",SUMIF($F$1:$F60,$D61,J$1:J60)+SUMIF($F62:$F$490,$D61,J62:J$490),0))*'[1]Processer - data'!J61,"")*IF($C61&lt;&gt;"",IF($F61="Halm",Landbrug!E$16*Landbrug!E$17,IF(LEFT($D61,5)="Areal", IF($G61="Ton",Landbrug!E$18,1),1)),1)*IF($F61="Grøntsager",IF($A61="Grøntsager i drivhus",Landbrug!E$51,1-Landbrug!E$51),1)</f>
        <v>#REF!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Skovtype5</v>
      </c>
      <c r="D62" t="str">
        <f>IF('[1]Processer - data'!D62&lt;&gt;"",'[1]Processer - data'!D62,"")</f>
        <v>Areal-skovtype5-10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Træer</v>
      </c>
      <c r="G62" t="str">
        <f>IF('[1]Processer - data'!G62&lt;&gt;"",'[1]Processer - data'!G62,"")</f>
        <v>m3</v>
      </c>
      <c r="H62" s="302" t="e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input'!$A$3:$A$230,$A$1)),IF(VLOOKUP($A62,[1]!Table1[#All],2,FALSE)="Resultat",SUMIF($F$1:$F61,$D62,H$1:H61)+SUMIF($F63:$F$490,$D62,H63:H$490),0))*'[1]Processer - data'!H62,"")*IF($C62&lt;&gt;"",IF($F62="Halm",Landbrug!C$16*Landbrug!C$17,IF(LEFT($D62,5)="Areal", IF($G62="Ton",Landbrug!C$18,1),1)),1)*IF($F62="Grøntsager",IF($A62="Grøntsager i drivhus",Landbrug!C$51,1-Landbrug!C$51),1)</f>
        <v>#REF!</v>
      </c>
      <c r="I62" s="303" t="e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input'!$A$3:$A$230,$A$1)),IF(VLOOKUP($A62,[1]!Table1[#All],2,FALSE)="Resultat",SUMIF($F$1:$F61,$D62,I$1:I61)+SUMIF($F63:$F$490,$D62,I63:I$490),0))*'[1]Processer - data'!I62,"")*IF($C62&lt;&gt;"",IF($F62="Halm",Landbrug!D$16*Landbrug!D$17,IF(LEFT($D62,5)="Areal", IF($G62="Ton",Landbrug!D$18,1),1)),1)*IF($F62="Grøntsager",IF($A62="Grøntsager i drivhus",Landbrug!D$51,1-Landbrug!D$51),1)</f>
        <v>#REF!</v>
      </c>
      <c r="J62" s="304" t="e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input'!$A$3:$A$230,$A$1)),IF(VLOOKUP($A62,[1]!Table1[#All],2,FALSE)="Resultat",SUMIF($F$1:$F61,$D62,J$1:J61)+SUMIF($F63:$F$490,$D62,J63:J$490),0))*'[1]Processer - data'!J62,"")*IF($C62&lt;&gt;"",IF($F62="Halm",Landbrug!E$16*Landbrug!E$17,IF(LEFT($D62,5)="Areal", IF($G62="Ton",Landbrug!E$18,1),1)),1)*IF($F62="Grøntsager",IF($A62="Grøntsager i drivhus",Landbrug!E$51,1-Landbrug!E$51),1)</f>
        <v>#REF!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Skovtype5</v>
      </c>
      <c r="D63" t="str">
        <f>IF('[1]Processer - data'!D63&lt;&gt;"",'[1]Processer - data'!D63,"")</f>
        <v>Areal-skovtype5-10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 til energi</v>
      </c>
      <c r="G63" t="str">
        <f>IF('[1]Processer - data'!G63&lt;&gt;"",'[1]Processer - data'!G63,"")</f>
        <v>m3</v>
      </c>
      <c r="H63" s="302" t="e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input'!$A$3:$A$230,$A$1)),IF(VLOOKUP($A63,[1]!Table1[#All],2,FALSE)="Resultat",SUMIF($F$1:$F62,$D63,H$1:H62)+SUMIF($F64:$F$490,$D63,H64:H$490),0))*'[1]Processer - data'!H63,"")*IF($C63&lt;&gt;"",IF($F63="Halm",Landbrug!C$16*Landbrug!C$17,IF(LEFT($D63,5)="Areal", IF($G63="Ton",Landbrug!C$18,1),1)),1)*IF($F63="Grøntsager",IF($A63="Grøntsager i drivhus",Landbrug!C$51,1-Landbrug!C$51),1)</f>
        <v>#REF!</v>
      </c>
      <c r="I63" s="303" t="e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input'!$A$3:$A$230,$A$1)),IF(VLOOKUP($A63,[1]!Table1[#All],2,FALSE)="Resultat",SUMIF($F$1:$F62,$D63,I$1:I62)+SUMIF($F64:$F$490,$D63,I64:I$490),0))*'[1]Processer - data'!I63,"")*IF($C63&lt;&gt;"",IF($F63="Halm",Landbrug!D$16*Landbrug!D$17,IF(LEFT($D63,5)="Areal", IF($G63="Ton",Landbrug!D$18,1),1)),1)*IF($F63="Grøntsager",IF($A63="Grøntsager i drivhus",Landbrug!D$51,1-Landbrug!D$51),1)</f>
        <v>#REF!</v>
      </c>
      <c r="J63" s="304" t="e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input'!$A$3:$A$230,$A$1)),IF(VLOOKUP($A63,[1]!Table1[#All],2,FALSE)="Resultat",SUMIF($F$1:$F62,$D63,J$1:J62)+SUMIF($F64:$F$490,$D63,J64:J$490),0))*'[1]Processer - data'!J63,"")*IF($C63&lt;&gt;"",IF($F63="Halm",Landbrug!E$16*Landbrug!E$17,IF(LEFT($D63,5)="Areal", IF($G63="Ton",Landbrug!E$18,1),1)),1)*IF($F63="Grøntsager",IF($A63="Grøntsager i drivhus",Landbrug!E$51,1-Landbrug!E$51),1)</f>
        <v>#REF!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Skovtype5</v>
      </c>
      <c r="D64" t="str">
        <f>IF('[1]Processer - data'!D64&lt;&gt;"",'[1]Processer - data'!D64,"")</f>
        <v>Areal-skovtype5-10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CO2 - atmosfære</v>
      </c>
      <c r="G64" t="str">
        <f>IF('[1]Processer - data'!G64&lt;&gt;"",'[1]Processer - data'!G64,"")</f>
        <v>t CO2-ækvivalenter</v>
      </c>
      <c r="H64" s="302" t="e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input'!$A$3:$A$230,$A$1)),IF(VLOOKUP($A64,[1]!Table1[#All],2,FALSE)="Resultat",SUMIF($F$1:$F63,$D64,H$1:H63)+SUMIF($F65:$F$490,$D64,H65:H$490),0))*'[1]Processer - data'!H64,"")*IF($C64&lt;&gt;"",IF($F64="Halm",Landbrug!C$16*Landbrug!C$17,IF(LEFT($D64,5)="Areal", IF($G64="Ton",Landbrug!C$18,1),1)),1)*IF($F64="Grøntsager",IF($A64="Grøntsager i drivhus",Landbrug!C$51,1-Landbrug!C$51),1)</f>
        <v>#REF!</v>
      </c>
      <c r="I64" s="303" t="e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input'!$A$3:$A$230,$A$1)),IF(VLOOKUP($A64,[1]!Table1[#All],2,FALSE)="Resultat",SUMIF($F$1:$F63,$D64,I$1:I63)+SUMIF($F65:$F$490,$D64,I65:I$490),0))*'[1]Processer - data'!I64,"")*IF($C64&lt;&gt;"",IF($F64="Halm",Landbrug!D$16*Landbrug!D$17,IF(LEFT($D64,5)="Areal", IF($G64="Ton",Landbrug!D$18,1),1)),1)*IF($F64="Grøntsager",IF($A64="Grøntsager i drivhus",Landbrug!D$51,1-Landbrug!D$51),1)</f>
        <v>#REF!</v>
      </c>
      <c r="J64" s="304" t="e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input'!$A$3:$A$230,$A$1)),IF(VLOOKUP($A64,[1]!Table1[#All],2,FALSE)="Resultat",SUMIF($F$1:$F63,$D64,J$1:J63)+SUMIF($F65:$F$490,$D64,J65:J$490),0))*'[1]Processer - data'!J64,"")*IF($C64&lt;&gt;"",IF($F64="Halm",Landbrug!E$16*Landbrug!E$17,IF(LEFT($D64,5)="Areal", IF($G64="Ton",Landbrug!E$18,1),1)),1)*IF($F64="Grøntsager",IF($A64="Grøntsager i drivhus",Landbrug!E$51,1-Landbrug!E$51),1)</f>
        <v>#REF!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Skovtype5</v>
      </c>
      <c r="D65" t="str">
        <f>IF('[1]Processer - data'!D65&lt;&gt;"",'[1]Processer - data'!D65,"")</f>
        <v>Areal-skovtype5-20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Træer</v>
      </c>
      <c r="G65" t="str">
        <f>IF('[1]Processer - data'!G65&lt;&gt;"",'[1]Processer - data'!G65,"")</f>
        <v>m3</v>
      </c>
      <c r="H65" s="302" t="e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input'!$A$3:$A$230,$A$1)),IF(VLOOKUP($A65,[1]!Table1[#All],2,FALSE)="Resultat",SUMIF($F$1:$F64,$D65,H$1:H64)+SUMIF($F66:$F$490,$D65,H66:H$490),0))*'[1]Processer - data'!H65,"")*IF($C65&lt;&gt;"",IF($F65="Halm",Landbrug!C$16*Landbrug!C$17,IF(LEFT($D65,5)="Areal", IF($G65="Ton",Landbrug!C$18,1),1)),1)*IF($F65="Grøntsager",IF($A65="Grøntsager i drivhus",Landbrug!C$51,1-Landbrug!C$51),1)</f>
        <v>#REF!</v>
      </c>
      <c r="I65" s="303" t="e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input'!$A$3:$A$230,$A$1)),IF(VLOOKUP($A65,[1]!Table1[#All],2,FALSE)="Resultat",SUMIF($F$1:$F64,$D65,I$1:I64)+SUMIF($F66:$F$490,$D65,I66:I$490),0))*'[1]Processer - data'!I65,"")*IF($C65&lt;&gt;"",IF($F65="Halm",Landbrug!D$16*Landbrug!D$17,IF(LEFT($D65,5)="Areal", IF($G65="Ton",Landbrug!D$18,1),1)),1)*IF($F65="Grøntsager",IF($A65="Grøntsager i drivhus",Landbrug!D$51,1-Landbrug!D$51),1)</f>
        <v>#REF!</v>
      </c>
      <c r="J65" s="304" t="e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input'!$A$3:$A$230,$A$1)),IF(VLOOKUP($A65,[1]!Table1[#All],2,FALSE)="Resultat",SUMIF($F$1:$F64,$D65,J$1:J64)+SUMIF($F66:$F$490,$D65,J66:J$490),0))*'[1]Processer - data'!J65,"")*IF($C65&lt;&gt;"",IF($F65="Halm",Landbrug!E$16*Landbrug!E$17,IF(LEFT($D65,5)="Areal", IF($G65="Ton",Landbrug!E$18,1),1)),1)*IF($F65="Grøntsager",IF($A65="Grøntsager i drivhus",Landbrug!E$51,1-Landbrug!E$51),1)</f>
        <v>#REF!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Skovtype5</v>
      </c>
      <c r="D66" t="str">
        <f>IF('[1]Processer - data'!D66&lt;&gt;"",'[1]Processer - data'!D66,"")</f>
        <v>Areal-skovtype5-20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Træ til energi</v>
      </c>
      <c r="G66" t="str">
        <f>IF('[1]Processer - data'!G66&lt;&gt;"",'[1]Processer - data'!G66,"")</f>
        <v>m3</v>
      </c>
      <c r="H66" s="302" t="e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input'!$A$3:$A$230,$A$1)),IF(VLOOKUP($A66,[1]!Table1[#All],2,FALSE)="Resultat",SUMIF($F$1:$F65,$D66,H$1:H65)+SUMIF($F67:$F$490,$D66,H67:H$490),0))*'[1]Processer - data'!H66,"")*IF($C66&lt;&gt;"",IF($F66="Halm",Landbrug!C$16*Landbrug!C$17,IF(LEFT($D66,5)="Areal", IF($G66="Ton",Landbrug!C$18,1),1)),1)*IF($F66="Grøntsager",IF($A66="Grøntsager i drivhus",Landbrug!C$51,1-Landbrug!C$51),1)</f>
        <v>#REF!</v>
      </c>
      <c r="I66" s="303" t="e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input'!$A$3:$A$230,$A$1)),IF(VLOOKUP($A66,[1]!Table1[#All],2,FALSE)="Resultat",SUMIF($F$1:$F65,$D66,I$1:I65)+SUMIF($F67:$F$490,$D66,I67:I$490),0))*'[1]Processer - data'!I66,"")*IF($C66&lt;&gt;"",IF($F66="Halm",Landbrug!D$16*Landbrug!D$17,IF(LEFT($D66,5)="Areal", IF($G66="Ton",Landbrug!D$18,1),1)),1)*IF($F66="Grøntsager",IF($A66="Grøntsager i drivhus",Landbrug!D$51,1-Landbrug!D$51),1)</f>
        <v>#REF!</v>
      </c>
      <c r="J66" s="304" t="e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input'!$A$3:$A$230,$A$1)),IF(VLOOKUP($A66,[1]!Table1[#All],2,FALSE)="Resultat",SUMIF($F$1:$F65,$D66,J$1:J65)+SUMIF($F67:$F$490,$D66,J67:J$490),0))*'[1]Processer - data'!J66,"")*IF($C66&lt;&gt;"",IF($F66="Halm",Landbrug!E$16*Landbrug!E$17,IF(LEFT($D66,5)="Areal", IF($G66="Ton",Landbrug!E$18,1),1)),1)*IF($F66="Grøntsager",IF($A66="Grøntsager i drivhus",Landbrug!E$51,1-Landbrug!E$51),1)</f>
        <v>#REF!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Skovtype5</v>
      </c>
      <c r="D67" t="str">
        <f>IF('[1]Processer - data'!D67&lt;&gt;"",'[1]Processer - data'!D67,"")</f>
        <v>Areal-skovtype5-20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CO2 - atmosfære</v>
      </c>
      <c r="G67" t="str">
        <f>IF('[1]Processer - data'!G67&lt;&gt;"",'[1]Processer - data'!G67,"")</f>
        <v>t CO2-ækvivalenter</v>
      </c>
      <c r="H67" s="302" t="e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input'!$A$3:$A$230,$A$1)),IF(VLOOKUP($A67,[1]!Table1[#All],2,FALSE)="Resultat",SUMIF($F$1:$F66,$D67,H$1:H66)+SUMIF($F68:$F$490,$D67,H68:H$490),0))*'[1]Processer - data'!H67,"")*IF($C67&lt;&gt;"",IF($F67="Halm",Landbrug!C$16*Landbrug!C$17,IF(LEFT($D67,5)="Areal", IF($G67="Ton",Landbrug!C$18,1),1)),1)*IF($F67="Grøntsager",IF($A67="Grøntsager i drivhus",Landbrug!C$51,1-Landbrug!C$51),1)</f>
        <v>#REF!</v>
      </c>
      <c r="I67" s="303" t="e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input'!$A$3:$A$230,$A$1)),IF(VLOOKUP($A67,[1]!Table1[#All],2,FALSE)="Resultat",SUMIF($F$1:$F66,$D67,I$1:I66)+SUMIF($F68:$F$490,$D67,I68:I$490),0))*'[1]Processer - data'!I67,"")*IF($C67&lt;&gt;"",IF($F67="Halm",Landbrug!D$16*Landbrug!D$17,IF(LEFT($D67,5)="Areal", IF($G67="Ton",Landbrug!D$18,1),1)),1)*IF($F67="Grøntsager",IF($A67="Grøntsager i drivhus",Landbrug!D$51,1-Landbrug!D$51),1)</f>
        <v>#REF!</v>
      </c>
      <c r="J67" s="304" t="e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input'!$A$3:$A$230,$A$1)),IF(VLOOKUP($A67,[1]!Table1[#All],2,FALSE)="Resultat",SUMIF($F$1:$F66,$D67,J$1:J66)+SUMIF($F68:$F$490,$D67,J68:J$490),0))*'[1]Processer - data'!J67,"")*IF($C67&lt;&gt;"",IF($F67="Halm",Landbrug!E$16*Landbrug!E$17,IF(LEFT($D67,5)="Areal", IF($G67="Ton",Landbrug!E$18,1),1)),1)*IF($F67="Grøntsager",IF($A67="Grøntsager i drivhus",Landbrug!E$51,1-Landbrug!E$51),1)</f>
        <v>#REF!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Skovtype5</v>
      </c>
      <c r="D68" t="str">
        <f>IF('[1]Processer - data'!D68&lt;&gt;"",'[1]Processer - data'!D68,"")</f>
        <v>Areal-skovtype5-30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Træer</v>
      </c>
      <c r="G68" t="str">
        <f>IF('[1]Processer - data'!G68&lt;&gt;"",'[1]Processer - data'!G68,"")</f>
        <v>m3</v>
      </c>
      <c r="H68" s="302" t="e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input'!$A$3:$A$230,$A$1)),IF(VLOOKUP($A68,[1]!Table1[#All],2,FALSE)="Resultat",SUMIF($F$1:$F67,$D68,H$1:H67)+SUMIF($F69:$F$490,$D68,H69:H$490),0))*'[1]Processer - data'!H68,"")*IF($C68&lt;&gt;"",IF($F68="Halm",Landbrug!C$16*Landbrug!C$17,IF(LEFT($D68,5)="Areal", IF($G68="Ton",Landbrug!C$18,1),1)),1)*IF($F68="Grøntsager",IF($A68="Grøntsager i drivhus",Landbrug!C$51,1-Landbrug!C$51),1)</f>
        <v>#REF!</v>
      </c>
      <c r="I68" s="303" t="e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input'!$A$3:$A$230,$A$1)),IF(VLOOKUP($A68,[1]!Table1[#All],2,FALSE)="Resultat",SUMIF($F$1:$F67,$D68,I$1:I67)+SUMIF($F69:$F$490,$D68,I69:I$490),0))*'[1]Processer - data'!I68,"")*IF($C68&lt;&gt;"",IF($F68="Halm",Landbrug!D$16*Landbrug!D$17,IF(LEFT($D68,5)="Areal", IF($G68="Ton",Landbrug!D$18,1),1)),1)*IF($F68="Grøntsager",IF($A68="Grøntsager i drivhus",Landbrug!D$51,1-Landbrug!D$51),1)</f>
        <v>#REF!</v>
      </c>
      <c r="J68" s="304" t="e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input'!$A$3:$A$230,$A$1)),IF(VLOOKUP($A68,[1]!Table1[#All],2,FALSE)="Resultat",SUMIF($F$1:$F67,$D68,J$1:J67)+SUMIF($F69:$F$490,$D68,J69:J$490),0))*'[1]Processer - data'!J68,"")*IF($C68&lt;&gt;"",IF($F68="Halm",Landbrug!E$16*Landbrug!E$17,IF(LEFT($D68,5)="Areal", IF($G68="Ton",Landbrug!E$18,1),1)),1)*IF($F68="Grøntsager",IF($A68="Grøntsager i drivhus",Landbrug!E$51,1-Landbrug!E$51),1)</f>
        <v>#REF!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Skovtype5</v>
      </c>
      <c r="D69" t="str">
        <f>IF('[1]Processer - data'!D69&lt;&gt;"",'[1]Processer - data'!D69,"")</f>
        <v>Areal-skovtype5-30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Træ til energi</v>
      </c>
      <c r="G69" t="str">
        <f>IF('[1]Processer - data'!G69&lt;&gt;"",'[1]Processer - data'!G69,"")</f>
        <v>m3</v>
      </c>
      <c r="H69" s="302" t="e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input'!$A$3:$A$230,$A$1)),IF(VLOOKUP($A69,[1]!Table1[#All],2,FALSE)="Resultat",SUMIF($F$1:$F68,$D69,H$1:H68)+SUMIF($F70:$F$490,$D69,H70:H$490),0))*'[1]Processer - data'!H69,"")*IF($C69&lt;&gt;"",IF($F69="Halm",Landbrug!C$16*Landbrug!C$17,IF(LEFT($D69,5)="Areal", IF($G69="Ton",Landbrug!C$18,1),1)),1)*IF($F69="Grøntsager",IF($A69="Grøntsager i drivhus",Landbrug!C$51,1-Landbrug!C$51),1)</f>
        <v>#REF!</v>
      </c>
      <c r="I69" s="303" t="e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input'!$A$3:$A$230,$A$1)),IF(VLOOKUP($A69,[1]!Table1[#All],2,FALSE)="Resultat",SUMIF($F$1:$F68,$D69,I$1:I68)+SUMIF($F70:$F$490,$D69,I70:I$490),0))*'[1]Processer - data'!I69,"")*IF($C69&lt;&gt;"",IF($F69="Halm",Landbrug!D$16*Landbrug!D$17,IF(LEFT($D69,5)="Areal", IF($G69="Ton",Landbrug!D$18,1),1)),1)*IF($F69="Grøntsager",IF($A69="Grøntsager i drivhus",Landbrug!D$51,1-Landbrug!D$51),1)</f>
        <v>#REF!</v>
      </c>
      <c r="J69" s="304" t="e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input'!$A$3:$A$230,$A$1)),IF(VLOOKUP($A69,[1]!Table1[#All],2,FALSE)="Resultat",SUMIF($F$1:$F68,$D69,J$1:J68)+SUMIF($F70:$F$490,$D69,J70:J$490),0))*'[1]Processer - data'!J69,"")*IF($C69&lt;&gt;"",IF($F69="Halm",Landbrug!E$16*Landbrug!E$17,IF(LEFT($D69,5)="Areal", IF($G69="Ton",Landbrug!E$18,1),1)),1)*IF($F69="Grøntsager",IF($A69="Grøntsager i drivhus",Landbrug!E$51,1-Landbrug!E$51),1)</f>
        <v>#REF!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Skovtype5</v>
      </c>
      <c r="D70" t="str">
        <f>IF('[1]Processer - data'!D70&lt;&gt;"",'[1]Processer - data'!D70,"")</f>
        <v>Areal-skovtype5-30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atmosfære</v>
      </c>
      <c r="G70" t="str">
        <f>IF('[1]Processer - data'!G70&lt;&gt;"",'[1]Processer - data'!G70,"")</f>
        <v>t CO2-ækvivalenter</v>
      </c>
      <c r="H70" s="302" t="e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input'!$A$3:$A$230,$A$1)),IF(VLOOKUP($A70,[1]!Table1[#All],2,FALSE)="Resultat",SUMIF($F$1:$F69,$D70,H$1:H69)+SUMIF($F71:$F$490,$D70,H71:H$490),0))*'[1]Processer - data'!H70,"")*IF($C70&lt;&gt;"",IF($F70="Halm",Landbrug!C$16*Landbrug!C$17,IF(LEFT($D70,5)="Areal", IF($G70="Ton",Landbrug!C$18,1),1)),1)*IF($F70="Grøntsager",IF($A70="Grøntsager i drivhus",Landbrug!C$51,1-Landbrug!C$51),1)</f>
        <v>#REF!</v>
      </c>
      <c r="I70" s="303" t="e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input'!$A$3:$A$230,$A$1)),IF(VLOOKUP($A70,[1]!Table1[#All],2,FALSE)="Resultat",SUMIF($F$1:$F69,$D70,I$1:I69)+SUMIF($F71:$F$490,$D70,I71:I$490),0))*'[1]Processer - data'!I70,"")*IF($C70&lt;&gt;"",IF($F70="Halm",Landbrug!D$16*Landbrug!D$17,IF(LEFT($D70,5)="Areal", IF($G70="Ton",Landbrug!D$18,1),1)),1)*IF($F70="Grøntsager",IF($A70="Grøntsager i drivhus",Landbrug!D$51,1-Landbrug!D$51),1)</f>
        <v>#REF!</v>
      </c>
      <c r="J70" s="304" t="e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input'!$A$3:$A$230,$A$1)),IF(VLOOKUP($A70,[1]!Table1[#All],2,FALSE)="Resultat",SUMIF($F$1:$F69,$D70,J$1:J69)+SUMIF($F71:$F$490,$D70,J71:J$490),0))*'[1]Processer - data'!J70,"")*IF($C70&lt;&gt;"",IF($F70="Halm",Landbrug!E$16*Landbrug!E$17,IF(LEFT($D70,5)="Areal", IF($G70="Ton",Landbrug!E$18,1),1)),1)*IF($F70="Grøntsager",IF($A70="Grøntsager i drivhus",Landbrug!E$51,1-Landbrug!E$51),1)</f>
        <v>#REF!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Skovtype5</v>
      </c>
      <c r="D71" t="str">
        <f>IF('[1]Processer - data'!D71&lt;&gt;"",'[1]Processer - data'!D71,"")</f>
        <v>Areal-skovtype5-40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302" t="e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input'!$A$3:$A$230,$A$1)),IF(VLOOKUP($A71,[1]!Table1[#All],2,FALSE)="Resultat",SUMIF($F$1:$F70,$D71,H$1:H70)+SUMIF($F72:$F$490,$D71,H72:H$490),0))*'[1]Processer - data'!H71,"")*IF($C71&lt;&gt;"",IF($F71="Halm",Landbrug!C$16*Landbrug!C$17,IF(LEFT($D71,5)="Areal", IF($G71="Ton",Landbrug!C$18,1),1)),1)*IF($F71="Grøntsager",IF($A71="Grøntsager i drivhus",Landbrug!C$51,1-Landbrug!C$51),1)</f>
        <v>#REF!</v>
      </c>
      <c r="I71" s="303" t="e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input'!$A$3:$A$230,$A$1)),IF(VLOOKUP($A71,[1]!Table1[#All],2,FALSE)="Resultat",SUMIF($F$1:$F70,$D71,I$1:I70)+SUMIF($F72:$F$490,$D71,I72:I$490),0))*'[1]Processer - data'!I71,"")*IF($C71&lt;&gt;"",IF($F71="Halm",Landbrug!D$16*Landbrug!D$17,IF(LEFT($D71,5)="Areal", IF($G71="Ton",Landbrug!D$18,1),1)),1)*IF($F71="Grøntsager",IF($A71="Grøntsager i drivhus",Landbrug!D$51,1-Landbrug!D$51),1)</f>
        <v>#REF!</v>
      </c>
      <c r="J71" s="304" t="e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input'!$A$3:$A$230,$A$1)),IF(VLOOKUP($A71,[1]!Table1[#All],2,FALSE)="Resultat",SUMIF($F$1:$F70,$D71,J$1:J70)+SUMIF($F72:$F$490,$D71,J72:J$490),0))*'[1]Processer - data'!J71,"")*IF($C71&lt;&gt;"",IF($F71="Halm",Landbrug!E$16*Landbrug!E$17,IF(LEFT($D71,5)="Areal", IF($G71="Ton",Landbrug!E$18,1),1)),1)*IF($F71="Grøntsager",IF($A71="Grøntsager i drivhus",Landbrug!E$51,1-Landbrug!E$51),1)</f>
        <v>#REF!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Skovtype5</v>
      </c>
      <c r="D72" t="str">
        <f>IF('[1]Processer - data'!D72&lt;&gt;"",'[1]Processer - data'!D72,"")</f>
        <v>Areal-skovtype5-40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302" t="e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input'!$A$3:$A$230,$A$1)),IF(VLOOKUP($A72,[1]!Table1[#All],2,FALSE)="Resultat",SUMIF($F$1:$F71,$D72,H$1:H71)+SUMIF($F73:$F$490,$D72,H73:H$490),0))*'[1]Processer - data'!H72,"")*IF($C72&lt;&gt;"",IF($F72="Halm",Landbrug!C$16*Landbrug!C$17,IF(LEFT($D72,5)="Areal", IF($G72="Ton",Landbrug!C$18,1),1)),1)*IF($F72="Grøntsager",IF($A72="Grøntsager i drivhus",Landbrug!C$51,1-Landbrug!C$51),1)</f>
        <v>#REF!</v>
      </c>
      <c r="I72" s="303" t="e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input'!$A$3:$A$230,$A$1)),IF(VLOOKUP($A72,[1]!Table1[#All],2,FALSE)="Resultat",SUMIF($F$1:$F71,$D72,I$1:I71)+SUMIF($F73:$F$490,$D72,I73:I$490),0))*'[1]Processer - data'!I72,"")*IF($C72&lt;&gt;"",IF($F72="Halm",Landbrug!D$16*Landbrug!D$17,IF(LEFT($D72,5)="Areal", IF($G72="Ton",Landbrug!D$18,1),1)),1)*IF($F72="Grøntsager",IF($A72="Grøntsager i drivhus",Landbrug!D$51,1-Landbrug!D$51),1)</f>
        <v>#REF!</v>
      </c>
      <c r="J72" s="304" t="e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input'!$A$3:$A$230,$A$1)),IF(VLOOKUP($A72,[1]!Table1[#All],2,FALSE)="Resultat",SUMIF($F$1:$F71,$D72,J$1:J71)+SUMIF($F73:$F$490,$D72,J73:J$490),0))*'[1]Processer - data'!J72,"")*IF($C72&lt;&gt;"",IF($F72="Halm",Landbrug!E$16*Landbrug!E$17,IF(LEFT($D72,5)="Areal", IF($G72="Ton",Landbrug!E$18,1),1)),1)*IF($F72="Grøntsager",IF($A72="Grøntsager i drivhus",Landbrug!E$51,1-Landbrug!E$51),1)</f>
        <v>#REF!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Skovtype5</v>
      </c>
      <c r="D73" t="str">
        <f>IF('[1]Processer - data'!D73&lt;&gt;"",'[1]Processer - data'!D73,"")</f>
        <v>Areal-skovtype5-40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302" t="e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input'!$A$3:$A$230,$A$1)),IF(VLOOKUP($A73,[1]!Table1[#All],2,FALSE)="Resultat",SUMIF($F$1:$F72,$D73,H$1:H72)+SUMIF($F74:$F$490,$D73,H74:H$490),0))*'[1]Processer - data'!H73,"")*IF($C73&lt;&gt;"",IF($F73="Halm",Landbrug!C$16*Landbrug!C$17,IF(LEFT($D73,5)="Areal", IF($G73="Ton",Landbrug!C$18,1),1)),1)*IF($F73="Grøntsager",IF($A73="Grøntsager i drivhus",Landbrug!C$51,1-Landbrug!C$51),1)</f>
        <v>#REF!</v>
      </c>
      <c r="I73" s="303" t="e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input'!$A$3:$A$230,$A$1)),IF(VLOOKUP($A73,[1]!Table1[#All],2,FALSE)="Resultat",SUMIF($F$1:$F72,$D73,I$1:I72)+SUMIF($F74:$F$490,$D73,I74:I$490),0))*'[1]Processer - data'!I73,"")*IF($C73&lt;&gt;"",IF($F73="Halm",Landbrug!D$16*Landbrug!D$17,IF(LEFT($D73,5)="Areal", IF($G73="Ton",Landbrug!D$18,1),1)),1)*IF($F73="Grøntsager",IF($A73="Grøntsager i drivhus",Landbrug!D$51,1-Landbrug!D$51),1)</f>
        <v>#REF!</v>
      </c>
      <c r="J73" s="304" t="e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input'!$A$3:$A$230,$A$1)),IF(VLOOKUP($A73,[1]!Table1[#All],2,FALSE)="Resultat",SUMIF($F$1:$F72,$D73,J$1:J72)+SUMIF($F74:$F$490,$D73,J74:J$490),0))*'[1]Processer - data'!J73,"")*IF($C73&lt;&gt;"",IF($F73="Halm",Landbrug!E$16*Landbrug!E$17,IF(LEFT($D73,5)="Areal", IF($G73="Ton",Landbrug!E$18,1),1)),1)*IF($F73="Grøntsager",IF($A73="Grøntsager i drivhus",Landbrug!E$51,1-Landbrug!E$51),1)</f>
        <v>#REF!</v>
      </c>
    </row>
    <row r="74" spans="1:10" x14ac:dyDescent="0.25">
      <c r="A74" t="str">
        <f>IF('[1]Processer - data'!A74&lt;&gt;"",'[1]Processer - data'!A74,"")</f>
        <v>Grisestald</v>
      </c>
      <c r="B74" t="str">
        <f>IF('[1]Processer - data'!B74&lt;&gt;"",'[1]Processer - data'!B74,"")</f>
        <v>Konventionel</v>
      </c>
      <c r="C74" t="str">
        <f>IF('[1]Processer - data'!C74&lt;&gt;"",'[1]Processer - data'!C74,"")</f>
        <v/>
      </c>
      <c r="D74" t="str">
        <f>IF('[1]Processer - data'!D74&lt;&gt;"",'[1]Processer - data'!D74,"")</f>
        <v>Svin</v>
      </c>
      <c r="E74" t="str">
        <f>IF('[1]Processer - data'!E74&lt;&gt;"",'[1]Processer - data'!E74,"")</f>
        <v>Antal</v>
      </c>
      <c r="F74" t="str">
        <f>IF('[1]Processer - data'!F74&lt;&gt;"",'[1]Processer - data'!F74,"")</f>
        <v>Slagtesvin</v>
      </c>
      <c r="G74" t="str">
        <f>IF('[1]Processer - data'!G74&lt;&gt;"",'[1]Processer - data'!G74,"")</f>
        <v>Antal</v>
      </c>
      <c r="H74" s="302" t="e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input'!$A$3:$A$230,$A$1)),IF(VLOOKUP($A74,[1]!Table1[#All],2,FALSE)="Resultat",SUMIF($F$1:$F28,$D74,H$1:H28)+SUMIF($F75:$F$490,$D74,H75:H$490),0))*'[1]Processer - data'!H74,"")*IF($C74&lt;&gt;"",IF($F74="Halm",Landbrug!C$16*Landbrug!C$17,IF(LEFT($D74,5)="Areal", IF($G74="Ton",Landbrug!C$18,1),1)),1)*IF($F74="Grøntsager",IF($A74="Grøntsager i drivhus",Landbrug!C$51,1-Landbrug!C$51),1)</f>
        <v>#REF!</v>
      </c>
      <c r="I74" s="303" t="e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input'!$A$3:$A$230,$A$1)),IF(VLOOKUP($A74,[1]!Table1[#All],2,FALSE)="Resultat",SUMIF($F$1:$F28,$D74,I$1:I28)+SUMIF($F75:$F$490,$D74,I75:I$490),0))*'[1]Processer - data'!I74,"")*IF($C74&lt;&gt;"",IF($F74="Halm",Landbrug!D$16*Landbrug!D$17,IF(LEFT($D74,5)="Areal", IF($G74="Ton",Landbrug!D$18,1),1)),1)*IF($F74="Grøntsager",IF($A74="Grøntsager i drivhus",Landbrug!D$51,1-Landbrug!D$51),1)</f>
        <v>#REF!</v>
      </c>
      <c r="J74" s="304" t="e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input'!$A$3:$A$230,$A$1)),IF(VLOOKUP($A74,[1]!Table1[#All],2,FALSE)="Resultat",SUMIF($F$1:$F28,$D74,J$1:J28)+SUMIF($F75:$F$490,$D74,J75:J$490),0))*'[1]Processer - data'!J74,"")*IF($C74&lt;&gt;"",IF($F74="Halm",Landbrug!E$16*Landbrug!E$17,IF(LEFT($D74,5)="Areal", IF($G74="Ton",Landbrug!E$18,1),1)),1)*IF($F74="Grøntsager",IF($A74="Grøntsager i drivhus",Landbrug!E$51,1-Landbrug!E$51),1)</f>
        <v>#REF!</v>
      </c>
    </row>
    <row r="75" spans="1:10" x14ac:dyDescent="0.25">
      <c r="A75" t="str">
        <f>IF('[1]Processer - data'!A75&lt;&gt;"",'[1]Processer - data'!A75,"")</f>
        <v>Grisestald</v>
      </c>
      <c r="B75" t="str">
        <f>IF('[1]Processer - data'!B75&lt;&gt;"",'[1]Processer - data'!B75,"")</f>
        <v>Konventionel</v>
      </c>
      <c r="C75" t="str">
        <f>IF('[1]Processer - data'!C75&lt;&gt;"",'[1]Processer - data'!C75,"")</f>
        <v/>
      </c>
      <c r="D75" t="str">
        <f>IF('[1]Processer - data'!D75&lt;&gt;"",'[1]Processer - data'!D75,"")</f>
        <v>Svin</v>
      </c>
      <c r="E75" t="str">
        <f>IF('[1]Processer - data'!E75&lt;&gt;"",'[1]Processer - data'!E75,"")</f>
        <v>Antal</v>
      </c>
      <c r="F75" t="str">
        <f>IF('[1]Processer - data'!F75&lt;&gt;"",'[1]Processer - data'!F75,"")</f>
        <v>Svinegylle</v>
      </c>
      <c r="G75" t="str">
        <f>IF('[1]Processer - data'!G75&lt;&gt;"",'[1]Processer - data'!G75,"")</f>
        <v>Ton</v>
      </c>
      <c r="H75" s="302" t="e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input'!$A$3:$A$230,$A$1)),IF(VLOOKUP($A75,[1]!Table1[#All],2,FALSE)="Resultat",SUMIF($F$1:$F74,$D75,H$1:H74)+SUMIF($F76:$F$490,$D75,H76:H$490),0))*'[1]Processer - data'!H75,"")*IF($C75&lt;&gt;"",IF($F75="Halm",Landbrug!C$16*Landbrug!C$17,IF(LEFT($D75,5)="Areal", IF($G75="Ton",Landbrug!C$18,1),1)),1)*IF($F75="Grøntsager",IF($A75="Grøntsager i drivhus",Landbrug!C$51,1-Landbrug!C$51),1)</f>
        <v>#REF!</v>
      </c>
      <c r="I75" s="303" t="e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input'!$A$3:$A$230,$A$1)),IF(VLOOKUP($A75,[1]!Table1[#All],2,FALSE)="Resultat",SUMIF($F$1:$F74,$D75,I$1:I74)+SUMIF($F76:$F$490,$D75,I76:I$490),0))*'[1]Processer - data'!I75,"")*IF($C75&lt;&gt;"",IF($F75="Halm",Landbrug!D$16*Landbrug!D$17,IF(LEFT($D75,5)="Areal", IF($G75="Ton",Landbrug!D$18,1),1)),1)*IF($F75="Grøntsager",IF($A75="Grøntsager i drivhus",Landbrug!D$51,1-Landbrug!D$51),1)</f>
        <v>#REF!</v>
      </c>
      <c r="J75" s="304" t="e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input'!$A$3:$A$230,$A$1)),IF(VLOOKUP($A75,[1]!Table1[#All],2,FALSE)="Resultat",SUMIF($F$1:$F74,$D75,J$1:J74)+SUMIF($F76:$F$490,$D75,J76:J$490),0))*'[1]Processer - data'!J75,"")*IF($C75&lt;&gt;"",IF($F75="Halm",Landbrug!E$16*Landbrug!E$17,IF(LEFT($D75,5)="Areal", IF($G75="Ton",Landbrug!E$18,1),1)),1)*IF($F75="Grøntsager",IF($A75="Grøntsager i drivhus",Landbrug!E$51,1-Landbrug!E$51),1)</f>
        <v>#REF!</v>
      </c>
    </row>
    <row r="76" spans="1:10" x14ac:dyDescent="0.25">
      <c r="A76" t="str">
        <f>IF('[1]Processer - data'!A76&lt;&gt;"",'[1]Processer - data'!A76,"")</f>
        <v>Grisestald</v>
      </c>
      <c r="B76" t="str">
        <f>IF('[1]Processer - data'!B76&lt;&gt;"",'[1]Processer - data'!B76,"")</f>
        <v>Konventionel</v>
      </c>
      <c r="C76" t="str">
        <f>IF('[1]Processer - data'!C76&lt;&gt;"",'[1]Processer - data'!C76,"")</f>
        <v/>
      </c>
      <c r="D76" t="str">
        <f>IF('[1]Processer - data'!D76&lt;&gt;"",'[1]Processer - data'!D76,"")</f>
        <v>Svin</v>
      </c>
      <c r="E76" t="str">
        <f>IF('[1]Processer - data'!E76&lt;&gt;"",'[1]Processer - data'!E76,"")</f>
        <v>Antal</v>
      </c>
      <c r="F76" t="str">
        <f>IF('[1]Processer - data'!F76&lt;&gt;"",'[1]Processer - data'!F76,"")</f>
        <v>Dybstrøelse</v>
      </c>
      <c r="G76" t="str">
        <f>IF('[1]Processer - data'!G76&lt;&gt;"",'[1]Processer - data'!G76,"")</f>
        <v>Ton</v>
      </c>
      <c r="H76" s="302" t="e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input'!$A$3:$A$230,$A$1)),IF(VLOOKUP($A76,[1]!Table1[#All],2,FALSE)="Resultat",SUMIF($F$1:$F75,$D76,H$1:H75)+SUMIF($F77:$F$490,$D76,H77:H$490),0))*'[1]Processer - data'!H76,"")*IF($C76&lt;&gt;"",IF($F76="Halm",Landbrug!C$16*Landbrug!C$17,IF(LEFT($D76,5)="Areal", IF($G76="Ton",Landbrug!C$18,1),1)),1)*IF($F76="Grøntsager",IF($A76="Grøntsager i drivhus",Landbrug!C$51,1-Landbrug!C$51),1)</f>
        <v>#REF!</v>
      </c>
      <c r="I76" s="303" t="e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input'!$A$3:$A$230,$A$1)),IF(VLOOKUP($A76,[1]!Table1[#All],2,FALSE)="Resultat",SUMIF($F$1:$F75,$D76,I$1:I75)+SUMIF($F77:$F$490,$D76,I77:I$490),0))*'[1]Processer - data'!I76,"")*IF($C76&lt;&gt;"",IF($F76="Halm",Landbrug!D$16*Landbrug!D$17,IF(LEFT($D76,5)="Areal", IF($G76="Ton",Landbrug!D$18,1),1)),1)*IF($F76="Grøntsager",IF($A76="Grøntsager i drivhus",Landbrug!D$51,1-Landbrug!D$51),1)</f>
        <v>#REF!</v>
      </c>
      <c r="J76" s="304" t="e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input'!$A$3:$A$230,$A$1)),IF(VLOOKUP($A76,[1]!Table1[#All],2,FALSE)="Resultat",SUMIF($F$1:$F75,$D76,J$1:J75)+SUMIF($F77:$F$490,$D76,J77:J$490),0))*'[1]Processer - data'!J76,"")*IF($C76&lt;&gt;"",IF($F76="Halm",Landbrug!E$16*Landbrug!E$17,IF(LEFT($D76,5)="Areal", IF($G76="Ton",Landbrug!E$18,1),1)),1)*IF($F76="Grøntsager",IF($A76="Grøntsager i drivhus",Landbrug!E$51,1-Landbrug!E$51),1)</f>
        <v>#REF!</v>
      </c>
    </row>
    <row r="77" spans="1:10" x14ac:dyDescent="0.25">
      <c r="A77" t="str">
        <f>IF('[1]Processer - data'!A77&lt;&gt;"",'[1]Processer - data'!A77,"")</f>
        <v>Grisestald</v>
      </c>
      <c r="B77" t="str">
        <f>IF('[1]Processer - data'!B77&lt;&gt;"",'[1]Processer - data'!B77,"")</f>
        <v>Konventionel</v>
      </c>
      <c r="C77" t="str">
        <f>IF('[1]Processer - data'!C77&lt;&gt;"",'[1]Processer - data'!C77,"")</f>
        <v/>
      </c>
      <c r="D77" t="str">
        <f>IF('[1]Processer - data'!D77&lt;&gt;"",'[1]Processer - data'!D77,"")</f>
        <v>Svin</v>
      </c>
      <c r="E77" t="str">
        <f>IF('[1]Processer - data'!E77&lt;&gt;"",'[1]Processer - data'!E77,"")</f>
        <v>Antal</v>
      </c>
      <c r="F77" t="str">
        <f>IF('[1]Processer - data'!F77&lt;&gt;"",'[1]Processer - data'!F77,"")</f>
        <v>Industriaffald</v>
      </c>
      <c r="G77" t="str">
        <f>IF('[1]Processer - data'!G77&lt;&gt;"",'[1]Processer - data'!G77,"")</f>
        <v>Ton</v>
      </c>
      <c r="H77" s="302" t="e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input'!$A$3:$A$230,$A$1)),IF(VLOOKUP($A77,[1]!Table1[#All],2,FALSE)="Resultat",SUMIF($F$1:$F76,$D77,H$1:H76)+SUMIF($F78:$F$490,$D77,H78:H$490),0))*'[1]Processer - data'!H77,"")*IF($C77&lt;&gt;"",IF($F77="Halm",Landbrug!C$16*Landbrug!C$17,IF(LEFT($D77,5)="Areal", IF($G77="Ton",Landbrug!C$18,1),1)),1)*IF($F77="Grøntsager",IF($A77="Grøntsager i drivhus",Landbrug!C$51,1-Landbrug!C$51),1)</f>
        <v>#REF!</v>
      </c>
      <c r="I77" s="303" t="e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input'!$A$3:$A$230,$A$1)),IF(VLOOKUP($A77,[1]!Table1[#All],2,FALSE)="Resultat",SUMIF($F$1:$F76,$D77,I$1:I76)+SUMIF($F78:$F$490,$D77,I78:I$490),0))*'[1]Processer - data'!I77,"")*IF($C77&lt;&gt;"",IF($F77="Halm",Landbrug!D$16*Landbrug!D$17,IF(LEFT($D77,5)="Areal", IF($G77="Ton",Landbrug!D$18,1),1)),1)*IF($F77="Grøntsager",IF($A77="Grøntsager i drivhus",Landbrug!D$51,1-Landbrug!D$51),1)</f>
        <v>#REF!</v>
      </c>
      <c r="J77" s="304" t="e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input'!$A$3:$A$230,$A$1)),IF(VLOOKUP($A77,[1]!Table1[#All],2,FALSE)="Resultat",SUMIF($F$1:$F76,$D77,J$1:J76)+SUMIF($F78:$F$490,$D77,J78:J$490),0))*'[1]Processer - data'!J77,"")*IF($C77&lt;&gt;"",IF($F77="Halm",Landbrug!E$16*Landbrug!E$17,IF(LEFT($D77,5)="Areal", IF($G77="Ton",Landbrug!E$18,1),1)),1)*IF($F77="Grøntsager",IF($A77="Grøntsager i drivhus",Landbrug!E$51,1-Landbrug!E$51),1)</f>
        <v>#REF!</v>
      </c>
    </row>
    <row r="78" spans="1:10" x14ac:dyDescent="0.25">
      <c r="A78" t="str">
        <f>IF('[1]Processer - data'!A78&lt;&gt;"",'[1]Processer - data'!A78,"")</f>
        <v>Grisestald</v>
      </c>
      <c r="B78" t="str">
        <f>IF('[1]Processer - data'!B78&lt;&gt;"",'[1]Processer - data'!B78,"")</f>
        <v>Konventionel</v>
      </c>
      <c r="C78" t="str">
        <f>IF('[1]Processer - data'!C78&lt;&gt;"",'[1]Processer - data'!C78,"")</f>
        <v/>
      </c>
      <c r="D78" t="str">
        <f>IF('[1]Processer - data'!D78&lt;&gt;"",'[1]Processer - data'!D78,"")</f>
        <v>Svin</v>
      </c>
      <c r="E78" t="str">
        <f>IF('[1]Processer - data'!E78&lt;&gt;"",'[1]Processer - data'!E78,"")</f>
        <v>Antal</v>
      </c>
      <c r="F78" t="str">
        <f>IF('[1]Processer - data'!F78&lt;&gt;"",'[1]Processer - data'!F78,"")</f>
        <v>Foder</v>
      </c>
      <c r="G78" t="str">
        <f>IF('[1]Processer - data'!G78&lt;&gt;"",'[1]Processer - data'!G78,"")</f>
        <v>FE</v>
      </c>
      <c r="H78" s="302" t="e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input'!$A$3:$A$230,$A$1)),IF(VLOOKUP($A78,[1]!Table1[#All],2,FALSE)="Resultat",SUMIF($F$1:$F77,$D78,H$1:H77)+SUMIF($F79:$F$490,$D78,H79:H$490),0))*'[1]Processer - data'!H78,"")*IF($C78&lt;&gt;"",IF($F78="Halm",Landbrug!C$16*Landbrug!C$17,IF(LEFT($D78,5)="Areal", IF($G78="Ton",Landbrug!C$18,1),1)),1)*IF($F78="Grøntsager",IF($A78="Grøntsager i drivhus",Landbrug!C$51,1-Landbrug!C$51),1)</f>
        <v>#REF!</v>
      </c>
      <c r="I78" s="303" t="e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input'!$A$3:$A$230,$A$1)),IF(VLOOKUP($A78,[1]!Table1[#All],2,FALSE)="Resultat",SUMIF($F$1:$F77,$D78,I$1:I77)+SUMIF($F79:$F$490,$D78,I79:I$490),0))*'[1]Processer - data'!I78,"")*IF($C78&lt;&gt;"",IF($F78="Halm",Landbrug!D$16*Landbrug!D$17,IF(LEFT($D78,5)="Areal", IF($G78="Ton",Landbrug!D$18,1),1)),1)*IF($F78="Grøntsager",IF($A78="Grøntsager i drivhus",Landbrug!D$51,1-Landbrug!D$51),1)</f>
        <v>#REF!</v>
      </c>
      <c r="J78" s="304" t="e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input'!$A$3:$A$230,$A$1)),IF(VLOOKUP($A78,[1]!Table1[#All],2,FALSE)="Resultat",SUMIF($F$1:$F77,$D78,J$1:J77)+SUMIF($F79:$F$490,$D78,J79:J$490),0))*'[1]Processer - data'!J78,"")*IF($C78&lt;&gt;"",IF($F78="Halm",Landbrug!E$16*Landbrug!E$17,IF(LEFT($D78,5)="Areal", IF($G78="Ton",Landbrug!E$18,1),1)),1)*IF($F78="Grøntsager",IF($A78="Grøntsager i drivhus",Landbrug!E$51,1-Landbrug!E$51),1)</f>
        <v>#REF!</v>
      </c>
    </row>
    <row r="79" spans="1:10" x14ac:dyDescent="0.25">
      <c r="A79" t="str">
        <f>IF('[1]Processer - data'!A79&lt;&gt;"",'[1]Processer - data'!A79,"")</f>
        <v>Grisestald</v>
      </c>
      <c r="B79" t="str">
        <f>IF('[1]Processer - data'!B79&lt;&gt;"",'[1]Processer - data'!B79,"")</f>
        <v>Konventionel</v>
      </c>
      <c r="C79" t="str">
        <f>IF('[1]Processer - data'!C79&lt;&gt;"",'[1]Processer - data'!C79,"")</f>
        <v/>
      </c>
      <c r="D79" t="str">
        <f>IF('[1]Processer - data'!D79&lt;&gt;"",'[1]Processer - data'!D79,"")</f>
        <v>Svin</v>
      </c>
      <c r="E79" t="str">
        <f>IF('[1]Processer - data'!E79&lt;&gt;"",'[1]Processer - data'!E79,"")</f>
        <v>Antal</v>
      </c>
      <c r="F79" t="str">
        <f>IF('[1]Processer - data'!F79&lt;&gt;"",'[1]Processer - data'!F79,"")</f>
        <v>Halm</v>
      </c>
      <c r="G79" t="str">
        <f>IF('[1]Processer - data'!G79&lt;&gt;"",'[1]Processer - data'!G79,"")</f>
        <v>Ton</v>
      </c>
      <c r="H79" s="302" t="e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input'!$A$3:$A$230,$A$1)),IF(VLOOKUP($A79,[1]!Table1[#All],2,FALSE)="Resultat",SUMIF($F$1:$F78,$D79,H$1:H78)+SUMIF($F80:$F$490,$D79,H80:H$490),0))*'[1]Processer - data'!H79,"")*IF($C79&lt;&gt;"",IF($F79="Halm",Landbrug!C$16*Landbrug!C$17,IF(LEFT($D79,5)="Areal", IF($G79="Ton",Landbrug!C$18,1),1)),1)*IF($F79="Grøntsager",IF($A79="Grøntsager i drivhus",Landbrug!C$51,1-Landbrug!C$51),1)</f>
        <v>#REF!</v>
      </c>
      <c r="I79" s="303" t="e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input'!$A$3:$A$230,$A$1)),IF(VLOOKUP($A79,[1]!Table1[#All],2,FALSE)="Resultat",SUMIF($F$1:$F78,$D79,I$1:I78)+SUMIF($F80:$F$490,$D79,I80:I$490),0))*'[1]Processer - data'!I79,"")*IF($C79&lt;&gt;"",IF($F79="Halm",Landbrug!D$16*Landbrug!D$17,IF(LEFT($D79,5)="Areal", IF($G79="Ton",Landbrug!D$18,1),1)),1)*IF($F79="Grøntsager",IF($A79="Grøntsager i drivhus",Landbrug!D$51,1-Landbrug!D$51),1)</f>
        <v>#REF!</v>
      </c>
      <c r="J79" s="304" t="e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input'!$A$3:$A$230,$A$1)),IF(VLOOKUP($A79,[1]!Table1[#All],2,FALSE)="Resultat",SUMIF($F$1:$F78,$D79,J$1:J78)+SUMIF($F80:$F$490,$D79,J80:J$490),0))*'[1]Processer - data'!J79,"")*IF($C79&lt;&gt;"",IF($F79="Halm",Landbrug!E$16*Landbrug!E$17,IF(LEFT($D79,5)="Areal", IF($G79="Ton",Landbrug!E$18,1),1)),1)*IF($F79="Grøntsager",IF($A79="Grøntsager i drivhus",Landbrug!E$51,1-Landbrug!E$51),1)</f>
        <v>#REF!</v>
      </c>
    </row>
    <row r="80" spans="1:10" x14ac:dyDescent="0.25">
      <c r="A80" t="str">
        <f>IF('[1]Processer - data'!A80&lt;&gt;"",'[1]Processer - data'!A80,"")</f>
        <v>Grisestald</v>
      </c>
      <c r="B80" t="str">
        <f>IF('[1]Processer - data'!B80&lt;&gt;"",'[1]Processer - data'!B80,"")</f>
        <v>Konventionel</v>
      </c>
      <c r="C80" t="str">
        <f>IF('[1]Processer - data'!C80&lt;&gt;"",'[1]Processer - data'!C80,"")</f>
        <v/>
      </c>
      <c r="D80" t="str">
        <f>IF('[1]Processer - data'!D80&lt;&gt;"",'[1]Processer - data'!D80,"")</f>
        <v>Svin</v>
      </c>
      <c r="E80" t="str">
        <f>IF('[1]Processer - data'!E80&lt;&gt;"",'[1]Processer - data'!E80,"")</f>
        <v>Antal</v>
      </c>
      <c r="F80" t="str">
        <f>IF('[1]Processer - data'!F80&lt;&gt;"",'[1]Processer - data'!F80,"")</f>
        <v>CO2 - atmosfære</v>
      </c>
      <c r="G80" t="str">
        <f>IF('[1]Processer - data'!G80&lt;&gt;"",'[1]Processer - data'!G80,"")</f>
        <v>t CO2-ækvivalenter</v>
      </c>
      <c r="H80" s="302" t="e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input'!$A$3:$A$230,$A$1)),IF(VLOOKUP($A80,[1]!Table1[#All],2,FALSE)="Resultat",SUMIF($F$1:$F79,$D80,H$1:H79)+SUMIF($F81:$F$490,$D80,H81:H$490),0))*'[1]Processer - data'!H80,"")*IF($C80&lt;&gt;"",IF($F80="Halm",Landbrug!C$16*Landbrug!C$17,IF(LEFT($D80,5)="Areal", IF($G80="Ton",Landbrug!C$18,1),1)),1)*IF($F80="Grøntsager",IF($A80="Grøntsager i drivhus",Landbrug!C$51,1-Landbrug!C$51),1)</f>
        <v>#REF!</v>
      </c>
      <c r="I80" s="303" t="e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input'!$A$3:$A$230,$A$1)),IF(VLOOKUP($A80,[1]!Table1[#All],2,FALSE)="Resultat",SUMIF($F$1:$F79,$D80,I$1:I79)+SUMIF($F81:$F$490,$D80,I81:I$490),0))*'[1]Processer - data'!I80,"")*IF($C80&lt;&gt;"",IF($F80="Halm",Landbrug!D$16*Landbrug!D$17,IF(LEFT($D80,5)="Areal", IF($G80="Ton",Landbrug!D$18,1),1)),1)*IF($F80="Grøntsager",IF($A80="Grøntsager i drivhus",Landbrug!D$51,1-Landbrug!D$51),1)</f>
        <v>#REF!</v>
      </c>
      <c r="J80" s="304" t="e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input'!$A$3:$A$230,$A$1)),IF(VLOOKUP($A80,[1]!Table1[#All],2,FALSE)="Resultat",SUMIF($F$1:$F79,$D80,J$1:J79)+SUMIF($F81:$F$490,$D80,J81:J$490),0))*'[1]Processer - data'!J80,"")*IF($C80&lt;&gt;"",IF($F80="Halm",Landbrug!E$16*Landbrug!E$17,IF(LEFT($D80,5)="Areal", IF($G80="Ton",Landbrug!E$18,1),1)),1)*IF($F80="Grøntsager",IF($A80="Grøntsager i drivhus",Landbrug!E$51,1-Landbrug!E$51),1)</f>
        <v>#REF!</v>
      </c>
    </row>
    <row r="81" spans="1:10" x14ac:dyDescent="0.25">
      <c r="A81" t="str">
        <f>IF('[1]Processer - data'!A81&lt;&gt;"",'[1]Processer - data'!A81,"")</f>
        <v>Grisestald</v>
      </c>
      <c r="B81" t="str">
        <f>IF('[1]Processer - data'!B81&lt;&gt;"",'[1]Processer - data'!B81,"")</f>
        <v>Økologisk</v>
      </c>
      <c r="C81" t="str">
        <f>IF('[1]Processer - data'!C81&lt;&gt;"",'[1]Processer - data'!C81,"")</f>
        <v/>
      </c>
      <c r="D81" t="str">
        <f>IF('[1]Processer - data'!D81&lt;&gt;"",'[1]Processer - data'!D81,"")</f>
        <v>Svin</v>
      </c>
      <c r="E81" t="str">
        <f>IF('[1]Processer - data'!E81&lt;&gt;"",'[1]Processer - data'!E81,"")</f>
        <v>Antal</v>
      </c>
      <c r="F81" t="str">
        <f>IF('[1]Processer - data'!F81&lt;&gt;"",'[1]Processer - data'!F81,"")</f>
        <v>Slagtesvin</v>
      </c>
      <c r="G81" t="str">
        <f>IF('[1]Processer - data'!G81&lt;&gt;"",'[1]Processer - data'!G81,"")</f>
        <v>Antal</v>
      </c>
      <c r="H81" s="302" t="e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input'!$A$3:$A$230,$A$1)),IF(VLOOKUP($A81,[1]!Table1[#All],2,FALSE)="Resultat",SUMIF($F$1:$F80,$D81,H$1:H80)+SUMIF($F82:$F$490,$D81,H82:H$490),0))*'[1]Processer - data'!H81,"")*IF($C81&lt;&gt;"",IF($F81="Halm",Landbrug!C$16*Landbrug!C$17,IF(LEFT($D81,5)="Areal", IF($G81="Ton",Landbrug!C$18,1),1)),1)*IF($F81="Grøntsager",IF($A81="Grøntsager i drivhus",Landbrug!C$51,1-Landbrug!C$51),1)</f>
        <v>#REF!</v>
      </c>
      <c r="I81" s="303" t="e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input'!$A$3:$A$230,$A$1)),IF(VLOOKUP($A81,[1]!Table1[#All],2,FALSE)="Resultat",SUMIF($F$1:$F80,$D81,I$1:I80)+SUMIF($F82:$F$490,$D81,I82:I$490),0))*'[1]Processer - data'!I81,"")*IF($C81&lt;&gt;"",IF($F81="Halm",Landbrug!D$16*Landbrug!D$17,IF(LEFT($D81,5)="Areal", IF($G81="Ton",Landbrug!D$18,1),1)),1)*IF($F81="Grøntsager",IF($A81="Grøntsager i drivhus",Landbrug!D$51,1-Landbrug!D$51),1)</f>
        <v>#REF!</v>
      </c>
      <c r="J81" s="304" t="e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input'!$A$3:$A$230,$A$1)),IF(VLOOKUP($A81,[1]!Table1[#All],2,FALSE)="Resultat",SUMIF($F$1:$F80,$D81,J$1:J80)+SUMIF($F82:$F$490,$D81,J82:J$490),0))*'[1]Processer - data'!J81,"")*IF($C81&lt;&gt;"",IF($F81="Halm",Landbrug!E$16*Landbrug!E$17,IF(LEFT($D81,5)="Areal", IF($G81="Ton",Landbrug!E$18,1),1)),1)*IF($F81="Grøntsager",IF($A81="Grøntsager i drivhus",Landbrug!E$51,1-Landbrug!E$51),1)</f>
        <v>#REF!</v>
      </c>
    </row>
    <row r="82" spans="1:10" x14ac:dyDescent="0.25">
      <c r="A82" t="str">
        <f>IF('[1]Processer - data'!A82&lt;&gt;"",'[1]Processer - data'!A82,"")</f>
        <v>Grisestald</v>
      </c>
      <c r="B82" t="str">
        <f>IF('[1]Processer - data'!B82&lt;&gt;"",'[1]Processer - data'!B82,"")</f>
        <v>Økologisk</v>
      </c>
      <c r="C82" t="str">
        <f>IF('[1]Processer - data'!C82&lt;&gt;"",'[1]Processer - data'!C82,"")</f>
        <v/>
      </c>
      <c r="D82" t="str">
        <f>IF('[1]Processer - data'!D82&lt;&gt;"",'[1]Processer - data'!D82,"")</f>
        <v>Svin</v>
      </c>
      <c r="E82" t="str">
        <f>IF('[1]Processer - data'!E82&lt;&gt;"",'[1]Processer - data'!E82,"")</f>
        <v>Antal</v>
      </c>
      <c r="F82" t="str">
        <f>IF('[1]Processer - data'!F82&lt;&gt;"",'[1]Processer - data'!F82,"")</f>
        <v>Svinegylle</v>
      </c>
      <c r="G82" t="str">
        <f>IF('[1]Processer - data'!G82&lt;&gt;"",'[1]Processer - data'!G82,"")</f>
        <v>Ton</v>
      </c>
      <c r="H82" s="302" t="e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input'!$A$3:$A$230,$A$1)),IF(VLOOKUP($A82,[1]!Table1[#All],2,FALSE)="Resultat",SUMIF($F$1:$F81,$D82,H$1:H81)+SUMIF($F83:$F$490,$D82,H83:H$490),0))*'[1]Processer - data'!H82,"")*IF($C82&lt;&gt;"",IF($F82="Halm",Landbrug!C$16*Landbrug!C$17,IF(LEFT($D82,5)="Areal", IF($G82="Ton",Landbrug!C$18,1),1)),1)*IF($F82="Grøntsager",IF($A82="Grøntsager i drivhus",Landbrug!C$51,1-Landbrug!C$51),1)</f>
        <v>#REF!</v>
      </c>
      <c r="I82" s="303" t="e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input'!$A$3:$A$230,$A$1)),IF(VLOOKUP($A82,[1]!Table1[#All],2,FALSE)="Resultat",SUMIF($F$1:$F81,$D82,I$1:I81)+SUMIF($F83:$F$490,$D82,I83:I$490),0))*'[1]Processer - data'!I82,"")*IF($C82&lt;&gt;"",IF($F82="Halm",Landbrug!D$16*Landbrug!D$17,IF(LEFT($D82,5)="Areal", IF($G82="Ton",Landbrug!D$18,1),1)),1)*IF($F82="Grøntsager",IF($A82="Grøntsager i drivhus",Landbrug!D$51,1-Landbrug!D$51),1)</f>
        <v>#REF!</v>
      </c>
      <c r="J82" s="304" t="e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input'!$A$3:$A$230,$A$1)),IF(VLOOKUP($A82,[1]!Table1[#All],2,FALSE)="Resultat",SUMIF($F$1:$F81,$D82,J$1:J81)+SUMIF($F83:$F$490,$D82,J83:J$490),0))*'[1]Processer - data'!J82,"")*IF($C82&lt;&gt;"",IF($F82="Halm",Landbrug!E$16*Landbrug!E$17,IF(LEFT($D82,5)="Areal", IF($G82="Ton",Landbrug!E$18,1),1)),1)*IF($F82="Grøntsager",IF($A82="Grøntsager i drivhus",Landbrug!E$51,1-Landbrug!E$51),1)</f>
        <v>#REF!</v>
      </c>
    </row>
    <row r="83" spans="1:10" x14ac:dyDescent="0.25">
      <c r="A83" t="str">
        <f>IF('[1]Processer - data'!A83&lt;&gt;"",'[1]Processer - data'!A83,"")</f>
        <v>Grisestald</v>
      </c>
      <c r="B83" t="str">
        <f>IF('[1]Processer - data'!B83&lt;&gt;"",'[1]Processer - data'!B83,"")</f>
        <v>Økologisk</v>
      </c>
      <c r="C83" t="str">
        <f>IF('[1]Processer - data'!C83&lt;&gt;"",'[1]Processer - data'!C83,"")</f>
        <v/>
      </c>
      <c r="D83" t="str">
        <f>IF('[1]Processer - data'!D83&lt;&gt;"",'[1]Processer - data'!D83,"")</f>
        <v>Svin</v>
      </c>
      <c r="E83" t="str">
        <f>IF('[1]Processer - data'!E83&lt;&gt;"",'[1]Processer - data'!E83,"")</f>
        <v>Antal</v>
      </c>
      <c r="F83" t="str">
        <f>IF('[1]Processer - data'!F83&lt;&gt;"",'[1]Processer - data'!F83,"")</f>
        <v>Dybstrøelse</v>
      </c>
      <c r="G83" t="str">
        <f>IF('[1]Processer - data'!G83&lt;&gt;"",'[1]Processer - data'!G83,"")</f>
        <v>Ton</v>
      </c>
      <c r="H83" s="302" t="e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input'!$A$3:$A$230,$A$1)),IF(VLOOKUP($A83,[1]!Table1[#All],2,FALSE)="Resultat",SUMIF($F$1:$F82,$D83,H$1:H82)+SUMIF($F84:$F$490,$D83,H84:H$490),0))*'[1]Processer - data'!H83,"")*IF($C83&lt;&gt;"",IF($F83="Halm",Landbrug!C$16*Landbrug!C$17,IF(LEFT($D83,5)="Areal", IF($G83="Ton",Landbrug!C$18,1),1)),1)*IF($F83="Grøntsager",IF($A83="Grøntsager i drivhus",Landbrug!C$51,1-Landbrug!C$51),1)</f>
        <v>#REF!</v>
      </c>
      <c r="I83" s="303" t="e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input'!$A$3:$A$230,$A$1)),IF(VLOOKUP($A83,[1]!Table1[#All],2,FALSE)="Resultat",SUMIF($F$1:$F82,$D83,I$1:I82)+SUMIF($F84:$F$490,$D83,I84:I$490),0))*'[1]Processer - data'!I83,"")*IF($C83&lt;&gt;"",IF($F83="Halm",Landbrug!D$16*Landbrug!D$17,IF(LEFT($D83,5)="Areal", IF($G83="Ton",Landbrug!D$18,1),1)),1)*IF($F83="Grøntsager",IF($A83="Grøntsager i drivhus",Landbrug!D$51,1-Landbrug!D$51),1)</f>
        <v>#REF!</v>
      </c>
      <c r="J83" s="304" t="e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input'!$A$3:$A$230,$A$1)),IF(VLOOKUP($A83,[1]!Table1[#All],2,FALSE)="Resultat",SUMIF($F$1:$F82,$D83,J$1:J82)+SUMIF($F84:$F$490,$D83,J84:J$490),0))*'[1]Processer - data'!J83,"")*IF($C83&lt;&gt;"",IF($F83="Halm",Landbrug!E$16*Landbrug!E$17,IF(LEFT($D83,5)="Areal", IF($G83="Ton",Landbrug!E$18,1),1)),1)*IF($F83="Grøntsager",IF($A83="Grøntsager i drivhus",Landbrug!E$51,1-Landbrug!E$51),1)</f>
        <v>#REF!</v>
      </c>
    </row>
    <row r="84" spans="1:10" x14ac:dyDescent="0.25">
      <c r="A84" t="str">
        <f>IF('[1]Processer - data'!A84&lt;&gt;"",'[1]Processer - data'!A84,"")</f>
        <v>Grisestald</v>
      </c>
      <c r="B84" t="str">
        <f>IF('[1]Processer - data'!B84&lt;&gt;"",'[1]Processer - data'!B84,"")</f>
        <v>Økologisk</v>
      </c>
      <c r="C84" t="str">
        <f>IF('[1]Processer - data'!C84&lt;&gt;"",'[1]Processer - data'!C84,"")</f>
        <v/>
      </c>
      <c r="D84" t="str">
        <f>IF('[1]Processer - data'!D84&lt;&gt;"",'[1]Processer - data'!D84,"")</f>
        <v>Svin</v>
      </c>
      <c r="E84" t="str">
        <f>IF('[1]Processer - data'!E84&lt;&gt;"",'[1]Processer - data'!E84,"")</f>
        <v>Antal</v>
      </c>
      <c r="F84" t="str">
        <f>IF('[1]Processer - data'!F84&lt;&gt;"",'[1]Processer - data'!F84,"")</f>
        <v>Industriaffald</v>
      </c>
      <c r="G84" t="str">
        <f>IF('[1]Processer - data'!G84&lt;&gt;"",'[1]Processer - data'!G84,"")</f>
        <v>Ton</v>
      </c>
      <c r="H84" s="302" t="e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input'!$A$3:$A$230,$A$1)),IF(VLOOKUP($A84,[1]!Table1[#All],2,FALSE)="Resultat",SUMIF($F$1:$F83,$D84,H$1:H83)+SUMIF($F85:$F$490,$D84,H85:H$490),0))*'[1]Processer - data'!H84,"")*IF($C84&lt;&gt;"",IF($F84="Halm",Landbrug!C$16*Landbrug!C$17,IF(LEFT($D84,5)="Areal", IF($G84="Ton",Landbrug!C$18,1),1)),1)*IF($F84="Grøntsager",IF($A84="Grøntsager i drivhus",Landbrug!C$51,1-Landbrug!C$51),1)</f>
        <v>#REF!</v>
      </c>
      <c r="I84" s="303" t="e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input'!$A$3:$A$230,$A$1)),IF(VLOOKUP($A84,[1]!Table1[#All],2,FALSE)="Resultat",SUMIF($F$1:$F83,$D84,I$1:I83)+SUMIF($F85:$F$490,$D84,I85:I$490),0))*'[1]Processer - data'!I84,"")*IF($C84&lt;&gt;"",IF($F84="Halm",Landbrug!D$16*Landbrug!D$17,IF(LEFT($D84,5)="Areal", IF($G84="Ton",Landbrug!D$18,1),1)),1)*IF($F84="Grøntsager",IF($A84="Grøntsager i drivhus",Landbrug!D$51,1-Landbrug!D$51),1)</f>
        <v>#REF!</v>
      </c>
      <c r="J84" s="304" t="e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input'!$A$3:$A$230,$A$1)),IF(VLOOKUP($A84,[1]!Table1[#All],2,FALSE)="Resultat",SUMIF($F$1:$F83,$D84,J$1:J83)+SUMIF($F85:$F$490,$D84,J85:J$490),0))*'[1]Processer - data'!J84,"")*IF($C84&lt;&gt;"",IF($F84="Halm",Landbrug!E$16*Landbrug!E$17,IF(LEFT($D84,5)="Areal", IF($G84="Ton",Landbrug!E$18,1),1)),1)*IF($F84="Grøntsager",IF($A84="Grøntsager i drivhus",Landbrug!E$51,1-Landbrug!E$51),1)</f>
        <v>#REF!</v>
      </c>
    </row>
    <row r="85" spans="1:10" x14ac:dyDescent="0.25">
      <c r="A85" t="str">
        <f>IF('[1]Processer - data'!A85&lt;&gt;"",'[1]Processer - data'!A85,"")</f>
        <v>Grisestald</v>
      </c>
      <c r="B85" t="str">
        <f>IF('[1]Processer - data'!B85&lt;&gt;"",'[1]Processer - data'!B85,"")</f>
        <v>Økologisk</v>
      </c>
      <c r="C85" t="str">
        <f>IF('[1]Processer - data'!C85&lt;&gt;"",'[1]Processer - data'!C85,"")</f>
        <v/>
      </c>
      <c r="D85" t="str">
        <f>IF('[1]Processer - data'!D85&lt;&gt;"",'[1]Processer - data'!D85,"")</f>
        <v>Svin</v>
      </c>
      <c r="E85" t="str">
        <f>IF('[1]Processer - data'!E85&lt;&gt;"",'[1]Processer - data'!E85,"")</f>
        <v>Antal</v>
      </c>
      <c r="F85" t="str">
        <f>IF('[1]Processer - data'!F85&lt;&gt;"",'[1]Processer - data'!F85,"")</f>
        <v>Foder</v>
      </c>
      <c r="G85" t="str">
        <f>IF('[1]Processer - data'!G85&lt;&gt;"",'[1]Processer - data'!G85,"")</f>
        <v>FE</v>
      </c>
      <c r="H85" s="302" t="e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input'!$A$3:$A$230,$A$1)),IF(VLOOKUP($A85,[1]!Table1[#All],2,FALSE)="Resultat",SUMIF($F$1:$F84,$D85,H$1:H84)+SUMIF($F86:$F$490,$D85,H86:H$490),0))*'[1]Processer - data'!H85,"")*IF($C85&lt;&gt;"",IF($F85="Halm",Landbrug!C$16*Landbrug!C$17,IF(LEFT($D85,5)="Areal", IF($G85="Ton",Landbrug!C$18,1),1)),1)*IF($F85="Grøntsager",IF($A85="Grøntsager i drivhus",Landbrug!C$51,1-Landbrug!C$51),1)</f>
        <v>#REF!</v>
      </c>
      <c r="I85" s="303" t="e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input'!$A$3:$A$230,$A$1)),IF(VLOOKUP($A85,[1]!Table1[#All],2,FALSE)="Resultat",SUMIF($F$1:$F84,$D85,I$1:I84)+SUMIF($F86:$F$490,$D85,I86:I$490),0))*'[1]Processer - data'!I85,"")*IF($C85&lt;&gt;"",IF($F85="Halm",Landbrug!D$16*Landbrug!D$17,IF(LEFT($D85,5)="Areal", IF($G85="Ton",Landbrug!D$18,1),1)),1)*IF($F85="Grøntsager",IF($A85="Grøntsager i drivhus",Landbrug!D$51,1-Landbrug!D$51),1)</f>
        <v>#REF!</v>
      </c>
      <c r="J85" s="304" t="e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input'!$A$3:$A$230,$A$1)),IF(VLOOKUP($A85,[1]!Table1[#All],2,FALSE)="Resultat",SUMIF($F$1:$F84,$D85,J$1:J84)+SUMIF($F86:$F$490,$D85,J86:J$490),0))*'[1]Processer - data'!J85,"")*IF($C85&lt;&gt;"",IF($F85="Halm",Landbrug!E$16*Landbrug!E$17,IF(LEFT($D85,5)="Areal", IF($G85="Ton",Landbrug!E$18,1),1)),1)*IF($F85="Grøntsager",IF($A85="Grøntsager i drivhus",Landbrug!E$51,1-Landbrug!E$51),1)</f>
        <v>#REF!</v>
      </c>
    </row>
    <row r="86" spans="1:10" x14ac:dyDescent="0.25">
      <c r="A86" t="str">
        <f>IF('[1]Processer - data'!A86&lt;&gt;"",'[1]Processer - data'!A86,"")</f>
        <v>Grisestald</v>
      </c>
      <c r="B86" t="str">
        <f>IF('[1]Processer - data'!B86&lt;&gt;"",'[1]Processer - data'!B86,"")</f>
        <v>Økologisk</v>
      </c>
      <c r="C86" t="str">
        <f>IF('[1]Processer - data'!C86&lt;&gt;"",'[1]Processer - data'!C86,"")</f>
        <v/>
      </c>
      <c r="D86" t="str">
        <f>IF('[1]Processer - data'!D86&lt;&gt;"",'[1]Processer - data'!D86,"")</f>
        <v>Svin</v>
      </c>
      <c r="E86" t="str">
        <f>IF('[1]Processer - data'!E86&lt;&gt;"",'[1]Processer - data'!E86,"")</f>
        <v>Antal</v>
      </c>
      <c r="F86" t="str">
        <f>IF('[1]Processer - data'!F86&lt;&gt;"",'[1]Processer - data'!F86,"")</f>
        <v>Halm</v>
      </c>
      <c r="G86" t="str">
        <f>IF('[1]Processer - data'!G86&lt;&gt;"",'[1]Processer - data'!G86,"")</f>
        <v>Ton</v>
      </c>
      <c r="H86" s="302" t="e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input'!$A$3:$A$230,$A$1)),IF(VLOOKUP($A86,[1]!Table1[#All],2,FALSE)="Resultat",SUMIF($F$1:$F85,$D86,H$1:H85)+SUMIF($F87:$F$490,$D86,H87:H$490),0))*'[1]Processer - data'!H86,"")*IF($C86&lt;&gt;"",IF($F86="Halm",Landbrug!C$16*Landbrug!C$17,IF(LEFT($D86,5)="Areal", IF($G86="Ton",Landbrug!C$18,1),1)),1)*IF($F86="Grøntsager",IF($A86="Grøntsager i drivhus",Landbrug!C$51,1-Landbrug!C$51),1)</f>
        <v>#REF!</v>
      </c>
      <c r="I86" s="303" t="e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input'!$A$3:$A$230,$A$1)),IF(VLOOKUP($A86,[1]!Table1[#All],2,FALSE)="Resultat",SUMIF($F$1:$F85,$D86,I$1:I85)+SUMIF($F87:$F$490,$D86,I87:I$490),0))*'[1]Processer - data'!I86,"")*IF($C86&lt;&gt;"",IF($F86="Halm",Landbrug!D$16*Landbrug!D$17,IF(LEFT($D86,5)="Areal", IF($G86="Ton",Landbrug!D$18,1),1)),1)*IF($F86="Grøntsager",IF($A86="Grøntsager i drivhus",Landbrug!D$51,1-Landbrug!D$51),1)</f>
        <v>#REF!</v>
      </c>
      <c r="J86" s="304" t="e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input'!$A$3:$A$230,$A$1)),IF(VLOOKUP($A86,[1]!Table1[#All],2,FALSE)="Resultat",SUMIF($F$1:$F85,$D86,J$1:J85)+SUMIF($F87:$F$490,$D86,J87:J$490),0))*'[1]Processer - data'!J86,"")*IF($C86&lt;&gt;"",IF($F86="Halm",Landbrug!E$16*Landbrug!E$17,IF(LEFT($D86,5)="Areal", IF($G86="Ton",Landbrug!E$18,1),1)),1)*IF($F86="Grøntsager",IF($A86="Grøntsager i drivhus",Landbrug!E$51,1-Landbrug!E$51),1)</f>
        <v>#REF!</v>
      </c>
    </row>
    <row r="87" spans="1:10" x14ac:dyDescent="0.25">
      <c r="A87" t="str">
        <f>IF('[1]Processer - data'!A87&lt;&gt;"",'[1]Processer - data'!A87,"")</f>
        <v>Grisestald</v>
      </c>
      <c r="B87" t="str">
        <f>IF('[1]Processer - data'!B87&lt;&gt;"",'[1]Processer - data'!B87,"")</f>
        <v>Økologisk</v>
      </c>
      <c r="C87" t="str">
        <f>IF('[1]Processer - data'!C87&lt;&gt;"",'[1]Processer - data'!C87,"")</f>
        <v/>
      </c>
      <c r="D87" t="str">
        <f>IF('[1]Processer - data'!D87&lt;&gt;"",'[1]Processer - data'!D87,"")</f>
        <v>Svin</v>
      </c>
      <c r="E87" t="str">
        <f>IF('[1]Processer - data'!E87&lt;&gt;"",'[1]Processer - data'!E87,"")</f>
        <v>Antal</v>
      </c>
      <c r="F87" t="str">
        <f>IF('[1]Processer - data'!F87&lt;&gt;"",'[1]Processer - data'!F87,"")</f>
        <v>CO2 - atmosfære</v>
      </c>
      <c r="G87" t="str">
        <f>IF('[1]Processer - data'!G87&lt;&gt;"",'[1]Processer - data'!G87,"")</f>
        <v>t CO2-ækvivalenter</v>
      </c>
      <c r="H87" s="302" t="e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input'!$A$3:$A$230,$A$1)),IF(VLOOKUP($A87,[1]!Table1[#All],2,FALSE)="Resultat",SUMIF($F$1:$F86,$D87,H$1:H86)+SUMIF($F88:$F$490,$D87,H88:H$490),0))*'[1]Processer - data'!H87,"")*IF($C87&lt;&gt;"",IF($F87="Halm",Landbrug!C$16*Landbrug!C$17,IF(LEFT($D87,5)="Areal", IF($G87="Ton",Landbrug!C$18,1),1)),1)*IF($F87="Grøntsager",IF($A87="Grøntsager i drivhus",Landbrug!C$51,1-Landbrug!C$51),1)</f>
        <v>#REF!</v>
      </c>
      <c r="I87" s="303" t="e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input'!$A$3:$A$230,$A$1)),IF(VLOOKUP($A87,[1]!Table1[#All],2,FALSE)="Resultat",SUMIF($F$1:$F86,$D87,I$1:I86)+SUMIF($F88:$F$490,$D87,I88:I$490),0))*'[1]Processer - data'!I87,"")*IF($C87&lt;&gt;"",IF($F87="Halm",Landbrug!D$16*Landbrug!D$17,IF(LEFT($D87,5)="Areal", IF($G87="Ton",Landbrug!D$18,1),1)),1)*IF($F87="Grøntsager",IF($A87="Grøntsager i drivhus",Landbrug!D$51,1-Landbrug!D$51),1)</f>
        <v>#REF!</v>
      </c>
      <c r="J87" s="304" t="e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input'!$A$3:$A$230,$A$1)),IF(VLOOKUP($A87,[1]!Table1[#All],2,FALSE)="Resultat",SUMIF($F$1:$F86,$D87,J$1:J86)+SUMIF($F88:$F$490,$D87,J88:J$490),0))*'[1]Processer - data'!J87,"")*IF($C87&lt;&gt;"",IF($F87="Halm",Landbrug!E$16*Landbrug!E$17,IF(LEFT($D87,5)="Areal", IF($G87="Ton",Landbrug!E$18,1),1)),1)*IF($F87="Grøntsager",IF($A87="Grøntsager i drivhus",Landbrug!E$51,1-Landbrug!E$51),1)</f>
        <v>#REF!</v>
      </c>
    </row>
    <row r="88" spans="1:10" x14ac:dyDescent="0.25">
      <c r="A88" t="str">
        <f>IF('[1]Processer - data'!A88&lt;&gt;"",'[1]Processer - data'!A88,"")</f>
        <v>Kostald</v>
      </c>
      <c r="B88" t="str">
        <f>IF('[1]Processer - data'!B88&lt;&gt;"",'[1]Processer - data'!B88,"")</f>
        <v>Konventionel</v>
      </c>
      <c r="C88" t="str">
        <f>IF('[1]Processer - data'!C88&lt;&gt;"",'[1]Processer - data'!C88,"")</f>
        <v/>
      </c>
      <c r="D88" t="str">
        <f>IF('[1]Processer - data'!D88&lt;&gt;"",'[1]Processer - data'!D88,"")</f>
        <v>Køer</v>
      </c>
      <c r="E88" t="str">
        <f>IF('[1]Processer - data'!E88&lt;&gt;"",'[1]Processer - data'!E88,"")</f>
        <v>Antal</v>
      </c>
      <c r="F88" t="str">
        <f>IF('[1]Processer - data'!F88&lt;&gt;"",'[1]Processer - data'!F88,"")</f>
        <v>Slagtekøer</v>
      </c>
      <c r="G88" t="str">
        <f>IF('[1]Processer - data'!G88&lt;&gt;"",'[1]Processer - data'!G88,"")</f>
        <v>Antal</v>
      </c>
      <c r="H88" s="302" t="e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input'!$A$3:$A$230,$A$1)),IF(VLOOKUP($A88,[1]!Table1[#All],2,FALSE)="Resultat",SUMIF($F$1:$F87,$D88,H$1:H87)+SUMIF($F89:$F$490,$D88,H89:H$490),0))*'[1]Processer - data'!H88,"")*IF($C88&lt;&gt;"",IF($F88="Halm",Landbrug!C$16*Landbrug!C$17,IF(LEFT($D88,5)="Areal", IF($G88="Ton",Landbrug!C$18,1),1)),1)*IF($F88="Grøntsager",IF($A88="Grøntsager i drivhus",Landbrug!C$51,1-Landbrug!C$51),1)</f>
        <v>#REF!</v>
      </c>
      <c r="I88" s="303" t="e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input'!$A$3:$A$230,$A$1)),IF(VLOOKUP($A88,[1]!Table1[#All],2,FALSE)="Resultat",SUMIF($F$1:$F87,$D88,I$1:I87)+SUMIF($F89:$F$490,$D88,I89:I$490),0))*'[1]Processer - data'!I88,"")*IF($C88&lt;&gt;"",IF($F88="Halm",Landbrug!D$16*Landbrug!D$17,IF(LEFT($D88,5)="Areal", IF($G88="Ton",Landbrug!D$18,1),1)),1)*IF($F88="Grøntsager",IF($A88="Grøntsager i drivhus",Landbrug!D$51,1-Landbrug!D$51),1)</f>
        <v>#REF!</v>
      </c>
      <c r="J88" s="304" t="e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input'!$A$3:$A$230,$A$1)),IF(VLOOKUP($A88,[1]!Table1[#All],2,FALSE)="Resultat",SUMIF($F$1:$F87,$D88,J$1:J87)+SUMIF($F89:$F$490,$D88,J89:J$490),0))*'[1]Processer - data'!J88,"")*IF($C88&lt;&gt;"",IF($F88="Halm",Landbrug!E$16*Landbrug!E$17,IF(LEFT($D88,5)="Areal", IF($G88="Ton",Landbrug!E$18,1),1)),1)*IF($F88="Grøntsager",IF($A88="Grøntsager i drivhus",Landbrug!E$51,1-Landbrug!E$51),1)</f>
        <v>#REF!</v>
      </c>
    </row>
    <row r="89" spans="1:10" x14ac:dyDescent="0.25">
      <c r="A89" t="str">
        <f>IF('[1]Processer - data'!A89&lt;&gt;"",'[1]Processer - data'!A89,"")</f>
        <v>Kostald</v>
      </c>
      <c r="B89" t="str">
        <f>IF('[1]Processer - data'!B89&lt;&gt;"",'[1]Processer - data'!B89,"")</f>
        <v>Konventionel</v>
      </c>
      <c r="C89" t="str">
        <f>IF('[1]Processer - data'!C89&lt;&gt;"",'[1]Processer - data'!C89,"")</f>
        <v/>
      </c>
      <c r="D89" t="str">
        <f>IF('[1]Processer - data'!D89&lt;&gt;"",'[1]Processer - data'!D89,"")</f>
        <v>Køer</v>
      </c>
      <c r="E89" t="str">
        <f>IF('[1]Processer - data'!E89&lt;&gt;"",'[1]Processer - data'!E89,"")</f>
        <v>Antal</v>
      </c>
      <c r="F89" t="str">
        <f>IF('[1]Processer - data'!F89&lt;&gt;"",'[1]Processer - data'!F89,"")</f>
        <v>Kvæggylle</v>
      </c>
      <c r="G89" t="str">
        <f>IF('[1]Processer - data'!G89&lt;&gt;"",'[1]Processer - data'!G89,"")</f>
        <v>Ton</v>
      </c>
      <c r="H89" s="302" t="e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input'!$A$3:$A$230,$A$1)),IF(VLOOKUP($A89,[1]!Table1[#All],2,FALSE)="Resultat",SUMIF($F$1:$F88,$D89,H$1:H88)+SUMIF($F90:$F$490,$D89,H90:H$490),0))*'[1]Processer - data'!H89,"")*IF($C89&lt;&gt;"",IF($F89="Halm",Landbrug!C$16*Landbrug!C$17,IF(LEFT($D89,5)="Areal", IF($G89="Ton",Landbrug!C$18,1),1)),1)*IF($F89="Grøntsager",IF($A89="Grøntsager i drivhus",Landbrug!C$51,1-Landbrug!C$51),1)</f>
        <v>#REF!</v>
      </c>
      <c r="I89" s="303" t="e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input'!$A$3:$A$230,$A$1)),IF(VLOOKUP($A89,[1]!Table1[#All],2,FALSE)="Resultat",SUMIF($F$1:$F88,$D89,I$1:I88)+SUMIF($F90:$F$490,$D89,I90:I$490),0))*'[1]Processer - data'!I89,"")*IF($C89&lt;&gt;"",IF($F89="Halm",Landbrug!D$16*Landbrug!D$17,IF(LEFT($D89,5)="Areal", IF($G89="Ton",Landbrug!D$18,1),1)),1)*IF($F89="Grøntsager",IF($A89="Grøntsager i drivhus",Landbrug!D$51,1-Landbrug!D$51),1)</f>
        <v>#REF!</v>
      </c>
      <c r="J89" s="304" t="e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input'!$A$3:$A$230,$A$1)),IF(VLOOKUP($A89,[1]!Table1[#All],2,FALSE)="Resultat",SUMIF($F$1:$F88,$D89,J$1:J88)+SUMIF($F90:$F$490,$D89,J90:J$490),0))*'[1]Processer - data'!J89,"")*IF($C89&lt;&gt;"",IF($F89="Halm",Landbrug!E$16*Landbrug!E$17,IF(LEFT($D89,5)="Areal", IF($G89="Ton",Landbrug!E$18,1),1)),1)*IF($F89="Grøntsager",IF($A89="Grøntsager i drivhus",Landbrug!E$51,1-Landbrug!E$51),1)</f>
        <v>#REF!</v>
      </c>
    </row>
    <row r="90" spans="1:10" x14ac:dyDescent="0.25">
      <c r="A90" t="str">
        <f>IF('[1]Processer - data'!A90&lt;&gt;"",'[1]Processer - data'!A90,"")</f>
        <v>Kostald</v>
      </c>
      <c r="B90" t="str">
        <f>IF('[1]Processer - data'!B90&lt;&gt;"",'[1]Processer - data'!B90,"")</f>
        <v>Konventionel</v>
      </c>
      <c r="C90" t="str">
        <f>IF('[1]Processer - data'!C90&lt;&gt;"",'[1]Processer - data'!C90,"")</f>
        <v/>
      </c>
      <c r="D90" t="str">
        <f>IF('[1]Processer - data'!D90&lt;&gt;"",'[1]Processer - data'!D90,"")</f>
        <v>Køer</v>
      </c>
      <c r="E90" t="str">
        <f>IF('[1]Processer - data'!E90&lt;&gt;"",'[1]Processer - data'!E90,"")</f>
        <v>Antal</v>
      </c>
      <c r="F90" t="str">
        <f>IF('[1]Processer - data'!F90&lt;&gt;"",'[1]Processer - data'!F90,"")</f>
        <v>Dybstrøelse</v>
      </c>
      <c r="G90" t="str">
        <f>IF('[1]Processer - data'!G90&lt;&gt;"",'[1]Processer - data'!G90,"")</f>
        <v>Ton</v>
      </c>
      <c r="H90" s="302" t="e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input'!$A$3:$A$230,$A$1)),IF(VLOOKUP($A90,[1]!Table1[#All],2,FALSE)="Resultat",SUMIF($F$1:$F89,$D90,H$1:H89)+SUMIF($F91:$F$490,$D90,H91:H$490),0))*'[1]Processer - data'!H90,"")*IF($C90&lt;&gt;"",IF($F90="Halm",Landbrug!C$16*Landbrug!C$17,IF(LEFT($D90,5)="Areal", IF($G90="Ton",Landbrug!C$18,1),1)),1)*IF($F90="Grøntsager",IF($A90="Grøntsager i drivhus",Landbrug!C$51,1-Landbrug!C$51),1)</f>
        <v>#REF!</v>
      </c>
      <c r="I90" s="303" t="e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input'!$A$3:$A$230,$A$1)),IF(VLOOKUP($A90,[1]!Table1[#All],2,FALSE)="Resultat",SUMIF($F$1:$F89,$D90,I$1:I89)+SUMIF($F91:$F$490,$D90,I91:I$490),0))*'[1]Processer - data'!I90,"")*IF($C90&lt;&gt;"",IF($F90="Halm",Landbrug!D$16*Landbrug!D$17,IF(LEFT($D90,5)="Areal", IF($G90="Ton",Landbrug!D$18,1),1)),1)*IF($F90="Grøntsager",IF($A90="Grøntsager i drivhus",Landbrug!D$51,1-Landbrug!D$51),1)</f>
        <v>#REF!</v>
      </c>
      <c r="J90" s="304" t="e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input'!$A$3:$A$230,$A$1)),IF(VLOOKUP($A90,[1]!Table1[#All],2,FALSE)="Resultat",SUMIF($F$1:$F89,$D90,J$1:J89)+SUMIF($F91:$F$490,$D90,J91:J$490),0))*'[1]Processer - data'!J90,"")*IF($C90&lt;&gt;"",IF($F90="Halm",Landbrug!E$16*Landbrug!E$17,IF(LEFT($D90,5)="Areal", IF($G90="Ton",Landbrug!E$18,1),1)),1)*IF($F90="Grøntsager",IF($A90="Grøntsager i drivhus",Landbrug!E$51,1-Landbrug!E$51),1)</f>
        <v>#REF!</v>
      </c>
    </row>
    <row r="91" spans="1:10" x14ac:dyDescent="0.25">
      <c r="A91" t="str">
        <f>IF('[1]Processer - data'!A91&lt;&gt;"",'[1]Processer - data'!A91,"")</f>
        <v>Kostald</v>
      </c>
      <c r="B91" t="str">
        <f>IF('[1]Processer - data'!B91&lt;&gt;"",'[1]Processer - data'!B91,"")</f>
        <v>Konventionel</v>
      </c>
      <c r="C91" t="str">
        <f>IF('[1]Processer - data'!C91&lt;&gt;"",'[1]Processer - data'!C91,"")</f>
        <v/>
      </c>
      <c r="D91" t="str">
        <f>IF('[1]Processer - data'!D91&lt;&gt;"",'[1]Processer - data'!D91,"")</f>
        <v>Køer</v>
      </c>
      <c r="E91" t="str">
        <f>IF('[1]Processer - data'!E91&lt;&gt;"",'[1]Processer - data'!E91,"")</f>
        <v>Antal</v>
      </c>
      <c r="F91" t="str">
        <f>IF('[1]Processer - data'!F91&lt;&gt;"",'[1]Processer - data'!F91,"")</f>
        <v>Råmælk</v>
      </c>
      <c r="G91" t="str">
        <f>IF('[1]Processer - data'!G91&lt;&gt;"",'[1]Processer - data'!G91,"")</f>
        <v>Ton</v>
      </c>
      <c r="H91" s="302" t="e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input'!$A$3:$A$230,$A$1)),IF(VLOOKUP($A91,[1]!Table1[#All],2,FALSE)="Resultat",SUMIF($F$1:$F90,$D91,H$1:H90)+SUMIF($F92:$F$490,$D91,H92:H$490),0))*'[1]Processer - data'!H91,"")*IF($C91&lt;&gt;"",IF($F91="Halm",Landbrug!C$16*Landbrug!C$17,IF(LEFT($D91,5)="Areal", IF($G91="Ton",Landbrug!C$18,1),1)),1)*IF($F91="Grøntsager",IF($A91="Grøntsager i drivhus",Landbrug!C$51,1-Landbrug!C$51),1)</f>
        <v>#REF!</v>
      </c>
      <c r="I91" s="303" t="e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input'!$A$3:$A$230,$A$1)),IF(VLOOKUP($A91,[1]!Table1[#All],2,FALSE)="Resultat",SUMIF($F$1:$F90,$D91,I$1:I90)+SUMIF($F92:$F$490,$D91,I92:I$490),0))*'[1]Processer - data'!I91,"")*IF($C91&lt;&gt;"",IF($F91="Halm",Landbrug!D$16*Landbrug!D$17,IF(LEFT($D91,5)="Areal", IF($G91="Ton",Landbrug!D$18,1),1)),1)*IF($F91="Grøntsager",IF($A91="Grøntsager i drivhus",Landbrug!D$51,1-Landbrug!D$51),1)</f>
        <v>#REF!</v>
      </c>
      <c r="J91" s="304" t="e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input'!$A$3:$A$230,$A$1)),IF(VLOOKUP($A91,[1]!Table1[#All],2,FALSE)="Resultat",SUMIF($F$1:$F90,$D91,J$1:J90)+SUMIF($F92:$F$490,$D91,J92:J$490),0))*'[1]Processer - data'!J91,"")*IF($C91&lt;&gt;"",IF($F91="Halm",Landbrug!E$16*Landbrug!E$17,IF(LEFT($D91,5)="Areal", IF($G91="Ton",Landbrug!E$18,1),1)),1)*IF($F91="Grøntsager",IF($A91="Grøntsager i drivhus",Landbrug!E$51,1-Landbrug!E$51),1)</f>
        <v>#REF!</v>
      </c>
    </row>
    <row r="92" spans="1:10" x14ac:dyDescent="0.25">
      <c r="A92" t="str">
        <f>IF('[1]Processer - data'!A92&lt;&gt;"",'[1]Processer - data'!A92,"")</f>
        <v>Kostald</v>
      </c>
      <c r="B92" t="str">
        <f>IF('[1]Processer - data'!B92&lt;&gt;"",'[1]Processer - data'!B92,"")</f>
        <v>Konventionel</v>
      </c>
      <c r="C92" t="str">
        <f>IF('[1]Processer - data'!C92&lt;&gt;"",'[1]Processer - data'!C92,"")</f>
        <v/>
      </c>
      <c r="D92" t="str">
        <f>IF('[1]Processer - data'!D92&lt;&gt;"",'[1]Processer - data'!D92,"")</f>
        <v>Køer</v>
      </c>
      <c r="E92" t="str">
        <f>IF('[1]Processer - data'!E92&lt;&gt;"",'[1]Processer - data'!E92,"")</f>
        <v>Antal</v>
      </c>
      <c r="F92" t="str">
        <f>IF('[1]Processer - data'!F92&lt;&gt;"",'[1]Processer - data'!F92,"")</f>
        <v>Industriaffald</v>
      </c>
      <c r="G92" t="str">
        <f>IF('[1]Processer - data'!G92&lt;&gt;"",'[1]Processer - data'!G92,"")</f>
        <v>Ton</v>
      </c>
      <c r="H92" s="302" t="e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input'!$A$3:$A$230,$A$1)),IF(VLOOKUP($A92,[1]!Table1[#All],2,FALSE)="Resultat",SUMIF($F$1:$F91,$D92,H$1:H91)+SUMIF($F93:$F$490,$D92,H93:H$490),0))*'[1]Processer - data'!H92,"")*IF($C92&lt;&gt;"",IF($F92="Halm",Landbrug!C$16*Landbrug!C$17,IF(LEFT($D92,5)="Areal", IF($G92="Ton",Landbrug!C$18,1),1)),1)*IF($F92="Grøntsager",IF($A92="Grøntsager i drivhus",Landbrug!C$51,1-Landbrug!C$51),1)</f>
        <v>#REF!</v>
      </c>
      <c r="I92" s="303" t="e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input'!$A$3:$A$230,$A$1)),IF(VLOOKUP($A92,[1]!Table1[#All],2,FALSE)="Resultat",SUMIF($F$1:$F91,$D92,I$1:I91)+SUMIF($F93:$F$490,$D92,I93:I$490),0))*'[1]Processer - data'!I92,"")*IF($C92&lt;&gt;"",IF($F92="Halm",Landbrug!D$16*Landbrug!D$17,IF(LEFT($D92,5)="Areal", IF($G92="Ton",Landbrug!D$18,1),1)),1)*IF($F92="Grøntsager",IF($A92="Grøntsager i drivhus",Landbrug!D$51,1-Landbrug!D$51),1)</f>
        <v>#REF!</v>
      </c>
      <c r="J92" s="304" t="e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input'!$A$3:$A$230,$A$1)),IF(VLOOKUP($A92,[1]!Table1[#All],2,FALSE)="Resultat",SUMIF($F$1:$F91,$D92,J$1:J91)+SUMIF($F93:$F$490,$D92,J93:J$490),0))*'[1]Processer - data'!J92,"")*IF($C92&lt;&gt;"",IF($F92="Halm",Landbrug!E$16*Landbrug!E$17,IF(LEFT($D92,5)="Areal", IF($G92="Ton",Landbrug!E$18,1),1)),1)*IF($F92="Grøntsager",IF($A92="Grøntsager i drivhus",Landbrug!E$51,1-Landbrug!E$51),1)</f>
        <v>#REF!</v>
      </c>
    </row>
    <row r="93" spans="1:10" x14ac:dyDescent="0.25">
      <c r="A93" t="str">
        <f>IF('[1]Processer - data'!A93&lt;&gt;"",'[1]Processer - data'!A93,"")</f>
        <v>Kostald</v>
      </c>
      <c r="B93" t="str">
        <f>IF('[1]Processer - data'!B93&lt;&gt;"",'[1]Processer - data'!B93,"")</f>
        <v>Konventionel</v>
      </c>
      <c r="C93" t="str">
        <f>IF('[1]Processer - data'!C93&lt;&gt;"",'[1]Processer - data'!C93,"")</f>
        <v/>
      </c>
      <c r="D93" t="str">
        <f>IF('[1]Processer - data'!D93&lt;&gt;"",'[1]Processer - data'!D93,"")</f>
        <v>Køer</v>
      </c>
      <c r="E93" t="str">
        <f>IF('[1]Processer - data'!E93&lt;&gt;"",'[1]Processer - data'!E93,"")</f>
        <v>Antal</v>
      </c>
      <c r="F93" t="str">
        <f>IF('[1]Processer - data'!F93&lt;&gt;"",'[1]Processer - data'!F93,"")</f>
        <v>Foder</v>
      </c>
      <c r="G93" t="str">
        <f>IF('[1]Processer - data'!G93&lt;&gt;"",'[1]Processer - data'!G93,"")</f>
        <v>FE</v>
      </c>
      <c r="H93" s="302" t="e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input'!$A$3:$A$230,$A$1)),IF(VLOOKUP($A93,[1]!Table1[#All],2,FALSE)="Resultat",SUMIF($F$1:$F92,$D93,H$1:H92)+SUMIF($F94:$F$490,$D93,H94:H$490),0))*'[1]Processer - data'!H93,"")*IF($C93&lt;&gt;"",IF($F93="Halm",Landbrug!C$16*Landbrug!C$17,IF(LEFT($D93,5)="Areal", IF($G93="Ton",Landbrug!C$18,1),1)),1)*IF($F93="Grøntsager",IF($A93="Grøntsager i drivhus",Landbrug!C$51,1-Landbrug!C$51),1)</f>
        <v>#REF!</v>
      </c>
      <c r="I93" s="303" t="e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input'!$A$3:$A$230,$A$1)),IF(VLOOKUP($A93,[1]!Table1[#All],2,FALSE)="Resultat",SUMIF($F$1:$F92,$D93,I$1:I92)+SUMIF($F94:$F$490,$D93,I94:I$490),0))*'[1]Processer - data'!I93,"")*IF($C93&lt;&gt;"",IF($F93="Halm",Landbrug!D$16*Landbrug!D$17,IF(LEFT($D93,5)="Areal", IF($G93="Ton",Landbrug!D$18,1),1)),1)*IF($F93="Grøntsager",IF($A93="Grøntsager i drivhus",Landbrug!D$51,1-Landbrug!D$51),1)</f>
        <v>#REF!</v>
      </c>
      <c r="J93" s="304" t="e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input'!$A$3:$A$230,$A$1)),IF(VLOOKUP($A93,[1]!Table1[#All],2,FALSE)="Resultat",SUMIF($F$1:$F92,$D93,J$1:J92)+SUMIF($F94:$F$490,$D93,J94:J$490),0))*'[1]Processer - data'!J93,"")*IF($C93&lt;&gt;"",IF($F93="Halm",Landbrug!E$16*Landbrug!E$17,IF(LEFT($D93,5)="Areal", IF($G93="Ton",Landbrug!E$18,1),1)),1)*IF($F93="Grøntsager",IF($A93="Grøntsager i drivhus",Landbrug!E$51,1-Landbrug!E$51),1)</f>
        <v>#REF!</v>
      </c>
    </row>
    <row r="94" spans="1:10" x14ac:dyDescent="0.25">
      <c r="A94" t="str">
        <f>IF('[1]Processer - data'!A94&lt;&gt;"",'[1]Processer - data'!A94,"")</f>
        <v>Kostald</v>
      </c>
      <c r="B94" t="str">
        <f>IF('[1]Processer - data'!B94&lt;&gt;"",'[1]Processer - data'!B94,"")</f>
        <v>Konventionel</v>
      </c>
      <c r="C94" t="str">
        <f>IF('[1]Processer - data'!C94&lt;&gt;"",'[1]Processer - data'!C94,"")</f>
        <v/>
      </c>
      <c r="D94" t="str">
        <f>IF('[1]Processer - data'!D94&lt;&gt;"",'[1]Processer - data'!D94,"")</f>
        <v>Køer</v>
      </c>
      <c r="E94" t="str">
        <f>IF('[1]Processer - data'!E94&lt;&gt;"",'[1]Processer - data'!E94,"")</f>
        <v>Antal</v>
      </c>
      <c r="F94" t="str">
        <f>IF('[1]Processer - data'!F94&lt;&gt;"",'[1]Processer - data'!F94,"")</f>
        <v>Halm</v>
      </c>
      <c r="G94" t="str">
        <f>IF('[1]Processer - data'!G94&lt;&gt;"",'[1]Processer - data'!G94,"")</f>
        <v>Ton</v>
      </c>
      <c r="H94" s="302" t="e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input'!$A$3:$A$230,$A$1)),IF(VLOOKUP($A94,[1]!Table1[#All],2,FALSE)="Resultat",SUMIF($F$1:$F93,$D94,H$1:H93)+SUMIF($F95:$F$490,$D94,H95:H$490),0))*'[1]Processer - data'!H94,"")*IF($C94&lt;&gt;"",IF($F94="Halm",Landbrug!C$16*Landbrug!C$17,IF(LEFT($D94,5)="Areal", IF($G94="Ton",Landbrug!C$18,1),1)),1)*IF($F94="Grøntsager",IF($A94="Grøntsager i drivhus",Landbrug!C$51,1-Landbrug!C$51),1)</f>
        <v>#REF!</v>
      </c>
      <c r="I94" s="303" t="e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input'!$A$3:$A$230,$A$1)),IF(VLOOKUP($A94,[1]!Table1[#All],2,FALSE)="Resultat",SUMIF($F$1:$F93,$D94,I$1:I93)+SUMIF($F95:$F$490,$D94,I95:I$490),0))*'[1]Processer - data'!I94,"")*IF($C94&lt;&gt;"",IF($F94="Halm",Landbrug!D$16*Landbrug!D$17,IF(LEFT($D94,5)="Areal", IF($G94="Ton",Landbrug!D$18,1),1)),1)*IF($F94="Grøntsager",IF($A94="Grøntsager i drivhus",Landbrug!D$51,1-Landbrug!D$51),1)</f>
        <v>#REF!</v>
      </c>
      <c r="J94" s="304" t="e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input'!$A$3:$A$230,$A$1)),IF(VLOOKUP($A94,[1]!Table1[#All],2,FALSE)="Resultat",SUMIF($F$1:$F93,$D94,J$1:J93)+SUMIF($F95:$F$490,$D94,J95:J$490),0))*'[1]Processer - data'!J94,"")*IF($C94&lt;&gt;"",IF($F94="Halm",Landbrug!E$16*Landbrug!E$17,IF(LEFT($D94,5)="Areal", IF($G94="Ton",Landbrug!E$18,1),1)),1)*IF($F94="Grøntsager",IF($A94="Grøntsager i drivhus",Landbrug!E$51,1-Landbrug!E$51),1)</f>
        <v>#REF!</v>
      </c>
    </row>
    <row r="95" spans="1:10" x14ac:dyDescent="0.25">
      <c r="A95" t="str">
        <f>IF('[1]Processer - data'!A95&lt;&gt;"",'[1]Processer - data'!A95,"")</f>
        <v>Kostald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Køer</v>
      </c>
      <c r="E95" t="str">
        <f>IF('[1]Processer - data'!E95&lt;&gt;"",'[1]Processer - data'!E95,"")</f>
        <v>Antal</v>
      </c>
      <c r="F95" t="str">
        <f>IF('[1]Processer - data'!F95&lt;&gt;"",'[1]Processer - data'!F95,"")</f>
        <v>CO2 - atmosfære</v>
      </c>
      <c r="G95" t="str">
        <f>IF('[1]Processer - data'!G95&lt;&gt;"",'[1]Processer - data'!G95,"")</f>
        <v>t CO2-ækvivalenter</v>
      </c>
      <c r="H95" s="302" t="e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input'!$A$3:$A$230,$A$1)),IF(VLOOKUP($A95,[1]!Table1[#All],2,FALSE)="Resultat",SUMIF($F$1:$F94,$D95,H$1:H94)+SUMIF($F96:$F$490,$D95,H96:H$490),0))*'[1]Processer - data'!H95,"")*IF($C95&lt;&gt;"",IF($F95="Halm",Landbrug!C$16*Landbrug!C$17,IF(LEFT($D95,5)="Areal", IF($G95="Ton",Landbrug!C$18,1),1)),1)*IF($F95="Grøntsager",IF($A95="Grøntsager i drivhus",Landbrug!C$51,1-Landbrug!C$51),1)</f>
        <v>#REF!</v>
      </c>
      <c r="I95" s="303" t="e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input'!$A$3:$A$230,$A$1)),IF(VLOOKUP($A95,[1]!Table1[#All],2,FALSE)="Resultat",SUMIF($F$1:$F94,$D95,I$1:I94)+SUMIF($F96:$F$490,$D95,I96:I$490),0))*'[1]Processer - data'!I95,"")*IF($C95&lt;&gt;"",IF($F95="Halm",Landbrug!D$16*Landbrug!D$17,IF(LEFT($D95,5)="Areal", IF($G95="Ton",Landbrug!D$18,1),1)),1)*IF($F95="Grøntsager",IF($A95="Grøntsager i drivhus",Landbrug!D$51,1-Landbrug!D$51),1)</f>
        <v>#REF!</v>
      </c>
      <c r="J95" s="304" t="e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input'!$A$3:$A$230,$A$1)),IF(VLOOKUP($A95,[1]!Table1[#All],2,FALSE)="Resultat",SUMIF($F$1:$F94,$D95,J$1:J94)+SUMIF($F96:$F$490,$D95,J96:J$490),0))*'[1]Processer - data'!J95,"")*IF($C95&lt;&gt;"",IF($F95="Halm",Landbrug!E$16*Landbrug!E$17,IF(LEFT($D95,5)="Areal", IF($G95="Ton",Landbrug!E$18,1),1)),1)*IF($F95="Grøntsager",IF($A95="Grøntsager i drivhus",Landbrug!E$51,1-Landbrug!E$51),1)</f>
        <v>#REF!</v>
      </c>
    </row>
    <row r="96" spans="1:10" x14ac:dyDescent="0.25">
      <c r="A96" t="str">
        <f>IF('[1]Processer - data'!A96&lt;&gt;"",'[1]Processer - data'!A96,"")</f>
        <v>Kostald</v>
      </c>
      <c r="B96" t="str">
        <f>IF('[1]Processer - data'!B96&lt;&gt;"",'[1]Processer - data'!B96,"")</f>
        <v>Økologisk</v>
      </c>
      <c r="C96" t="str">
        <f>IF('[1]Processer - data'!C96&lt;&gt;"",'[1]Processer - data'!C96,"")</f>
        <v/>
      </c>
      <c r="D96" t="str">
        <f>IF('[1]Processer - data'!D96&lt;&gt;"",'[1]Processer - data'!D96,"")</f>
        <v>Køer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Slagtekøer</v>
      </c>
      <c r="G96" t="str">
        <f>IF('[1]Processer - data'!G96&lt;&gt;"",'[1]Processer - data'!G96,"")</f>
        <v>Antal</v>
      </c>
      <c r="H96" s="302" t="e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input'!$A$3:$A$230,$A$1)),IF(VLOOKUP($A96,[1]!Table1[#All],2,FALSE)="Resultat",SUMIF($F$1:$F95,$D96,H$1:H95)+SUMIF($F97:$F$490,$D96,H97:H$490),0))*'[1]Processer - data'!H96,"")*IF($C96&lt;&gt;"",IF($F96="Halm",Landbrug!C$16*Landbrug!C$17,IF(LEFT($D96,5)="Areal", IF($G96="Ton",Landbrug!C$18,1),1)),1)*IF($F96="Grøntsager",IF($A96="Grøntsager i drivhus",Landbrug!C$51,1-Landbrug!C$51),1)</f>
        <v>#REF!</v>
      </c>
      <c r="I96" s="303" t="e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input'!$A$3:$A$230,$A$1)),IF(VLOOKUP($A96,[1]!Table1[#All],2,FALSE)="Resultat",SUMIF($F$1:$F95,$D96,I$1:I95)+SUMIF($F97:$F$490,$D96,I97:I$490),0))*'[1]Processer - data'!I96,"")*IF($C96&lt;&gt;"",IF($F96="Halm",Landbrug!D$16*Landbrug!D$17,IF(LEFT($D96,5)="Areal", IF($G96="Ton",Landbrug!D$18,1),1)),1)*IF($F96="Grøntsager",IF($A96="Grøntsager i drivhus",Landbrug!D$51,1-Landbrug!D$51),1)</f>
        <v>#REF!</v>
      </c>
      <c r="J96" s="304" t="e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input'!$A$3:$A$230,$A$1)),IF(VLOOKUP($A96,[1]!Table1[#All],2,FALSE)="Resultat",SUMIF($F$1:$F95,$D96,J$1:J95)+SUMIF($F97:$F$490,$D96,J97:J$490),0))*'[1]Processer - data'!J96,"")*IF($C96&lt;&gt;"",IF($F96="Halm",Landbrug!E$16*Landbrug!E$17,IF(LEFT($D96,5)="Areal", IF($G96="Ton",Landbrug!E$18,1),1)),1)*IF($F96="Grøntsager",IF($A96="Grøntsager i drivhus",Landbrug!E$51,1-Landbrug!E$51),1)</f>
        <v>#REF!</v>
      </c>
    </row>
    <row r="97" spans="1:10" x14ac:dyDescent="0.25">
      <c r="A97" t="str">
        <f>IF('[1]Processer - data'!A97&lt;&gt;"",'[1]Processer - data'!A97,"")</f>
        <v>Kostald</v>
      </c>
      <c r="B97" t="str">
        <f>IF('[1]Processer - data'!B97&lt;&gt;"",'[1]Processer - data'!B97,"")</f>
        <v>Økologisk</v>
      </c>
      <c r="C97" t="str">
        <f>IF('[1]Processer - data'!C97&lt;&gt;"",'[1]Processer - data'!C97,"")</f>
        <v/>
      </c>
      <c r="D97" t="str">
        <f>IF('[1]Processer - data'!D97&lt;&gt;"",'[1]Processer - data'!D97,"")</f>
        <v>Køer</v>
      </c>
      <c r="E97" t="str">
        <f>IF('[1]Processer - data'!E97&lt;&gt;"",'[1]Processer - data'!E97,"")</f>
        <v>Antal</v>
      </c>
      <c r="F97" t="str">
        <f>IF('[1]Processer - data'!F97&lt;&gt;"",'[1]Processer - data'!F97,"")</f>
        <v>Kvæggylle</v>
      </c>
      <c r="G97" t="str">
        <f>IF('[1]Processer - data'!G97&lt;&gt;"",'[1]Processer - data'!G97,"")</f>
        <v>Ton</v>
      </c>
      <c r="H97" s="302" t="e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input'!$A$3:$A$230,$A$1)),IF(VLOOKUP($A97,[1]!Table1[#All],2,FALSE)="Resultat",SUMIF($F$1:$F96,$D97,H$1:H96)+SUMIF($F98:$F$490,$D97,H98:H$490),0))*'[1]Processer - data'!H97,"")*IF($C97&lt;&gt;"",IF($F97="Halm",Landbrug!C$16*Landbrug!C$17,IF(LEFT($D97,5)="Areal", IF($G97="Ton",Landbrug!C$18,1),1)),1)*IF($F97="Grøntsager",IF($A97="Grøntsager i drivhus",Landbrug!C$51,1-Landbrug!C$51),1)</f>
        <v>#REF!</v>
      </c>
      <c r="I97" s="303" t="e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input'!$A$3:$A$230,$A$1)),IF(VLOOKUP($A97,[1]!Table1[#All],2,FALSE)="Resultat",SUMIF($F$1:$F96,$D97,I$1:I96)+SUMIF($F98:$F$490,$D97,I98:I$490),0))*'[1]Processer - data'!I97,"")*IF($C97&lt;&gt;"",IF($F97="Halm",Landbrug!D$16*Landbrug!D$17,IF(LEFT($D97,5)="Areal", IF($G97="Ton",Landbrug!D$18,1),1)),1)*IF($F97="Grøntsager",IF($A97="Grøntsager i drivhus",Landbrug!D$51,1-Landbrug!D$51),1)</f>
        <v>#REF!</v>
      </c>
      <c r="J97" s="304" t="e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input'!$A$3:$A$230,$A$1)),IF(VLOOKUP($A97,[1]!Table1[#All],2,FALSE)="Resultat",SUMIF($F$1:$F96,$D97,J$1:J96)+SUMIF($F98:$F$490,$D97,J98:J$490),0))*'[1]Processer - data'!J97,"")*IF($C97&lt;&gt;"",IF($F97="Halm",Landbrug!E$16*Landbrug!E$17,IF(LEFT($D97,5)="Areal", IF($G97="Ton",Landbrug!E$18,1),1)),1)*IF($F97="Grøntsager",IF($A97="Grøntsager i drivhus",Landbrug!E$51,1-Landbrug!E$51),1)</f>
        <v>#REF!</v>
      </c>
    </row>
    <row r="98" spans="1:10" x14ac:dyDescent="0.25">
      <c r="A98" t="str">
        <f>IF('[1]Processer - data'!A98&lt;&gt;"",'[1]Processer - data'!A98,"")</f>
        <v>Kostald</v>
      </c>
      <c r="B98" t="str">
        <f>IF('[1]Processer - data'!B98&lt;&gt;"",'[1]Processer - data'!B98,"")</f>
        <v>Økologisk</v>
      </c>
      <c r="C98" t="str">
        <f>IF('[1]Processer - data'!C98&lt;&gt;"",'[1]Processer - data'!C98,"")</f>
        <v/>
      </c>
      <c r="D98" t="str">
        <f>IF('[1]Processer - data'!D98&lt;&gt;"",'[1]Processer - data'!D98,"")</f>
        <v>Køer</v>
      </c>
      <c r="E98" t="str">
        <f>IF('[1]Processer - data'!E98&lt;&gt;"",'[1]Processer - data'!E98,"")</f>
        <v>Antal</v>
      </c>
      <c r="F98" t="str">
        <f>IF('[1]Processer - data'!F98&lt;&gt;"",'[1]Processer - data'!F98,"")</f>
        <v>Dybstrøelse</v>
      </c>
      <c r="G98" t="str">
        <f>IF('[1]Processer - data'!G98&lt;&gt;"",'[1]Processer - data'!G98,"")</f>
        <v>Ton</v>
      </c>
      <c r="H98" s="302" t="e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input'!$A$3:$A$230,$A$1)),IF(VLOOKUP($A98,[1]!Table1[#All],2,FALSE)="Resultat",SUMIF($F$1:$F97,$D98,H$1:H97)+SUMIF($F99:$F$490,$D98,H99:H$490),0))*'[1]Processer - data'!H98,"")*IF($C98&lt;&gt;"",IF($F98="Halm",Landbrug!C$16*Landbrug!C$17,IF(LEFT($D98,5)="Areal", IF($G98="Ton",Landbrug!C$18,1),1)),1)*IF($F98="Grøntsager",IF($A98="Grøntsager i drivhus",Landbrug!C$51,1-Landbrug!C$51),1)</f>
        <v>#REF!</v>
      </c>
      <c r="I98" s="303" t="e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input'!$A$3:$A$230,$A$1)),IF(VLOOKUP($A98,[1]!Table1[#All],2,FALSE)="Resultat",SUMIF($F$1:$F97,$D98,I$1:I97)+SUMIF($F99:$F$490,$D98,I99:I$490),0))*'[1]Processer - data'!I98,"")*IF($C98&lt;&gt;"",IF($F98="Halm",Landbrug!D$16*Landbrug!D$17,IF(LEFT($D98,5)="Areal", IF($G98="Ton",Landbrug!D$18,1),1)),1)*IF($F98="Grøntsager",IF($A98="Grøntsager i drivhus",Landbrug!D$51,1-Landbrug!D$51),1)</f>
        <v>#REF!</v>
      </c>
      <c r="J98" s="304" t="e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input'!$A$3:$A$230,$A$1)),IF(VLOOKUP($A98,[1]!Table1[#All],2,FALSE)="Resultat",SUMIF($F$1:$F97,$D98,J$1:J97)+SUMIF($F99:$F$490,$D98,J99:J$490),0))*'[1]Processer - data'!J98,"")*IF($C98&lt;&gt;"",IF($F98="Halm",Landbrug!E$16*Landbrug!E$17,IF(LEFT($D98,5)="Areal", IF($G98="Ton",Landbrug!E$18,1),1)),1)*IF($F98="Grøntsager",IF($A98="Grøntsager i drivhus",Landbrug!E$51,1-Landbrug!E$51),1)</f>
        <v>#REF!</v>
      </c>
    </row>
    <row r="99" spans="1:10" x14ac:dyDescent="0.25">
      <c r="A99" t="str">
        <f>IF('[1]Processer - data'!A99&lt;&gt;"",'[1]Processer - data'!A99,"")</f>
        <v>Kostald</v>
      </c>
      <c r="B99" t="str">
        <f>IF('[1]Processer - data'!B99&lt;&gt;"",'[1]Processer - data'!B99,"")</f>
        <v>Økologisk</v>
      </c>
      <c r="C99" t="str">
        <f>IF('[1]Processer - data'!C99&lt;&gt;"",'[1]Processer - data'!C99,"")</f>
        <v/>
      </c>
      <c r="D99" t="str">
        <f>IF('[1]Processer - data'!D99&lt;&gt;"",'[1]Processer - data'!D99,"")</f>
        <v>Køer</v>
      </c>
      <c r="E99" t="str">
        <f>IF('[1]Processer - data'!E99&lt;&gt;"",'[1]Processer - data'!E99,"")</f>
        <v>Antal</v>
      </c>
      <c r="F99" t="str">
        <f>IF('[1]Processer - data'!F99&lt;&gt;"",'[1]Processer - data'!F99,"")</f>
        <v>Råmælk</v>
      </c>
      <c r="G99" t="str">
        <f>IF('[1]Processer - data'!G99&lt;&gt;"",'[1]Processer - data'!G99,"")</f>
        <v>Ton</v>
      </c>
      <c r="H99" s="302" t="e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input'!$A$3:$A$230,$A$1)),IF(VLOOKUP($A99,[1]!Table1[#All],2,FALSE)="Resultat",SUMIF($F$1:$F98,$D99,H$1:H98)+SUMIF($F100:$F$490,$D99,H100:H$490),0))*'[1]Processer - data'!H99,"")*IF($C99&lt;&gt;"",IF($F99="Halm",Landbrug!C$16*Landbrug!C$17,IF(LEFT($D99,5)="Areal", IF($G99="Ton",Landbrug!C$18,1),1)),1)*IF($F99="Grøntsager",IF($A99="Grøntsager i drivhus",Landbrug!C$51,1-Landbrug!C$51),1)</f>
        <v>#REF!</v>
      </c>
      <c r="I99" s="303" t="e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input'!$A$3:$A$230,$A$1)),IF(VLOOKUP($A99,[1]!Table1[#All],2,FALSE)="Resultat",SUMIF($F$1:$F98,$D99,I$1:I98)+SUMIF($F100:$F$490,$D99,I100:I$490),0))*'[1]Processer - data'!I99,"")*IF($C99&lt;&gt;"",IF($F99="Halm",Landbrug!D$16*Landbrug!D$17,IF(LEFT($D99,5)="Areal", IF($G99="Ton",Landbrug!D$18,1),1)),1)*IF($F99="Grøntsager",IF($A99="Grøntsager i drivhus",Landbrug!D$51,1-Landbrug!D$51),1)</f>
        <v>#REF!</v>
      </c>
      <c r="J99" s="304" t="e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input'!$A$3:$A$230,$A$1)),IF(VLOOKUP($A99,[1]!Table1[#All],2,FALSE)="Resultat",SUMIF($F$1:$F98,$D99,J$1:J98)+SUMIF($F100:$F$490,$D99,J100:J$490),0))*'[1]Processer - data'!J99,"")*IF($C99&lt;&gt;"",IF($F99="Halm",Landbrug!E$16*Landbrug!E$17,IF(LEFT($D99,5)="Areal", IF($G99="Ton",Landbrug!E$18,1),1)),1)*IF($F99="Grøntsager",IF($A99="Grøntsager i drivhus",Landbrug!E$51,1-Landbrug!E$51),1)</f>
        <v>#REF!</v>
      </c>
    </row>
    <row r="100" spans="1:10" x14ac:dyDescent="0.25">
      <c r="A100" t="str">
        <f>IF('[1]Processer - data'!A100&lt;&gt;"",'[1]Processer - data'!A100,"")</f>
        <v>Kostald</v>
      </c>
      <c r="B100" t="str">
        <f>IF('[1]Processer - data'!B100&lt;&gt;"",'[1]Processer - data'!B100,"")</f>
        <v>Økologisk</v>
      </c>
      <c r="C100" t="str">
        <f>IF('[1]Processer - data'!C100&lt;&gt;"",'[1]Processer - data'!C100,"")</f>
        <v/>
      </c>
      <c r="D100" t="str">
        <f>IF('[1]Processer - data'!D100&lt;&gt;"",'[1]Processer - data'!D100,"")</f>
        <v>Køer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Industriaffald</v>
      </c>
      <c r="G100" t="str">
        <f>IF('[1]Processer - data'!G100&lt;&gt;"",'[1]Processer - data'!G100,"")</f>
        <v>Ton</v>
      </c>
      <c r="H100" s="302" t="e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input'!$A$3:$A$230,$A$1)),IF(VLOOKUP($A100,[1]!Table1[#All],2,FALSE)="Resultat",SUMIF($F$1:$F99,$D100,H$1:H99)+SUMIF($F101:$F$490,$D100,H101:H$490),0))*'[1]Processer - data'!H100,"")*IF($C100&lt;&gt;"",IF($F100="Halm",Landbrug!C$16*Landbrug!C$17,IF(LEFT($D100,5)="Areal", IF($G100="Ton",Landbrug!C$18,1),1)),1)*IF($F100="Grøntsager",IF($A100="Grøntsager i drivhus",Landbrug!C$51,1-Landbrug!C$51),1)</f>
        <v>#REF!</v>
      </c>
      <c r="I100" s="303" t="e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input'!$A$3:$A$230,$A$1)),IF(VLOOKUP($A100,[1]!Table1[#All],2,FALSE)="Resultat",SUMIF($F$1:$F99,$D100,I$1:I99)+SUMIF($F101:$F$490,$D100,I101:I$490),0))*'[1]Processer - data'!I100,"")*IF($C100&lt;&gt;"",IF($F100="Halm",Landbrug!D$16*Landbrug!D$17,IF(LEFT($D100,5)="Areal", IF($G100="Ton",Landbrug!D$18,1),1)),1)*IF($F100="Grøntsager",IF($A100="Grøntsager i drivhus",Landbrug!D$51,1-Landbrug!D$51),1)</f>
        <v>#REF!</v>
      </c>
      <c r="J100" s="304" t="e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input'!$A$3:$A$230,$A$1)),IF(VLOOKUP($A100,[1]!Table1[#All],2,FALSE)="Resultat",SUMIF($F$1:$F99,$D100,J$1:J99)+SUMIF($F101:$F$490,$D100,J101:J$490),0))*'[1]Processer - data'!J100,"")*IF($C100&lt;&gt;"",IF($F100="Halm",Landbrug!E$16*Landbrug!E$17,IF(LEFT($D100,5)="Areal", IF($G100="Ton",Landbrug!E$18,1),1)),1)*IF($F100="Grøntsager",IF($A100="Grøntsager i drivhus",Landbrug!E$51,1-Landbrug!E$51),1)</f>
        <v>#REF!</v>
      </c>
    </row>
    <row r="101" spans="1:10" x14ac:dyDescent="0.25">
      <c r="A101" t="str">
        <f>IF('[1]Processer - data'!A101&lt;&gt;"",'[1]Processer - data'!A101,"")</f>
        <v>Kostald</v>
      </c>
      <c r="B101" t="str">
        <f>IF('[1]Processer - data'!B101&lt;&gt;"",'[1]Processer - data'!B101,"")</f>
        <v>Økologisk</v>
      </c>
      <c r="C101" t="str">
        <f>IF('[1]Processer - data'!C101&lt;&gt;"",'[1]Processer - data'!C101,"")</f>
        <v/>
      </c>
      <c r="D101" t="str">
        <f>IF('[1]Processer - data'!D101&lt;&gt;"",'[1]Processer - data'!D101,"")</f>
        <v>Køer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Foder</v>
      </c>
      <c r="G101" t="str">
        <f>IF('[1]Processer - data'!G101&lt;&gt;"",'[1]Processer - data'!G101,"")</f>
        <v>FE</v>
      </c>
      <c r="H101" s="302" t="e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input'!$A$3:$A$230,$A$1)),IF(VLOOKUP($A101,[1]!Table1[#All],2,FALSE)="Resultat",SUMIF($F$1:$F100,$D101,H$1:H100)+SUMIF($F102:$F$490,$D101,H102:H$490),0))*'[1]Processer - data'!H101,"")*IF($C101&lt;&gt;"",IF($F101="Halm",Landbrug!C$16*Landbrug!C$17,IF(LEFT($D101,5)="Areal", IF($G101="Ton",Landbrug!C$18,1),1)),1)*IF($F101="Grøntsager",IF($A101="Grøntsager i drivhus",Landbrug!C$51,1-Landbrug!C$51),1)</f>
        <v>#REF!</v>
      </c>
      <c r="I101" s="303" t="e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input'!$A$3:$A$230,$A$1)),IF(VLOOKUP($A101,[1]!Table1[#All],2,FALSE)="Resultat",SUMIF($F$1:$F100,$D101,I$1:I100)+SUMIF($F102:$F$490,$D101,I102:I$490),0))*'[1]Processer - data'!I101,"")*IF($C101&lt;&gt;"",IF($F101="Halm",Landbrug!D$16*Landbrug!D$17,IF(LEFT($D101,5)="Areal", IF($G101="Ton",Landbrug!D$18,1),1)),1)*IF($F101="Grøntsager",IF($A101="Grøntsager i drivhus",Landbrug!D$51,1-Landbrug!D$51),1)</f>
        <v>#REF!</v>
      </c>
      <c r="J101" s="304" t="e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input'!$A$3:$A$230,$A$1)),IF(VLOOKUP($A101,[1]!Table1[#All],2,FALSE)="Resultat",SUMIF($F$1:$F100,$D101,J$1:J100)+SUMIF($F102:$F$490,$D101,J102:J$490),0))*'[1]Processer - data'!J101,"")*IF($C101&lt;&gt;"",IF($F101="Halm",Landbrug!E$16*Landbrug!E$17,IF(LEFT($D101,5)="Areal", IF($G101="Ton",Landbrug!E$18,1),1)),1)*IF($F101="Grøntsager",IF($A101="Grøntsager i drivhus",Landbrug!E$51,1-Landbrug!E$51),1)</f>
        <v>#REF!</v>
      </c>
    </row>
    <row r="102" spans="1:10" x14ac:dyDescent="0.25">
      <c r="A102" t="str">
        <f>IF('[1]Processer - data'!A102&lt;&gt;"",'[1]Processer - data'!A102,"")</f>
        <v>Kostald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Køer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Halm</v>
      </c>
      <c r="G102" t="str">
        <f>IF('[1]Processer - data'!G102&lt;&gt;"",'[1]Processer - data'!G102,"")</f>
        <v>Ton</v>
      </c>
      <c r="H102" s="302" t="e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input'!$A$3:$A$230,$A$1)),IF(VLOOKUP($A102,[1]!Table1[#All],2,FALSE)="Resultat",SUMIF($F$1:$F101,$D102,H$1:H101)+SUMIF($F103:$F$490,$D102,H103:H$490),0))*'[1]Processer - data'!H102,"")*IF($C102&lt;&gt;"",IF($F102="Halm",Landbrug!C$16*Landbrug!C$17,IF(LEFT($D102,5)="Areal", IF($G102="Ton",Landbrug!C$18,1),1)),1)*IF($F102="Grøntsager",IF($A102="Grøntsager i drivhus",Landbrug!C$51,1-Landbrug!C$51),1)</f>
        <v>#REF!</v>
      </c>
      <c r="I102" s="303" t="e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input'!$A$3:$A$230,$A$1)),IF(VLOOKUP($A102,[1]!Table1[#All],2,FALSE)="Resultat",SUMIF($F$1:$F101,$D102,I$1:I101)+SUMIF($F103:$F$490,$D102,I103:I$490),0))*'[1]Processer - data'!I102,"")*IF($C102&lt;&gt;"",IF($F102="Halm",Landbrug!D$16*Landbrug!D$17,IF(LEFT($D102,5)="Areal", IF($G102="Ton",Landbrug!D$18,1),1)),1)*IF($F102="Grøntsager",IF($A102="Grøntsager i drivhus",Landbrug!D$51,1-Landbrug!D$51),1)</f>
        <v>#REF!</v>
      </c>
      <c r="J102" s="304" t="e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input'!$A$3:$A$230,$A$1)),IF(VLOOKUP($A102,[1]!Table1[#All],2,FALSE)="Resultat",SUMIF($F$1:$F101,$D102,J$1:J101)+SUMIF($F103:$F$490,$D102,J103:J$490),0))*'[1]Processer - data'!J102,"")*IF($C102&lt;&gt;"",IF($F102="Halm",Landbrug!E$16*Landbrug!E$17,IF(LEFT($D102,5)="Areal", IF($G102="Ton",Landbrug!E$18,1),1)),1)*IF($F102="Grøntsager",IF($A102="Grøntsager i drivhus",Landbrug!E$51,1-Landbrug!E$51),1)</f>
        <v>#REF!</v>
      </c>
    </row>
    <row r="103" spans="1:10" x14ac:dyDescent="0.25">
      <c r="A103" t="str">
        <f>IF('[1]Processer - data'!A103&lt;&gt;"",'[1]Processer - data'!A103,"")</f>
        <v>Kostald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Køer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CO2 - atmosfære</v>
      </c>
      <c r="G103" t="str">
        <f>IF('[1]Processer - data'!G103&lt;&gt;"",'[1]Processer - data'!G103,"")</f>
        <v>t CO2-ækvivalenter</v>
      </c>
      <c r="H103" s="302" t="e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input'!$A$3:$A$230,$A$1)),IF(VLOOKUP($A103,[1]!Table1[#All],2,FALSE)="Resultat",SUMIF($F$1:$F102,$D103,H$1:H102)+SUMIF($F104:$F$490,$D103,H104:H$490),0))*'[1]Processer - data'!H103,"")*IF($C103&lt;&gt;"",IF($F103="Halm",Landbrug!C$16*Landbrug!C$17,IF(LEFT($D103,5)="Areal", IF($G103="Ton",Landbrug!C$18,1),1)),1)*IF($F103="Grøntsager",IF($A103="Grøntsager i drivhus",Landbrug!C$51,1-Landbrug!C$51),1)</f>
        <v>#REF!</v>
      </c>
      <c r="I103" s="303" t="e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input'!$A$3:$A$230,$A$1)),IF(VLOOKUP($A103,[1]!Table1[#All],2,FALSE)="Resultat",SUMIF($F$1:$F102,$D103,I$1:I102)+SUMIF($F104:$F$490,$D103,I104:I$490),0))*'[1]Processer - data'!I103,"")*IF($C103&lt;&gt;"",IF($F103="Halm",Landbrug!D$16*Landbrug!D$17,IF(LEFT($D103,5)="Areal", IF($G103="Ton",Landbrug!D$18,1),1)),1)*IF($F103="Grøntsager",IF($A103="Grøntsager i drivhus",Landbrug!D$51,1-Landbrug!D$51),1)</f>
        <v>#REF!</v>
      </c>
      <c r="J103" s="304" t="e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input'!$A$3:$A$230,$A$1)),IF(VLOOKUP($A103,[1]!Table1[#All],2,FALSE)="Resultat",SUMIF($F$1:$F102,$D103,J$1:J102)+SUMIF($F104:$F$490,$D103,J104:J$490),0))*'[1]Processer - data'!J103,"")*IF($C103&lt;&gt;"",IF($F103="Halm",Landbrug!E$16*Landbrug!E$17,IF(LEFT($D103,5)="Areal", IF($G103="Ton",Landbrug!E$18,1),1)),1)*IF($F103="Grøntsager",IF($A103="Grøntsager i drivhus",Landbrug!E$51,1-Landbrug!E$51),1)</f>
        <v>#REF!</v>
      </c>
    </row>
    <row r="104" spans="1:10" x14ac:dyDescent="0.25">
      <c r="A104" t="str">
        <f>IF('[1]Processer - data'!A104&lt;&gt;"",'[1]Processer - data'!A104,"")</f>
        <v>Fjerkræbrug</v>
      </c>
      <c r="B104" t="str">
        <f>IF('[1]Processer - data'!B104&lt;&gt;"",'[1]Processer - data'!B104,"")</f>
        <v>Konventionel</v>
      </c>
      <c r="C104" t="str">
        <f>IF('[1]Processer - data'!C104&lt;&gt;"",'[1]Processer - data'!C104,"")</f>
        <v/>
      </c>
      <c r="D104" t="str">
        <f>IF('[1]Processer - data'!D104&lt;&gt;"",'[1]Processer - data'!D104,"")</f>
        <v>Fjerkræ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Slagtefjerkræ</v>
      </c>
      <c r="G104" t="str">
        <f>IF('[1]Processer - data'!G104&lt;&gt;"",'[1]Processer - data'!G104,"")</f>
        <v>Antal</v>
      </c>
      <c r="H104" s="302" t="e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input'!$A$3:$A$230,$A$1)),IF(VLOOKUP($A104,[1]!Table1[#All],2,FALSE)="Resultat",SUMIF($F$1:$F103,$D104,H$1:H103)+SUMIF($F105:$F$490,$D104,H105:H$490),0))*'[1]Processer - data'!H104,"")*IF($C104&lt;&gt;"",IF($F104="Halm",Landbrug!C$16*Landbrug!C$17,IF(LEFT($D104,5)="Areal", IF($G104="Ton",Landbrug!C$18,1),1)),1)*IF($F104="Grøntsager",IF($A104="Grøntsager i drivhus",Landbrug!C$51,1-Landbrug!C$51),1)</f>
        <v>#REF!</v>
      </c>
      <c r="I104" s="303" t="e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input'!$A$3:$A$230,$A$1)),IF(VLOOKUP($A104,[1]!Table1[#All],2,FALSE)="Resultat",SUMIF($F$1:$F103,$D104,I$1:I103)+SUMIF($F105:$F$490,$D104,I105:I$490),0))*'[1]Processer - data'!I104,"")*IF($C104&lt;&gt;"",IF($F104="Halm",Landbrug!D$16*Landbrug!D$17,IF(LEFT($D104,5)="Areal", IF($G104="Ton",Landbrug!D$18,1),1)),1)*IF($F104="Grøntsager",IF($A104="Grøntsager i drivhus",Landbrug!D$51,1-Landbrug!D$51),1)</f>
        <v>#REF!</v>
      </c>
      <c r="J104" s="304" t="e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input'!$A$3:$A$230,$A$1)),IF(VLOOKUP($A104,[1]!Table1[#All],2,FALSE)="Resultat",SUMIF($F$1:$F103,$D104,J$1:J103)+SUMIF($F105:$F$490,$D104,J105:J$490),0))*'[1]Processer - data'!J104,"")*IF($C104&lt;&gt;"",IF($F104="Halm",Landbrug!E$16*Landbrug!E$17,IF(LEFT($D104,5)="Areal", IF($G104="Ton",Landbrug!E$18,1),1)),1)*IF($F104="Grøntsager",IF($A104="Grøntsager i drivhus",Landbrug!E$51,1-Landbrug!E$51),1)</f>
        <v>#REF!</v>
      </c>
    </row>
    <row r="105" spans="1:10" x14ac:dyDescent="0.25">
      <c r="A105" t="str">
        <f>IF('[1]Processer - data'!A105&lt;&gt;"",'[1]Processer - data'!A105,"")</f>
        <v>Fjerkræbrug</v>
      </c>
      <c r="B105" t="str">
        <f>IF('[1]Processer - data'!B105&lt;&gt;"",'[1]Processer - data'!B105,"")</f>
        <v>Konventionel</v>
      </c>
      <c r="C105" t="str">
        <f>IF('[1]Processer - data'!C105&lt;&gt;"",'[1]Processer - data'!C105,"")</f>
        <v/>
      </c>
      <c r="D105" t="str">
        <f>IF('[1]Processer - data'!D105&lt;&gt;"",'[1]Processer - data'!D105,"")</f>
        <v>Fjerkræ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Fjerkrægylle</v>
      </c>
      <c r="G105" t="str">
        <f>IF('[1]Processer - data'!G105&lt;&gt;"",'[1]Processer - data'!G105,"")</f>
        <v>Ton</v>
      </c>
      <c r="H105" s="302" t="e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input'!$A$3:$A$230,$A$1)),IF(VLOOKUP($A105,[1]!Table1[#All],2,FALSE)="Resultat",SUMIF($F$1:$F104,$D105,H$1:H104)+SUMIF($F106:$F$490,$D105,H106:H$490),0))*'[1]Processer - data'!H105,"")*IF($C105&lt;&gt;"",IF($F105="Halm",Landbrug!C$16*Landbrug!C$17,IF(LEFT($D105,5)="Areal", IF($G105="Ton",Landbrug!C$18,1),1)),1)*IF($F105="Grøntsager",IF($A105="Grøntsager i drivhus",Landbrug!C$51,1-Landbrug!C$51),1)</f>
        <v>#REF!</v>
      </c>
      <c r="I105" s="303" t="e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input'!$A$3:$A$230,$A$1)),IF(VLOOKUP($A105,[1]!Table1[#All],2,FALSE)="Resultat",SUMIF($F$1:$F104,$D105,I$1:I104)+SUMIF($F106:$F$490,$D105,I106:I$490),0))*'[1]Processer - data'!I105,"")*IF($C105&lt;&gt;"",IF($F105="Halm",Landbrug!D$16*Landbrug!D$17,IF(LEFT($D105,5)="Areal", IF($G105="Ton",Landbrug!D$18,1),1)),1)*IF($F105="Grøntsager",IF($A105="Grøntsager i drivhus",Landbrug!D$51,1-Landbrug!D$51),1)</f>
        <v>#REF!</v>
      </c>
      <c r="J105" s="304" t="e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input'!$A$3:$A$230,$A$1)),IF(VLOOKUP($A105,[1]!Table1[#All],2,FALSE)="Resultat",SUMIF($F$1:$F104,$D105,J$1:J104)+SUMIF($F106:$F$490,$D105,J106:J$490),0))*'[1]Processer - data'!J105,"")*IF($C105&lt;&gt;"",IF($F105="Halm",Landbrug!E$16*Landbrug!E$17,IF(LEFT($D105,5)="Areal", IF($G105="Ton",Landbrug!E$18,1),1)),1)*IF($F105="Grøntsager",IF($A105="Grøntsager i drivhus",Landbrug!E$51,1-Landbrug!E$51),1)</f>
        <v>#REF!</v>
      </c>
    </row>
    <row r="106" spans="1:10" x14ac:dyDescent="0.25">
      <c r="A106" t="str">
        <f>IF('[1]Processer - data'!A106&lt;&gt;"",'[1]Processer - data'!A106,"")</f>
        <v>Fjerkræbrug</v>
      </c>
      <c r="B106" t="str">
        <f>IF('[1]Processer - data'!B106&lt;&gt;"",'[1]Processer - data'!B106,"")</f>
        <v>Konventionel</v>
      </c>
      <c r="C106" t="str">
        <f>IF('[1]Processer - data'!C106&lt;&gt;"",'[1]Processer - data'!C106,"")</f>
        <v/>
      </c>
      <c r="D106" t="str">
        <f>IF('[1]Processer - data'!D106&lt;&gt;"",'[1]Processer - data'!D106,"")</f>
        <v>Fjerkræ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Dybstrøelse</v>
      </c>
      <c r="G106" t="str">
        <f>IF('[1]Processer - data'!G106&lt;&gt;"",'[1]Processer - data'!G106,"")</f>
        <v>Ton</v>
      </c>
      <c r="H106" s="302" t="e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input'!$A$3:$A$230,$A$1)),IF(VLOOKUP($A106,[1]!Table1[#All],2,FALSE)="Resultat",SUMIF($F$1:$F105,$D106,H$1:H105)+SUMIF($F107:$F$490,$D106,H107:H$490),0))*'[1]Processer - data'!H106,"")*IF($C106&lt;&gt;"",IF($F106="Halm",Landbrug!C$16*Landbrug!C$17,IF(LEFT($D106,5)="Areal", IF($G106="Ton",Landbrug!C$18,1),1)),1)*IF($F106="Grøntsager",IF($A106="Grøntsager i drivhus",Landbrug!C$51,1-Landbrug!C$51),1)</f>
        <v>#REF!</v>
      </c>
      <c r="I106" s="303" t="e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input'!$A$3:$A$230,$A$1)),IF(VLOOKUP($A106,[1]!Table1[#All],2,FALSE)="Resultat",SUMIF($F$1:$F105,$D106,I$1:I105)+SUMIF($F107:$F$490,$D106,I107:I$490),0))*'[1]Processer - data'!I106,"")*IF($C106&lt;&gt;"",IF($F106="Halm",Landbrug!D$16*Landbrug!D$17,IF(LEFT($D106,5)="Areal", IF($G106="Ton",Landbrug!D$18,1),1)),1)*IF($F106="Grøntsager",IF($A106="Grøntsager i drivhus",Landbrug!D$51,1-Landbrug!D$51),1)</f>
        <v>#REF!</v>
      </c>
      <c r="J106" s="304" t="e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input'!$A$3:$A$230,$A$1)),IF(VLOOKUP($A106,[1]!Table1[#All],2,FALSE)="Resultat",SUMIF($F$1:$F105,$D106,J$1:J105)+SUMIF($F107:$F$490,$D106,J107:J$490),0))*'[1]Processer - data'!J106,"")*IF($C106&lt;&gt;"",IF($F106="Halm",Landbrug!E$16*Landbrug!E$17,IF(LEFT($D106,5)="Areal", IF($G106="Ton",Landbrug!E$18,1),1)),1)*IF($F106="Grøntsager",IF($A106="Grøntsager i drivhus",Landbrug!E$51,1-Landbrug!E$51),1)</f>
        <v>#REF!</v>
      </c>
    </row>
    <row r="107" spans="1:10" x14ac:dyDescent="0.25">
      <c r="A107" t="str">
        <f>IF('[1]Processer - data'!A107&lt;&gt;"",'[1]Processer - data'!A107,"")</f>
        <v>Fjerkræbrug</v>
      </c>
      <c r="B107" t="str">
        <f>IF('[1]Processer - data'!B107&lt;&gt;"",'[1]Processer - data'!B107,"")</f>
        <v>Konventionel</v>
      </c>
      <c r="C107" t="str">
        <f>IF('[1]Processer - data'!C107&lt;&gt;"",'[1]Processer - data'!C107,"")</f>
        <v/>
      </c>
      <c r="D107" t="str">
        <f>IF('[1]Processer - data'!D107&lt;&gt;"",'[1]Processer - data'!D107,"")</f>
        <v>Fjerkræ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Æg</v>
      </c>
      <c r="G107" t="str">
        <f>IF('[1]Processer - data'!G107&lt;&gt;"",'[1]Processer - data'!G107,"")</f>
        <v>Ton</v>
      </c>
      <c r="H107" s="302" t="e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input'!$A$3:$A$230,$A$1)),IF(VLOOKUP($A107,[1]!Table1[#All],2,FALSE)="Resultat",SUMIF($F$1:$F106,$D107,H$1:H106)+SUMIF($F108:$F$490,$D107,H108:H$490),0))*'[1]Processer - data'!H107,"")*IF($C107&lt;&gt;"",IF($F107="Halm",Landbrug!C$16*Landbrug!C$17,IF(LEFT($D107,5)="Areal", IF($G107="Ton",Landbrug!C$18,1),1)),1)*IF($F107="Grøntsager",IF($A107="Grøntsager i drivhus",Landbrug!C$51,1-Landbrug!C$51),1)</f>
        <v>#REF!</v>
      </c>
      <c r="I107" s="303" t="e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input'!$A$3:$A$230,$A$1)),IF(VLOOKUP($A107,[1]!Table1[#All],2,FALSE)="Resultat",SUMIF($F$1:$F106,$D107,I$1:I106)+SUMIF($F108:$F$490,$D107,I108:I$490),0))*'[1]Processer - data'!I107,"")*IF($C107&lt;&gt;"",IF($F107="Halm",Landbrug!D$16*Landbrug!D$17,IF(LEFT($D107,5)="Areal", IF($G107="Ton",Landbrug!D$18,1),1)),1)*IF($F107="Grøntsager",IF($A107="Grøntsager i drivhus",Landbrug!D$51,1-Landbrug!D$51),1)</f>
        <v>#REF!</v>
      </c>
      <c r="J107" s="304" t="e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input'!$A$3:$A$230,$A$1)),IF(VLOOKUP($A107,[1]!Table1[#All],2,FALSE)="Resultat",SUMIF($F$1:$F106,$D107,J$1:J106)+SUMIF($F108:$F$490,$D107,J108:J$490),0))*'[1]Processer - data'!J107,"")*IF($C107&lt;&gt;"",IF($F107="Halm",Landbrug!E$16*Landbrug!E$17,IF(LEFT($D107,5)="Areal", IF($G107="Ton",Landbrug!E$18,1),1)),1)*IF($F107="Grøntsager",IF($A107="Grøntsager i drivhus",Landbrug!E$51,1-Landbrug!E$51),1)</f>
        <v>#REF!</v>
      </c>
    </row>
    <row r="108" spans="1:10" x14ac:dyDescent="0.25">
      <c r="A108" t="str">
        <f>IF('[1]Processer - data'!A108&lt;&gt;"",'[1]Processer - data'!A108,"")</f>
        <v>Fjerkræbrug</v>
      </c>
      <c r="B108" t="str">
        <f>IF('[1]Processer - data'!B108&lt;&gt;"",'[1]Processer - data'!B108,"")</f>
        <v>Konventionel</v>
      </c>
      <c r="C108" t="str">
        <f>IF('[1]Processer - data'!C108&lt;&gt;"",'[1]Processer - data'!C108,"")</f>
        <v/>
      </c>
      <c r="D108" t="str">
        <f>IF('[1]Processer - data'!D108&lt;&gt;"",'[1]Processer - data'!D108,"")</f>
        <v>Fjerkræ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Industriaffald</v>
      </c>
      <c r="G108" t="str">
        <f>IF('[1]Processer - data'!G108&lt;&gt;"",'[1]Processer - data'!G108,"")</f>
        <v>Ton</v>
      </c>
      <c r="H108" s="302" t="e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input'!$A$3:$A$230,$A$1)),IF(VLOOKUP($A108,[1]!Table1[#All],2,FALSE)="Resultat",SUMIF($F$1:$F107,$D108,H$1:H107)+SUMIF($F109:$F$490,$D108,H109:H$490),0))*'[1]Processer - data'!H108,"")*IF($C108&lt;&gt;"",IF($F108="Halm",Landbrug!C$16*Landbrug!C$17,IF(LEFT($D108,5)="Areal", IF($G108="Ton",Landbrug!C$18,1),1)),1)*IF($F108="Grøntsager",IF($A108="Grøntsager i drivhus",Landbrug!C$51,1-Landbrug!C$51),1)</f>
        <v>#REF!</v>
      </c>
      <c r="I108" s="303" t="e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input'!$A$3:$A$230,$A$1)),IF(VLOOKUP($A108,[1]!Table1[#All],2,FALSE)="Resultat",SUMIF($F$1:$F107,$D108,I$1:I107)+SUMIF($F109:$F$490,$D108,I109:I$490),0))*'[1]Processer - data'!I108,"")*IF($C108&lt;&gt;"",IF($F108="Halm",Landbrug!D$16*Landbrug!D$17,IF(LEFT($D108,5)="Areal", IF($G108="Ton",Landbrug!D$18,1),1)),1)*IF($F108="Grøntsager",IF($A108="Grøntsager i drivhus",Landbrug!D$51,1-Landbrug!D$51),1)</f>
        <v>#REF!</v>
      </c>
      <c r="J108" s="304" t="e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input'!$A$3:$A$230,$A$1)),IF(VLOOKUP($A108,[1]!Table1[#All],2,FALSE)="Resultat",SUMIF($F$1:$F107,$D108,J$1:J107)+SUMIF($F109:$F$490,$D108,J109:J$490),0))*'[1]Processer - data'!J108,"")*IF($C108&lt;&gt;"",IF($F108="Halm",Landbrug!E$16*Landbrug!E$17,IF(LEFT($D108,5)="Areal", IF($G108="Ton",Landbrug!E$18,1),1)),1)*IF($F108="Grøntsager",IF($A108="Grøntsager i drivhus",Landbrug!E$51,1-Landbrug!E$51),1)</f>
        <v>#REF!</v>
      </c>
    </row>
    <row r="109" spans="1:10" x14ac:dyDescent="0.25">
      <c r="A109" t="str">
        <f>IF('[1]Processer - data'!A109&lt;&gt;"",'[1]Processer - data'!A109,"")</f>
        <v>Fjerkræbrug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Fjerkræ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Foder</v>
      </c>
      <c r="G109" t="str">
        <f>IF('[1]Processer - data'!G109&lt;&gt;"",'[1]Processer - data'!G109,"")</f>
        <v>FE</v>
      </c>
      <c r="H109" s="302" t="e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input'!$A$3:$A$230,$A$1)),IF(VLOOKUP($A109,[1]!Table1[#All],2,FALSE)="Resultat",SUMIF($F$1:$F108,$D109,H$1:H108)+SUMIF($F110:$F$490,$D109,H110:H$490),0))*'[1]Processer - data'!H109,"")*IF($C109&lt;&gt;"",IF($F109="Halm",Landbrug!C$16*Landbrug!C$17,IF(LEFT($D109,5)="Areal", IF($G109="Ton",Landbrug!C$18,1),1)),1)*IF($F109="Grøntsager",IF($A109="Grøntsager i drivhus",Landbrug!C$51,1-Landbrug!C$51),1)</f>
        <v>#REF!</v>
      </c>
      <c r="I109" s="303" t="e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input'!$A$3:$A$230,$A$1)),IF(VLOOKUP($A109,[1]!Table1[#All],2,FALSE)="Resultat",SUMIF($F$1:$F108,$D109,I$1:I108)+SUMIF($F110:$F$490,$D109,I110:I$490),0))*'[1]Processer - data'!I109,"")*IF($C109&lt;&gt;"",IF($F109="Halm",Landbrug!D$16*Landbrug!D$17,IF(LEFT($D109,5)="Areal", IF($G109="Ton",Landbrug!D$18,1),1)),1)*IF($F109="Grøntsager",IF($A109="Grøntsager i drivhus",Landbrug!D$51,1-Landbrug!D$51),1)</f>
        <v>#REF!</v>
      </c>
      <c r="J109" s="304" t="e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input'!$A$3:$A$230,$A$1)),IF(VLOOKUP($A109,[1]!Table1[#All],2,FALSE)="Resultat",SUMIF($F$1:$F108,$D109,J$1:J108)+SUMIF($F110:$F$490,$D109,J110:J$490),0))*'[1]Processer - data'!J109,"")*IF($C109&lt;&gt;"",IF($F109="Halm",Landbrug!E$16*Landbrug!E$17,IF(LEFT($D109,5)="Areal", IF($G109="Ton",Landbrug!E$18,1),1)),1)*IF($F109="Grøntsager",IF($A109="Grøntsager i drivhus",Landbrug!E$51,1-Landbrug!E$51),1)</f>
        <v>#REF!</v>
      </c>
    </row>
    <row r="110" spans="1:10" x14ac:dyDescent="0.25">
      <c r="A110" t="str">
        <f>IF('[1]Processer - data'!A110&lt;&gt;"",'[1]Processer - data'!A110,"")</f>
        <v>Fjerkræbrug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Fjerkræ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Halm</v>
      </c>
      <c r="G110" t="str">
        <f>IF('[1]Processer - data'!G110&lt;&gt;"",'[1]Processer - data'!G110,"")</f>
        <v>Ton</v>
      </c>
      <c r="H110" s="302" t="e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input'!$A$3:$A$230,$A$1)),IF(VLOOKUP($A110,[1]!Table1[#All],2,FALSE)="Resultat",SUMIF($F$1:$F109,$D110,H$1:H109)+SUMIF($F111:$F$490,$D110,H111:H$490),0))*'[1]Processer - data'!H110,"")*IF($C110&lt;&gt;"",IF($F110="Halm",Landbrug!C$16*Landbrug!C$17,IF(LEFT($D110,5)="Areal", IF($G110="Ton",Landbrug!C$18,1),1)),1)*IF($F110="Grøntsager",IF($A110="Grøntsager i drivhus",Landbrug!C$51,1-Landbrug!C$51),1)</f>
        <v>#REF!</v>
      </c>
      <c r="I110" s="303" t="e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input'!$A$3:$A$230,$A$1)),IF(VLOOKUP($A110,[1]!Table1[#All],2,FALSE)="Resultat",SUMIF($F$1:$F109,$D110,I$1:I109)+SUMIF($F111:$F$490,$D110,I111:I$490),0))*'[1]Processer - data'!I110,"")*IF($C110&lt;&gt;"",IF($F110="Halm",Landbrug!D$16*Landbrug!D$17,IF(LEFT($D110,5)="Areal", IF($G110="Ton",Landbrug!D$18,1),1)),1)*IF($F110="Grøntsager",IF($A110="Grøntsager i drivhus",Landbrug!D$51,1-Landbrug!D$51),1)</f>
        <v>#REF!</v>
      </c>
      <c r="J110" s="304" t="e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input'!$A$3:$A$230,$A$1)),IF(VLOOKUP($A110,[1]!Table1[#All],2,FALSE)="Resultat",SUMIF($F$1:$F109,$D110,J$1:J109)+SUMIF($F111:$F$490,$D110,J111:J$490),0))*'[1]Processer - data'!J110,"")*IF($C110&lt;&gt;"",IF($F110="Halm",Landbrug!E$16*Landbrug!E$17,IF(LEFT($D110,5)="Areal", IF($G110="Ton",Landbrug!E$18,1),1)),1)*IF($F110="Grøntsager",IF($A110="Grøntsager i drivhus",Landbrug!E$51,1-Landbrug!E$51),1)</f>
        <v>#REF!</v>
      </c>
    </row>
    <row r="111" spans="1:10" x14ac:dyDescent="0.25">
      <c r="A111" t="str">
        <f>IF('[1]Processer - data'!A111&lt;&gt;"",'[1]Processer - data'!A111,"")</f>
        <v>Fjerkræbrug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Fjerkræ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CO2 - atmosfære</v>
      </c>
      <c r="G111" t="str">
        <f>IF('[1]Processer - data'!G111&lt;&gt;"",'[1]Processer - data'!G111,"")</f>
        <v>t CO2-ækvivalenter</v>
      </c>
      <c r="H111" s="302" t="e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input'!$A$3:$A$230,$A$1)),IF(VLOOKUP($A111,[1]!Table1[#All],2,FALSE)="Resultat",SUMIF($F$1:$F110,$D111,H$1:H110)+SUMIF($F112:$F$490,$D111,H112:H$490),0))*'[1]Processer - data'!H111,"")*IF($C111&lt;&gt;"",IF($F111="Halm",Landbrug!C$16*Landbrug!C$17,IF(LEFT($D111,5)="Areal", IF($G111="Ton",Landbrug!C$18,1),1)),1)*IF($F111="Grøntsager",IF($A111="Grøntsager i drivhus",Landbrug!C$51,1-Landbrug!C$51),1)</f>
        <v>#REF!</v>
      </c>
      <c r="I111" s="303" t="e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input'!$A$3:$A$230,$A$1)),IF(VLOOKUP($A111,[1]!Table1[#All],2,FALSE)="Resultat",SUMIF($F$1:$F110,$D111,I$1:I110)+SUMIF($F112:$F$490,$D111,I112:I$490),0))*'[1]Processer - data'!I111,"")*IF($C111&lt;&gt;"",IF($F111="Halm",Landbrug!D$16*Landbrug!D$17,IF(LEFT($D111,5)="Areal", IF($G111="Ton",Landbrug!D$18,1),1)),1)*IF($F111="Grøntsager",IF($A111="Grøntsager i drivhus",Landbrug!D$51,1-Landbrug!D$51),1)</f>
        <v>#REF!</v>
      </c>
      <c r="J111" s="304" t="e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input'!$A$3:$A$230,$A$1)),IF(VLOOKUP($A111,[1]!Table1[#All],2,FALSE)="Resultat",SUMIF($F$1:$F110,$D111,J$1:J110)+SUMIF($F112:$F$490,$D111,J112:J$490),0))*'[1]Processer - data'!J111,"")*IF($C111&lt;&gt;"",IF($F111="Halm",Landbrug!E$16*Landbrug!E$17,IF(LEFT($D111,5)="Areal", IF($G111="Ton",Landbrug!E$18,1),1)),1)*IF($F111="Grøntsager",IF($A111="Grøntsager i drivhus",Landbrug!E$51,1-Landbrug!E$51),1)</f>
        <v>#REF!</v>
      </c>
    </row>
    <row r="112" spans="1:10" x14ac:dyDescent="0.25">
      <c r="A112" t="str">
        <f>IF('[1]Processer - data'!A112&lt;&gt;"",'[1]Processer - data'!A112,"")</f>
        <v>Fjerkræbrug</v>
      </c>
      <c r="B112" t="str">
        <f>IF('[1]Processer - data'!B112&lt;&gt;"",'[1]Processer - data'!B112,"")</f>
        <v>Økologisk</v>
      </c>
      <c r="C112" t="str">
        <f>IF('[1]Processer - data'!C112&lt;&gt;"",'[1]Processer - data'!C112,"")</f>
        <v/>
      </c>
      <c r="D112" t="str">
        <f>IF('[1]Processer - data'!D112&lt;&gt;"",'[1]Processer - data'!D112,"")</f>
        <v>Fjerkræ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Slagtefjerkræ</v>
      </c>
      <c r="G112" t="str">
        <f>IF('[1]Processer - data'!G112&lt;&gt;"",'[1]Processer - data'!G112,"")</f>
        <v>Antal</v>
      </c>
      <c r="H112" s="302" t="e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input'!$A$3:$A$230,$A$1)),IF(VLOOKUP($A112,[1]!Table1[#All],2,FALSE)="Resultat",SUMIF($F$1:$F111,$D112,H$1:H111)+SUMIF($F113:$F$490,$D112,H113:H$490),0))*'[1]Processer - data'!H112,"")*IF($C112&lt;&gt;"",IF($F112="Halm",Landbrug!C$16*Landbrug!C$17,IF(LEFT($D112,5)="Areal", IF($G112="Ton",Landbrug!C$18,1),1)),1)*IF($F112="Grøntsager",IF($A112="Grøntsager i drivhus",Landbrug!C$51,1-Landbrug!C$51),1)</f>
        <v>#REF!</v>
      </c>
      <c r="I112" s="303" t="e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input'!$A$3:$A$230,$A$1)),IF(VLOOKUP($A112,[1]!Table1[#All],2,FALSE)="Resultat",SUMIF($F$1:$F111,$D112,I$1:I111)+SUMIF($F113:$F$490,$D112,I113:I$490),0))*'[1]Processer - data'!I112,"")*IF($C112&lt;&gt;"",IF($F112="Halm",Landbrug!D$16*Landbrug!D$17,IF(LEFT($D112,5)="Areal", IF($G112="Ton",Landbrug!D$18,1),1)),1)*IF($F112="Grøntsager",IF($A112="Grøntsager i drivhus",Landbrug!D$51,1-Landbrug!D$51),1)</f>
        <v>#REF!</v>
      </c>
      <c r="J112" s="304" t="e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input'!$A$3:$A$230,$A$1)),IF(VLOOKUP($A112,[1]!Table1[#All],2,FALSE)="Resultat",SUMIF($F$1:$F111,$D112,J$1:J111)+SUMIF($F113:$F$490,$D112,J113:J$490),0))*'[1]Processer - data'!J112,"")*IF($C112&lt;&gt;"",IF($F112="Halm",Landbrug!E$16*Landbrug!E$17,IF(LEFT($D112,5)="Areal", IF($G112="Ton",Landbrug!E$18,1),1)),1)*IF($F112="Grøntsager",IF($A112="Grøntsager i drivhus",Landbrug!E$51,1-Landbrug!E$51),1)</f>
        <v>#REF!</v>
      </c>
    </row>
    <row r="113" spans="1:10" x14ac:dyDescent="0.25">
      <c r="A113" t="str">
        <f>IF('[1]Processer - data'!A113&lt;&gt;"",'[1]Processer - data'!A113,"")</f>
        <v>Fjerkræbrug</v>
      </c>
      <c r="B113" t="str">
        <f>IF('[1]Processer - data'!B113&lt;&gt;"",'[1]Processer - data'!B113,"")</f>
        <v>Økologisk</v>
      </c>
      <c r="C113" t="str">
        <f>IF('[1]Processer - data'!C113&lt;&gt;"",'[1]Processer - data'!C113,"")</f>
        <v/>
      </c>
      <c r="D113" t="str">
        <f>IF('[1]Processer - data'!D113&lt;&gt;"",'[1]Processer - data'!D113,"")</f>
        <v>Fjerkræ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Fjerkrægylle</v>
      </c>
      <c r="G113" t="str">
        <f>IF('[1]Processer - data'!G113&lt;&gt;"",'[1]Processer - data'!G113,"")</f>
        <v>Ton</v>
      </c>
      <c r="H113" s="302" t="e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input'!$A$3:$A$230,$A$1)),IF(VLOOKUP($A113,[1]!Table1[#All],2,FALSE)="Resultat",SUMIF($F$1:$F112,$D113,H$1:H112)+SUMIF($F114:$F$490,$D113,H114:H$490),0))*'[1]Processer - data'!H113,"")*IF($C113&lt;&gt;"",IF($F113="Halm",Landbrug!C$16*Landbrug!C$17,IF(LEFT($D113,5)="Areal", IF($G113="Ton",Landbrug!C$18,1),1)),1)*IF($F113="Grøntsager",IF($A113="Grøntsager i drivhus",Landbrug!C$51,1-Landbrug!C$51),1)</f>
        <v>#REF!</v>
      </c>
      <c r="I113" s="303" t="e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input'!$A$3:$A$230,$A$1)),IF(VLOOKUP($A113,[1]!Table1[#All],2,FALSE)="Resultat",SUMIF($F$1:$F112,$D113,I$1:I112)+SUMIF($F114:$F$490,$D113,I114:I$490),0))*'[1]Processer - data'!I113,"")*IF($C113&lt;&gt;"",IF($F113="Halm",Landbrug!D$16*Landbrug!D$17,IF(LEFT($D113,5)="Areal", IF($G113="Ton",Landbrug!D$18,1),1)),1)*IF($F113="Grøntsager",IF($A113="Grøntsager i drivhus",Landbrug!D$51,1-Landbrug!D$51),1)</f>
        <v>#REF!</v>
      </c>
      <c r="J113" s="304" t="e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input'!$A$3:$A$230,$A$1)),IF(VLOOKUP($A113,[1]!Table1[#All],2,FALSE)="Resultat",SUMIF($F$1:$F112,$D113,J$1:J112)+SUMIF($F114:$F$490,$D113,J114:J$490),0))*'[1]Processer - data'!J113,"")*IF($C113&lt;&gt;"",IF($F113="Halm",Landbrug!E$16*Landbrug!E$17,IF(LEFT($D113,5)="Areal", IF($G113="Ton",Landbrug!E$18,1),1)),1)*IF($F113="Grøntsager",IF($A113="Grøntsager i drivhus",Landbrug!E$51,1-Landbrug!E$51),1)</f>
        <v>#REF!</v>
      </c>
    </row>
    <row r="114" spans="1:10" x14ac:dyDescent="0.25">
      <c r="A114" t="str">
        <f>IF('[1]Processer - data'!A114&lt;&gt;"",'[1]Processer - data'!A114,"")</f>
        <v>Fjerkræbrug</v>
      </c>
      <c r="B114" t="str">
        <f>IF('[1]Processer - data'!B114&lt;&gt;"",'[1]Processer - data'!B114,"")</f>
        <v>Økologisk</v>
      </c>
      <c r="C114" t="str">
        <f>IF('[1]Processer - data'!C114&lt;&gt;"",'[1]Processer - data'!C114,"")</f>
        <v/>
      </c>
      <c r="D114" t="str">
        <f>IF('[1]Processer - data'!D114&lt;&gt;"",'[1]Processer - data'!D114,"")</f>
        <v>Fjerkræ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Dybstrøelse</v>
      </c>
      <c r="G114" t="str">
        <f>IF('[1]Processer - data'!G114&lt;&gt;"",'[1]Processer - data'!G114,"")</f>
        <v>Ton</v>
      </c>
      <c r="H114" s="302" t="e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input'!$A$3:$A$230,$A$1)),IF(VLOOKUP($A114,[1]!Table1[#All],2,FALSE)="Resultat",SUMIF($F$1:$F113,$D114,H$1:H113)+SUMIF($F115:$F$490,$D114,H115:H$490),0))*'[1]Processer - data'!H114,"")*IF($C114&lt;&gt;"",IF($F114="Halm",Landbrug!C$16*Landbrug!C$17,IF(LEFT($D114,5)="Areal", IF($G114="Ton",Landbrug!C$18,1),1)),1)*IF($F114="Grøntsager",IF($A114="Grøntsager i drivhus",Landbrug!C$51,1-Landbrug!C$51),1)</f>
        <v>#REF!</v>
      </c>
      <c r="I114" s="303" t="e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input'!$A$3:$A$230,$A$1)),IF(VLOOKUP($A114,[1]!Table1[#All],2,FALSE)="Resultat",SUMIF($F$1:$F113,$D114,I$1:I113)+SUMIF($F115:$F$490,$D114,I115:I$490),0))*'[1]Processer - data'!I114,"")*IF($C114&lt;&gt;"",IF($F114="Halm",Landbrug!D$16*Landbrug!D$17,IF(LEFT($D114,5)="Areal", IF($G114="Ton",Landbrug!D$18,1),1)),1)*IF($F114="Grøntsager",IF($A114="Grøntsager i drivhus",Landbrug!D$51,1-Landbrug!D$51),1)</f>
        <v>#REF!</v>
      </c>
      <c r="J114" s="304" t="e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input'!$A$3:$A$230,$A$1)),IF(VLOOKUP($A114,[1]!Table1[#All],2,FALSE)="Resultat",SUMIF($F$1:$F113,$D114,J$1:J113)+SUMIF($F115:$F$490,$D114,J115:J$490),0))*'[1]Processer - data'!J114,"")*IF($C114&lt;&gt;"",IF($F114="Halm",Landbrug!E$16*Landbrug!E$17,IF(LEFT($D114,5)="Areal", IF($G114="Ton",Landbrug!E$18,1),1)),1)*IF($F114="Grøntsager",IF($A114="Grøntsager i drivhus",Landbrug!E$51,1-Landbrug!E$51),1)</f>
        <v>#REF!</v>
      </c>
    </row>
    <row r="115" spans="1:10" x14ac:dyDescent="0.25">
      <c r="A115" t="str">
        <f>IF('[1]Processer - data'!A115&lt;&gt;"",'[1]Processer - data'!A115,"")</f>
        <v>Fjerkræbrug</v>
      </c>
      <c r="B115" t="str">
        <f>IF('[1]Processer - data'!B115&lt;&gt;"",'[1]Processer - data'!B115,"")</f>
        <v>Økologisk</v>
      </c>
      <c r="C115" t="str">
        <f>IF('[1]Processer - data'!C115&lt;&gt;"",'[1]Processer - data'!C115,"")</f>
        <v/>
      </c>
      <c r="D115" t="str">
        <f>IF('[1]Processer - data'!D115&lt;&gt;"",'[1]Processer - data'!D115,"")</f>
        <v>Fjerkræ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Æg</v>
      </c>
      <c r="G115" t="str">
        <f>IF('[1]Processer - data'!G115&lt;&gt;"",'[1]Processer - data'!G115,"")</f>
        <v>Ton</v>
      </c>
      <c r="H115" s="302" t="e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input'!$A$3:$A$230,$A$1)),IF(VLOOKUP($A115,[1]!Table1[#All],2,FALSE)="Resultat",SUMIF($F$1:$F114,$D115,H$1:H114)+SUMIF($F116:$F$490,$D115,H116:H$490),0))*'[1]Processer - data'!H115,"")*IF($C115&lt;&gt;"",IF($F115="Halm",Landbrug!C$16*Landbrug!C$17,IF(LEFT($D115,5)="Areal", IF($G115="Ton",Landbrug!C$18,1),1)),1)*IF($F115="Grøntsager",IF($A115="Grøntsager i drivhus",Landbrug!C$51,1-Landbrug!C$51),1)</f>
        <v>#REF!</v>
      </c>
      <c r="I115" s="303" t="e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input'!$A$3:$A$230,$A$1)),IF(VLOOKUP($A115,[1]!Table1[#All],2,FALSE)="Resultat",SUMIF($F$1:$F114,$D115,I$1:I114)+SUMIF($F116:$F$490,$D115,I116:I$490),0))*'[1]Processer - data'!I115,"")*IF($C115&lt;&gt;"",IF($F115="Halm",Landbrug!D$16*Landbrug!D$17,IF(LEFT($D115,5)="Areal", IF($G115="Ton",Landbrug!D$18,1),1)),1)*IF($F115="Grøntsager",IF($A115="Grøntsager i drivhus",Landbrug!D$51,1-Landbrug!D$51),1)</f>
        <v>#REF!</v>
      </c>
      <c r="J115" s="304" t="e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input'!$A$3:$A$230,$A$1)),IF(VLOOKUP($A115,[1]!Table1[#All],2,FALSE)="Resultat",SUMIF($F$1:$F114,$D115,J$1:J114)+SUMIF($F116:$F$490,$D115,J116:J$490),0))*'[1]Processer - data'!J115,"")*IF($C115&lt;&gt;"",IF($F115="Halm",Landbrug!E$16*Landbrug!E$17,IF(LEFT($D115,5)="Areal", IF($G115="Ton",Landbrug!E$18,1),1)),1)*IF($F115="Grøntsager",IF($A115="Grøntsager i drivhus",Landbrug!E$51,1-Landbrug!E$51),1)</f>
        <v>#REF!</v>
      </c>
    </row>
    <row r="116" spans="1:10" x14ac:dyDescent="0.25">
      <c r="A116" t="str">
        <f>IF('[1]Processer - data'!A116&lt;&gt;"",'[1]Processer - data'!A116,"")</f>
        <v>Fjerkræbrug</v>
      </c>
      <c r="B116" t="str">
        <f>IF('[1]Processer - data'!B116&lt;&gt;"",'[1]Processer - data'!B116,"")</f>
        <v>Økologisk</v>
      </c>
      <c r="C116" t="str">
        <f>IF('[1]Processer - data'!C116&lt;&gt;"",'[1]Processer - data'!C116,"")</f>
        <v/>
      </c>
      <c r="D116" t="str">
        <f>IF('[1]Processer - data'!D116&lt;&gt;"",'[1]Processer - data'!D116,"")</f>
        <v>Fjerkræ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Industriaffald</v>
      </c>
      <c r="G116" t="str">
        <f>IF('[1]Processer - data'!G116&lt;&gt;"",'[1]Processer - data'!G116,"")</f>
        <v>Ton</v>
      </c>
      <c r="H116" s="302" t="e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input'!$A$3:$A$230,$A$1)),IF(VLOOKUP($A116,[1]!Table1[#All],2,FALSE)="Resultat",SUMIF($F$1:$F115,$D116,H$1:H115)+SUMIF($F117:$F$490,$D116,H117:H$490),0))*'[1]Processer - data'!H116,"")*IF($C116&lt;&gt;"",IF($F116="Halm",Landbrug!C$16*Landbrug!C$17,IF(LEFT($D116,5)="Areal", IF($G116="Ton",Landbrug!C$18,1),1)),1)*IF($F116="Grøntsager",IF($A116="Grøntsager i drivhus",Landbrug!C$51,1-Landbrug!C$51),1)</f>
        <v>#REF!</v>
      </c>
      <c r="I116" s="303" t="e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input'!$A$3:$A$230,$A$1)),IF(VLOOKUP($A116,[1]!Table1[#All],2,FALSE)="Resultat",SUMIF($F$1:$F115,$D116,I$1:I115)+SUMIF($F117:$F$490,$D116,I117:I$490),0))*'[1]Processer - data'!I116,"")*IF($C116&lt;&gt;"",IF($F116="Halm",Landbrug!D$16*Landbrug!D$17,IF(LEFT($D116,5)="Areal", IF($G116="Ton",Landbrug!D$18,1),1)),1)*IF($F116="Grøntsager",IF($A116="Grøntsager i drivhus",Landbrug!D$51,1-Landbrug!D$51),1)</f>
        <v>#REF!</v>
      </c>
      <c r="J116" s="304" t="e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input'!$A$3:$A$230,$A$1)),IF(VLOOKUP($A116,[1]!Table1[#All],2,FALSE)="Resultat",SUMIF($F$1:$F115,$D116,J$1:J115)+SUMIF($F117:$F$490,$D116,J117:J$490),0))*'[1]Processer - data'!J116,"")*IF($C116&lt;&gt;"",IF($F116="Halm",Landbrug!E$16*Landbrug!E$17,IF(LEFT($D116,5)="Areal", IF($G116="Ton",Landbrug!E$18,1),1)),1)*IF($F116="Grøntsager",IF($A116="Grøntsager i drivhus",Landbrug!E$51,1-Landbrug!E$51),1)</f>
        <v>#REF!</v>
      </c>
    </row>
    <row r="117" spans="1:10" x14ac:dyDescent="0.25">
      <c r="A117" t="str">
        <f>IF('[1]Processer - data'!A117&lt;&gt;"",'[1]Processer - data'!A117,"")</f>
        <v>Fjerkræbrug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Fjerkræ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Foder</v>
      </c>
      <c r="G117" t="str">
        <f>IF('[1]Processer - data'!G117&lt;&gt;"",'[1]Processer - data'!G117,"")</f>
        <v>FE</v>
      </c>
      <c r="H117" s="302" t="e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input'!$A$3:$A$230,$A$1)),IF(VLOOKUP($A117,[1]!Table1[#All],2,FALSE)="Resultat",SUMIF($F$1:$F116,$D117,H$1:H116)+SUMIF($F118:$F$490,$D117,H118:H$490),0))*'[1]Processer - data'!H117,"")*IF($C117&lt;&gt;"",IF($F117="Halm",Landbrug!C$16*Landbrug!C$17,IF(LEFT($D117,5)="Areal", IF($G117="Ton",Landbrug!C$18,1),1)),1)*IF($F117="Grøntsager",IF($A117="Grøntsager i drivhus",Landbrug!C$51,1-Landbrug!C$51),1)</f>
        <v>#REF!</v>
      </c>
      <c r="I117" s="303" t="e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input'!$A$3:$A$230,$A$1)),IF(VLOOKUP($A117,[1]!Table1[#All],2,FALSE)="Resultat",SUMIF($F$1:$F116,$D117,I$1:I116)+SUMIF($F118:$F$490,$D117,I118:I$490),0))*'[1]Processer - data'!I117,"")*IF($C117&lt;&gt;"",IF($F117="Halm",Landbrug!D$16*Landbrug!D$17,IF(LEFT($D117,5)="Areal", IF($G117="Ton",Landbrug!D$18,1),1)),1)*IF($F117="Grøntsager",IF($A117="Grøntsager i drivhus",Landbrug!D$51,1-Landbrug!D$51),1)</f>
        <v>#REF!</v>
      </c>
      <c r="J117" s="304" t="e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input'!$A$3:$A$230,$A$1)),IF(VLOOKUP($A117,[1]!Table1[#All],2,FALSE)="Resultat",SUMIF($F$1:$F116,$D117,J$1:J116)+SUMIF($F118:$F$490,$D117,J118:J$490),0))*'[1]Processer - data'!J117,"")*IF($C117&lt;&gt;"",IF($F117="Halm",Landbrug!E$16*Landbrug!E$17,IF(LEFT($D117,5)="Areal", IF($G117="Ton",Landbrug!E$18,1),1)),1)*IF($F117="Grøntsager",IF($A117="Grøntsager i drivhus",Landbrug!E$51,1-Landbrug!E$51),1)</f>
        <v>#REF!</v>
      </c>
    </row>
    <row r="118" spans="1:10" x14ac:dyDescent="0.25">
      <c r="A118" t="str">
        <f>IF('[1]Processer - data'!A118&lt;&gt;"",'[1]Processer - data'!A118,"")</f>
        <v>Fjerkræbrug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Fjerkræ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Halm</v>
      </c>
      <c r="G118" t="str">
        <f>IF('[1]Processer - data'!G118&lt;&gt;"",'[1]Processer - data'!G118,"")</f>
        <v>Ton</v>
      </c>
      <c r="H118" s="302" t="e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input'!$A$3:$A$230,$A$1)),IF(VLOOKUP($A118,[1]!Table1[#All],2,FALSE)="Resultat",SUMIF($F$1:$F117,$D118,H$1:H117)+SUMIF($F119:$F$490,$D118,H119:H$490),0))*'[1]Processer - data'!H118,"")*IF($C118&lt;&gt;"",IF($F118="Halm",Landbrug!C$16*Landbrug!C$17,IF(LEFT($D118,5)="Areal", IF($G118="Ton",Landbrug!C$18,1),1)),1)*IF($F118="Grøntsager",IF($A118="Grøntsager i drivhus",Landbrug!C$51,1-Landbrug!C$51),1)</f>
        <v>#REF!</v>
      </c>
      <c r="I118" s="303" t="e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input'!$A$3:$A$230,$A$1)),IF(VLOOKUP($A118,[1]!Table1[#All],2,FALSE)="Resultat",SUMIF($F$1:$F117,$D118,I$1:I117)+SUMIF($F119:$F$490,$D118,I119:I$490),0))*'[1]Processer - data'!I118,"")*IF($C118&lt;&gt;"",IF($F118="Halm",Landbrug!D$16*Landbrug!D$17,IF(LEFT($D118,5)="Areal", IF($G118="Ton",Landbrug!D$18,1),1)),1)*IF($F118="Grøntsager",IF($A118="Grøntsager i drivhus",Landbrug!D$51,1-Landbrug!D$51),1)</f>
        <v>#REF!</v>
      </c>
      <c r="J118" s="304" t="e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input'!$A$3:$A$230,$A$1)),IF(VLOOKUP($A118,[1]!Table1[#All],2,FALSE)="Resultat",SUMIF($F$1:$F117,$D118,J$1:J117)+SUMIF($F119:$F$490,$D118,J119:J$490),0))*'[1]Processer - data'!J118,"")*IF($C118&lt;&gt;"",IF($F118="Halm",Landbrug!E$16*Landbrug!E$17,IF(LEFT($D118,5)="Areal", IF($G118="Ton",Landbrug!E$18,1),1)),1)*IF($F118="Grøntsager",IF($A118="Grøntsager i drivhus",Landbrug!E$51,1-Landbrug!E$51),1)</f>
        <v>#REF!</v>
      </c>
    </row>
    <row r="119" spans="1:10" x14ac:dyDescent="0.25">
      <c r="A119" t="str">
        <f>IF('[1]Processer - data'!A119&lt;&gt;"",'[1]Processer - data'!A119,"")</f>
        <v>Fjerkræbrug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Fjerkræ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CO2 - atmosfære</v>
      </c>
      <c r="G119" t="str">
        <f>IF('[1]Processer - data'!G119&lt;&gt;"",'[1]Processer - data'!G119,"")</f>
        <v>t CO2-ækvivalenter</v>
      </c>
      <c r="H119" s="302" t="e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input'!$A$3:$A$230,$A$1)),IF(VLOOKUP($A119,[1]!Table1[#All],2,FALSE)="Resultat",SUMIF($F$1:$F118,$D119,H$1:H118)+SUMIF($F120:$F$490,$D119,H120:H$490),0))*'[1]Processer - data'!H119,"")*IF($C119&lt;&gt;"",IF($F119="Halm",Landbrug!C$16*Landbrug!C$17,IF(LEFT($D119,5)="Areal", IF($G119="Ton",Landbrug!C$18,1),1)),1)*IF($F119="Grøntsager",IF($A119="Grøntsager i drivhus",Landbrug!C$51,1-Landbrug!C$51),1)</f>
        <v>#REF!</v>
      </c>
      <c r="I119" s="303" t="e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input'!$A$3:$A$230,$A$1)),IF(VLOOKUP($A119,[1]!Table1[#All],2,FALSE)="Resultat",SUMIF($F$1:$F118,$D119,I$1:I118)+SUMIF($F120:$F$490,$D119,I120:I$490),0))*'[1]Processer - data'!I119,"")*IF($C119&lt;&gt;"",IF($F119="Halm",Landbrug!D$16*Landbrug!D$17,IF(LEFT($D119,5)="Areal", IF($G119="Ton",Landbrug!D$18,1),1)),1)*IF($F119="Grøntsager",IF($A119="Grøntsager i drivhus",Landbrug!D$51,1-Landbrug!D$51),1)</f>
        <v>#REF!</v>
      </c>
      <c r="J119" s="304" t="e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input'!$A$3:$A$230,$A$1)),IF(VLOOKUP($A119,[1]!Table1[#All],2,FALSE)="Resultat",SUMIF($F$1:$F118,$D119,J$1:J118)+SUMIF($F120:$F$490,$D119,J120:J$490),0))*'[1]Processer - data'!J119,"")*IF($C119&lt;&gt;"",IF($F119="Halm",Landbrug!E$16*Landbrug!E$17,IF(LEFT($D119,5)="Areal", IF($G119="Ton",Landbrug!E$18,1),1)),1)*IF($F119="Grøntsager",IF($A119="Grøntsager i drivhus",Landbrug!E$51,1-Landbrug!E$51),1)</f>
        <v>#REF!</v>
      </c>
    </row>
    <row r="120" spans="1:10" x14ac:dyDescent="0.25">
      <c r="A120" t="str">
        <f>IF('[1]Processer - data'!A120&lt;&gt;"",'[1]Processer - data'!A120,"")</f>
        <v>Kornmark</v>
      </c>
      <c r="B120" t="str">
        <f>IF('[1]Processer - data'!B120&lt;&gt;"",'[1]Processer - data'!B120,"")</f>
        <v>Konventionel</v>
      </c>
      <c r="C120" t="str">
        <f>IF('[1]Processer - data'!C120&lt;&gt;"",'[1]Processer - data'!C120,"")</f>
        <v>JB1-10</v>
      </c>
      <c r="D120" t="str">
        <f>IF('[1]Processer - data'!D120&lt;&gt;"",'[1]Processer - data'!D120,"")</f>
        <v>Areal-korn</v>
      </c>
      <c r="E120" t="str">
        <f>IF('[1]Processer - data'!E120&lt;&gt;"",'[1]Processer - data'!E120,"")</f>
        <v>Hektar</v>
      </c>
      <c r="F120" t="str">
        <f>IF('[1]Processer - data'!F120&lt;&gt;"",'[1]Processer - data'!F120,"")</f>
        <v>Korn</v>
      </c>
      <c r="G120" t="str">
        <f>IF('[1]Processer - data'!G120&lt;&gt;"",'[1]Processer - data'!G120,"")</f>
        <v>Ton</v>
      </c>
      <c r="H120" s="302" t="e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input'!$A$3:$A$230,$A$1)),IF(VLOOKUP($A120,[1]!Table1[#All],2,FALSE)="Resultat",SUMIF($F$1:$F119,$D120,H$1:H119)+SUMIF($F121:$F$490,$D120,H121:H$490),0))*'[1]Processer - data'!H120,"")*IF($C120&lt;&gt;"",IF($F120="Halm",Landbrug!C$16*Landbrug!C$17,IF(LEFT($D120,5)="Areal", IF($G120="Ton",Landbrug!C$18,1),1)),1)*IF($F120="Grøntsager",IF($A120="Grøntsager i drivhus",Landbrug!C$51,1-Landbrug!C$51),1)</f>
        <v>#REF!</v>
      </c>
      <c r="I120" s="303" t="e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input'!$A$3:$A$230,$A$1)),IF(VLOOKUP($A120,[1]!Table1[#All],2,FALSE)="Resultat",SUMIF($F$1:$F119,$D120,I$1:I119)+SUMIF($F121:$F$490,$D120,I121:I$490),0))*'[1]Processer - data'!I120,"")*IF($C120&lt;&gt;"",IF($F120="Halm",Landbrug!D$16*Landbrug!D$17,IF(LEFT($D120,5)="Areal", IF($G120="Ton",Landbrug!D$18,1),1)),1)*IF($F120="Grøntsager",IF($A120="Grøntsager i drivhus",Landbrug!D$51,1-Landbrug!D$51),1)</f>
        <v>#REF!</v>
      </c>
      <c r="J120" s="304" t="e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input'!$A$3:$A$230,$A$1)),IF(VLOOKUP($A120,[1]!Table1[#All],2,FALSE)="Resultat",SUMIF($F$1:$F119,$D120,J$1:J119)+SUMIF($F121:$F$490,$D120,J121:J$490),0))*'[1]Processer - data'!J120,"")*IF($C120&lt;&gt;"",IF($F120="Halm",Landbrug!E$16*Landbrug!E$17,IF(LEFT($D120,5)="Areal", IF($G120="Ton",Landbrug!E$18,1),1)),1)*IF($F120="Grøntsager",IF($A120="Grøntsager i drivhus",Landbrug!E$51,1-Landbrug!E$51),1)</f>
        <v>#REF!</v>
      </c>
    </row>
    <row r="121" spans="1:10" x14ac:dyDescent="0.25">
      <c r="A121" t="str">
        <f>IF('[1]Processer - data'!A121&lt;&gt;"",'[1]Processer - data'!A121,"")</f>
        <v>Kornmark</v>
      </c>
      <c r="B121" t="str">
        <f>IF('[1]Processer - data'!B121&lt;&gt;"",'[1]Processer - data'!B121,"")</f>
        <v>Konventionel</v>
      </c>
      <c r="C121" t="str">
        <f>IF('[1]Processer - data'!C121&lt;&gt;"",'[1]Processer - data'!C121,"")</f>
        <v>JB1-10</v>
      </c>
      <c r="D121" t="str">
        <f>IF('[1]Processer - data'!D121&lt;&gt;"",'[1]Processer - data'!D121,"")</f>
        <v>Areal-korn</v>
      </c>
      <c r="E121" t="str">
        <f>IF('[1]Processer - data'!E121&lt;&gt;"",'[1]Processer - data'!E121,"")</f>
        <v>Hektar</v>
      </c>
      <c r="F121" t="str">
        <f>IF('[1]Processer - data'!F121&lt;&gt;"",'[1]Processer - data'!F121,"")</f>
        <v>Halm</v>
      </c>
      <c r="G121" t="str">
        <f>IF('[1]Processer - data'!G121&lt;&gt;"",'[1]Processer - data'!G121,"")</f>
        <v>Ton</v>
      </c>
      <c r="H121" s="302" t="e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input'!$A$3:$A$230,$A$1)),IF(VLOOKUP($A121,[1]!Table1[#All],2,FALSE)="Resultat",SUMIF($F$1:$F120,$D121,H$1:H120)+SUMIF($F122:$F$490,$D121,H122:H$490),0))*'[1]Processer - data'!H121,"")*IF($C121&lt;&gt;"",IF($F121="Halm",Landbrug!C$16*Landbrug!C$17,IF(LEFT($D121,5)="Areal", IF($G121="Ton",Landbrug!C$18,1),1)),1)*IF($F121="Grøntsager",IF($A121="Grøntsager i drivhus",Landbrug!C$51,1-Landbrug!C$51),1)</f>
        <v>#REF!</v>
      </c>
      <c r="I121" s="303" t="e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input'!$A$3:$A$230,$A$1)),IF(VLOOKUP($A121,[1]!Table1[#All],2,FALSE)="Resultat",SUMIF($F$1:$F120,$D121,I$1:I120)+SUMIF($F122:$F$490,$D121,I122:I$490),0))*'[1]Processer - data'!I121,"")*IF($C121&lt;&gt;"",IF($F121="Halm",Landbrug!D$16*Landbrug!D$17,IF(LEFT($D121,5)="Areal", IF($G121="Ton",Landbrug!D$18,1),1)),1)*IF($F121="Grøntsager",IF($A121="Grøntsager i drivhus",Landbrug!D$51,1-Landbrug!D$51),1)</f>
        <v>#REF!</v>
      </c>
      <c r="J121" s="304" t="e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input'!$A$3:$A$230,$A$1)),IF(VLOOKUP($A121,[1]!Table1[#All],2,FALSE)="Resultat",SUMIF($F$1:$F120,$D121,J$1:J120)+SUMIF($F122:$F$490,$D121,J122:J$490),0))*'[1]Processer - data'!J121,"")*IF($C121&lt;&gt;"",IF($F121="Halm",Landbrug!E$16*Landbrug!E$17,IF(LEFT($D121,5)="Areal", IF($G121="Ton",Landbrug!E$18,1),1)),1)*IF($F121="Grøntsager",IF($A121="Grøntsager i drivhus",Landbrug!E$51,1-Landbrug!E$51),1)</f>
        <v>#REF!</v>
      </c>
    </row>
    <row r="122" spans="1:10" x14ac:dyDescent="0.25">
      <c r="A122" t="str">
        <f>IF('[1]Processer - data'!A122&lt;&gt;"",'[1]Processer - data'!A122,"")</f>
        <v>Kornmark</v>
      </c>
      <c r="B122" t="str">
        <f>IF('[1]Processer - data'!B122&lt;&gt;"",'[1]Processer - data'!B122,"")</f>
        <v>Konventionel</v>
      </c>
      <c r="C122" t="str">
        <f>IF('[1]Processer - data'!C122&lt;&gt;"",'[1]Processer - data'!C122,"")</f>
        <v>JB1-10</v>
      </c>
      <c r="D122" t="str">
        <f>IF('[1]Processer - data'!D122&lt;&gt;"",'[1]Processer - data'!D122,"")</f>
        <v>Areal-korn</v>
      </c>
      <c r="E122" t="str">
        <f>IF('[1]Processer - data'!E122&lt;&gt;"",'[1]Processer - data'!E122,"")</f>
        <v>Hektar</v>
      </c>
      <c r="F122" t="str">
        <f>IF('[1]Processer - data'!F122&lt;&gt;"",'[1]Processer - data'!F122,"")</f>
        <v>Gødning</v>
      </c>
      <c r="G122" t="str">
        <f>IF('[1]Processer - data'!G122&lt;&gt;"",'[1]Processer - data'!G122,"")</f>
        <v>kg N</v>
      </c>
      <c r="H122" s="302" t="e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input'!$A$3:$A$230,$A$1)),IF(VLOOKUP($A122,[1]!Table1[#All],2,FALSE)="Resultat",SUMIF($F$1:$F121,$D122,H$1:H121)+SUMIF($F123:$F$490,$D122,H123:H$490),0))*'[1]Processer - data'!H122,"")*IF($C122&lt;&gt;"",IF($F122="Halm",Landbrug!C$16*Landbrug!C$17,IF(LEFT($D122,5)="Areal", IF($G122="Ton",Landbrug!C$18,1),1)),1)*IF($F122="Grøntsager",IF($A122="Grøntsager i drivhus",Landbrug!C$51,1-Landbrug!C$51),1)</f>
        <v>#REF!</v>
      </c>
      <c r="I122" s="303" t="e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input'!$A$3:$A$230,$A$1)),IF(VLOOKUP($A122,[1]!Table1[#All],2,FALSE)="Resultat",SUMIF($F$1:$F121,$D122,I$1:I121)+SUMIF($F123:$F$490,$D122,I123:I$490),0))*'[1]Processer - data'!I122,"")*IF($C122&lt;&gt;"",IF($F122="Halm",Landbrug!D$16*Landbrug!D$17,IF(LEFT($D122,5)="Areal", IF($G122="Ton",Landbrug!D$18,1),1)),1)*IF($F122="Grøntsager",IF($A122="Grøntsager i drivhus",Landbrug!D$51,1-Landbrug!D$51),1)</f>
        <v>#REF!</v>
      </c>
      <c r="J122" s="304" t="e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input'!$A$3:$A$230,$A$1)),IF(VLOOKUP($A122,[1]!Table1[#All],2,FALSE)="Resultat",SUMIF($F$1:$F121,$D122,J$1:J121)+SUMIF($F123:$F$490,$D122,J123:J$490),0))*'[1]Processer - data'!J122,"")*IF($C122&lt;&gt;"",IF($F122="Halm",Landbrug!E$16*Landbrug!E$17,IF(LEFT($D122,5)="Areal", IF($G122="Ton",Landbrug!E$18,1),1)),1)*IF($F122="Grøntsager",IF($A122="Grøntsager i drivhus",Landbrug!E$51,1-Landbrug!E$51),1)</f>
        <v>#REF!</v>
      </c>
    </row>
    <row r="123" spans="1:10" x14ac:dyDescent="0.25">
      <c r="A123" t="str">
        <f>IF('[1]Processer - data'!A123&lt;&gt;"",'[1]Processer - data'!A123,"")</f>
        <v>Kornmark</v>
      </c>
      <c r="B123" t="str">
        <f>IF('[1]Processer - data'!B123&lt;&gt;"",'[1]Processer - data'!B123,"")</f>
        <v>Konventionel</v>
      </c>
      <c r="C123" t="str">
        <f>IF('[1]Processer - data'!C123&lt;&gt;"",'[1]Processer - data'!C123,"")</f>
        <v>JB1-10</v>
      </c>
      <c r="D123" t="str">
        <f>IF('[1]Processer - data'!D123&lt;&gt;"",'[1]Processer - data'!D123,"")</f>
        <v>Areal-korn</v>
      </c>
      <c r="E123" t="str">
        <f>IF('[1]Processer - data'!E123&lt;&gt;"",'[1]Processer - data'!E123,"")</f>
        <v>Hektar</v>
      </c>
      <c r="F123" t="str">
        <f>IF('[1]Processer - data'!F123&lt;&gt;"",'[1]Processer - data'!F123,"")</f>
        <v>CO2 - atmosfære</v>
      </c>
      <c r="G123" t="str">
        <f>IF('[1]Processer - data'!G123&lt;&gt;"",'[1]Processer - data'!G123,"")</f>
        <v>t CO2-ækvivalenter</v>
      </c>
      <c r="H123" s="302" t="e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input'!$A$3:$A$230,$A$1)),IF(VLOOKUP($A123,[1]!Table1[#All],2,FALSE)="Resultat",SUMIF($F$1:$F122,$D123,H$1:H122)+SUMIF($F124:$F$490,$D123,H124:H$490),0))*'[1]Processer - data'!H123,"")*IF($C123&lt;&gt;"",IF($F123="Halm",Landbrug!C$16*Landbrug!C$17,IF(LEFT($D123,5)="Areal", IF($G123="Ton",Landbrug!C$18,1),1)),1)*IF($F123="Grøntsager",IF($A123="Grøntsager i drivhus",Landbrug!C$51,1-Landbrug!C$51),1)</f>
        <v>#REF!</v>
      </c>
      <c r="I123" s="303" t="e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input'!$A$3:$A$230,$A$1)),IF(VLOOKUP($A123,[1]!Table1[#All],2,FALSE)="Resultat",SUMIF($F$1:$F122,$D123,I$1:I122)+SUMIF($F124:$F$490,$D123,I124:I$490),0))*'[1]Processer - data'!I123,"")*IF($C123&lt;&gt;"",IF($F123="Halm",Landbrug!D$16*Landbrug!D$17,IF(LEFT($D123,5)="Areal", IF($G123="Ton",Landbrug!D$18,1),1)),1)*IF($F123="Grøntsager",IF($A123="Grøntsager i drivhus",Landbrug!D$51,1-Landbrug!D$51),1)</f>
        <v>#REF!</v>
      </c>
      <c r="J123" s="304" t="e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input'!$A$3:$A$230,$A$1)),IF(VLOOKUP($A123,[1]!Table1[#All],2,FALSE)="Resultat",SUMIF($F$1:$F122,$D123,J$1:J122)+SUMIF($F124:$F$490,$D123,J124:J$490),0))*'[1]Processer - data'!J123,"")*IF($C123&lt;&gt;"",IF($F123="Halm",Landbrug!E$16*Landbrug!E$17,IF(LEFT($D123,5)="Areal", IF($G123="Ton",Landbrug!E$18,1),1)),1)*IF($F123="Grøntsager",IF($A123="Grøntsager i drivhus",Landbrug!E$51,1-Landbrug!E$51),1)</f>
        <v>#REF!</v>
      </c>
    </row>
    <row r="124" spans="1:10" x14ac:dyDescent="0.25">
      <c r="A124" t="str">
        <f>IF('[1]Processer - data'!A124&lt;&gt;"",'[1]Processer - data'!A124,"")</f>
        <v>Kornmark</v>
      </c>
      <c r="B124" t="str">
        <f>IF('[1]Processer - data'!B124&lt;&gt;"",'[1]Processer - data'!B124,"")</f>
        <v>Konventionel</v>
      </c>
      <c r="C124" t="str">
        <f>IF('[1]Processer - data'!C124&lt;&gt;"",'[1]Processer - data'!C124,"")</f>
        <v>OC6</v>
      </c>
      <c r="D124" t="str">
        <f>IF('[1]Processer - data'!D124&lt;&gt;"",'[1]Processer - data'!D124,"")</f>
        <v>Areal-korn</v>
      </c>
      <c r="E124" t="str">
        <f>IF('[1]Processer - data'!E124&lt;&gt;"",'[1]Processer - data'!E124,"")</f>
        <v>Hektar</v>
      </c>
      <c r="F124" t="str">
        <f>IF('[1]Processer - data'!F124&lt;&gt;"",'[1]Processer - data'!F124,"")</f>
        <v>Korn</v>
      </c>
      <c r="G124" t="str">
        <f>IF('[1]Processer - data'!G124&lt;&gt;"",'[1]Processer - data'!G124,"")</f>
        <v>Ton</v>
      </c>
      <c r="H124" s="302" t="e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input'!$A$3:$A$230,$A$1)),IF(VLOOKUP($A124,[1]!Table1[#All],2,FALSE)="Resultat",SUMIF($F$1:$F123,$D124,H$1:H123)+SUMIF($F125:$F$490,$D124,H125:H$490),0))*'[1]Processer - data'!H124,"")*IF($C124&lt;&gt;"",IF($F124="Halm",Landbrug!C$16*Landbrug!C$17,IF(LEFT($D124,5)="Areal", IF($G124="Ton",Landbrug!C$18,1),1)),1)*IF($F124="Grøntsager",IF($A124="Grøntsager i drivhus",Landbrug!C$51,1-Landbrug!C$51),1)</f>
        <v>#REF!</v>
      </c>
      <c r="I124" s="303" t="e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input'!$A$3:$A$230,$A$1)),IF(VLOOKUP($A124,[1]!Table1[#All],2,FALSE)="Resultat",SUMIF($F$1:$F123,$D124,I$1:I123)+SUMIF($F125:$F$490,$D124,I125:I$490),0))*'[1]Processer - data'!I124,"")*IF($C124&lt;&gt;"",IF($F124="Halm",Landbrug!D$16*Landbrug!D$17,IF(LEFT($D124,5)="Areal", IF($G124="Ton",Landbrug!D$18,1),1)),1)*IF($F124="Grøntsager",IF($A124="Grøntsager i drivhus",Landbrug!D$51,1-Landbrug!D$51),1)</f>
        <v>#REF!</v>
      </c>
      <c r="J124" s="304" t="e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input'!$A$3:$A$230,$A$1)),IF(VLOOKUP($A124,[1]!Table1[#All],2,FALSE)="Resultat",SUMIF($F$1:$F123,$D124,J$1:J123)+SUMIF($F125:$F$490,$D124,J125:J$490),0))*'[1]Processer - data'!J124,"")*IF($C124&lt;&gt;"",IF($F124="Halm",Landbrug!E$16*Landbrug!E$17,IF(LEFT($D124,5)="Areal", IF($G124="Ton",Landbrug!E$18,1),1)),1)*IF($F124="Grøntsager",IF($A124="Grøntsager i drivhus",Landbrug!E$51,1-Landbrug!E$51),1)</f>
        <v>#REF!</v>
      </c>
    </row>
    <row r="125" spans="1:10" x14ac:dyDescent="0.25">
      <c r="A125" t="str">
        <f>IF('[1]Processer - data'!A125&lt;&gt;"",'[1]Processer - data'!A125,"")</f>
        <v>Kornmark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>OC6</v>
      </c>
      <c r="D125" t="str">
        <f>IF('[1]Processer - data'!D125&lt;&gt;"",'[1]Processer - data'!D125,"")</f>
        <v>Areal-korn</v>
      </c>
      <c r="E125" t="str">
        <f>IF('[1]Processer - data'!E125&lt;&gt;"",'[1]Processer - data'!E125,"")</f>
        <v>Hektar</v>
      </c>
      <c r="F125" t="str">
        <f>IF('[1]Processer - data'!F125&lt;&gt;"",'[1]Processer - data'!F125,"")</f>
        <v>Halm</v>
      </c>
      <c r="G125" t="str">
        <f>IF('[1]Processer - data'!G125&lt;&gt;"",'[1]Processer - data'!G125,"")</f>
        <v>Ton</v>
      </c>
      <c r="H125" s="302" t="e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input'!$A$3:$A$230,$A$1)),IF(VLOOKUP($A125,[1]!Table1[#All],2,FALSE)="Resultat",SUMIF($F$1:$F124,$D125,H$1:H124)+SUMIF($F126:$F$490,$D125,H126:H$490),0))*'[1]Processer - data'!H125,"")*IF($C125&lt;&gt;"",IF($F125="Halm",Landbrug!C$16*Landbrug!C$17,IF(LEFT($D125,5)="Areal", IF($G125="Ton",Landbrug!C$18,1),1)),1)*IF($F125="Grøntsager",IF($A125="Grøntsager i drivhus",Landbrug!C$51,1-Landbrug!C$51),1)</f>
        <v>#REF!</v>
      </c>
      <c r="I125" s="303" t="e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input'!$A$3:$A$230,$A$1)),IF(VLOOKUP($A125,[1]!Table1[#All],2,FALSE)="Resultat",SUMIF($F$1:$F124,$D125,I$1:I124)+SUMIF($F126:$F$490,$D125,I126:I$490),0))*'[1]Processer - data'!I125,"")*IF($C125&lt;&gt;"",IF($F125="Halm",Landbrug!D$16*Landbrug!D$17,IF(LEFT($D125,5)="Areal", IF($G125="Ton",Landbrug!D$18,1),1)),1)*IF($F125="Grøntsager",IF($A125="Grøntsager i drivhus",Landbrug!D$51,1-Landbrug!D$51),1)</f>
        <v>#REF!</v>
      </c>
      <c r="J125" s="304" t="e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input'!$A$3:$A$230,$A$1)),IF(VLOOKUP($A125,[1]!Table1[#All],2,FALSE)="Resultat",SUMIF($F$1:$F124,$D125,J$1:J124)+SUMIF($F126:$F$490,$D125,J126:J$490),0))*'[1]Processer - data'!J125,"")*IF($C125&lt;&gt;"",IF($F125="Halm",Landbrug!E$16*Landbrug!E$17,IF(LEFT($D125,5)="Areal", IF($G125="Ton",Landbrug!E$18,1),1)),1)*IF($F125="Grøntsager",IF($A125="Grøntsager i drivhus",Landbrug!E$51,1-Landbrug!E$51),1)</f>
        <v>#REF!</v>
      </c>
    </row>
    <row r="126" spans="1:10" x14ac:dyDescent="0.25">
      <c r="A126" t="str">
        <f>IF('[1]Processer - data'!A126&lt;&gt;"",'[1]Processer - data'!A126,"")</f>
        <v>Kornmark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>OC6</v>
      </c>
      <c r="D126" t="str">
        <f>IF('[1]Processer - data'!D126&lt;&gt;"",'[1]Processer - data'!D126,"")</f>
        <v>Areal-korn</v>
      </c>
      <c r="E126" t="str">
        <f>IF('[1]Processer - data'!E126&lt;&gt;"",'[1]Processer - data'!E126,"")</f>
        <v>Hektar</v>
      </c>
      <c r="F126" t="str">
        <f>IF('[1]Processer - data'!F126&lt;&gt;"",'[1]Processer - data'!F126,"")</f>
        <v>Gødning</v>
      </c>
      <c r="G126" t="str">
        <f>IF('[1]Processer - data'!G126&lt;&gt;"",'[1]Processer - data'!G126,"")</f>
        <v>kg N</v>
      </c>
      <c r="H126" s="302" t="e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input'!$A$3:$A$230,$A$1)),IF(VLOOKUP($A126,[1]!Table1[#All],2,FALSE)="Resultat",SUMIF($F$1:$F125,$D126,H$1:H125)+SUMIF($F127:$F$490,$D126,H127:H$490),0))*'[1]Processer - data'!H126,"")*IF($C126&lt;&gt;"",IF($F126="Halm",Landbrug!C$16*Landbrug!C$17,IF(LEFT($D126,5)="Areal", IF($G126="Ton",Landbrug!C$18,1),1)),1)*IF($F126="Grøntsager",IF($A126="Grøntsager i drivhus",Landbrug!C$51,1-Landbrug!C$51),1)</f>
        <v>#REF!</v>
      </c>
      <c r="I126" s="303" t="e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input'!$A$3:$A$230,$A$1)),IF(VLOOKUP($A126,[1]!Table1[#All],2,FALSE)="Resultat",SUMIF($F$1:$F125,$D126,I$1:I125)+SUMIF($F127:$F$490,$D126,I127:I$490),0))*'[1]Processer - data'!I126,"")*IF($C126&lt;&gt;"",IF($F126="Halm",Landbrug!D$16*Landbrug!D$17,IF(LEFT($D126,5)="Areal", IF($G126="Ton",Landbrug!D$18,1),1)),1)*IF($F126="Grøntsager",IF($A126="Grøntsager i drivhus",Landbrug!D$51,1-Landbrug!D$51),1)</f>
        <v>#REF!</v>
      </c>
      <c r="J126" s="304" t="e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input'!$A$3:$A$230,$A$1)),IF(VLOOKUP($A126,[1]!Table1[#All],2,FALSE)="Resultat",SUMIF($F$1:$F125,$D126,J$1:J125)+SUMIF($F127:$F$490,$D126,J127:J$490),0))*'[1]Processer - data'!J126,"")*IF($C126&lt;&gt;"",IF($F126="Halm",Landbrug!E$16*Landbrug!E$17,IF(LEFT($D126,5)="Areal", IF($G126="Ton",Landbrug!E$18,1),1)),1)*IF($F126="Grøntsager",IF($A126="Grøntsager i drivhus",Landbrug!E$51,1-Landbrug!E$51),1)</f>
        <v>#REF!</v>
      </c>
    </row>
    <row r="127" spans="1:10" x14ac:dyDescent="0.25">
      <c r="A127" t="str">
        <f>IF('[1]Processer - data'!A127&lt;&gt;"",'[1]Processer - data'!A127,"")</f>
        <v>Kornmark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>OC6</v>
      </c>
      <c r="D127" t="str">
        <f>IF('[1]Processer - data'!D127&lt;&gt;"",'[1]Processer - data'!D127,"")</f>
        <v>Areal-korn</v>
      </c>
      <c r="E127" t="str">
        <f>IF('[1]Processer - data'!E127&lt;&gt;"",'[1]Processer - data'!E127,"")</f>
        <v>Hektar</v>
      </c>
      <c r="F127" t="str">
        <f>IF('[1]Processer - data'!F127&lt;&gt;"",'[1]Processer - data'!F127,"")</f>
        <v>CO2 - atmosfære</v>
      </c>
      <c r="G127" t="str">
        <f>IF('[1]Processer - data'!G127&lt;&gt;"",'[1]Processer - data'!G127,"")</f>
        <v>t CO2-ækvivalenter</v>
      </c>
      <c r="H127" s="302" t="e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input'!$A$3:$A$230,$A$1)),IF(VLOOKUP($A127,[1]!Table1[#All],2,FALSE)="Resultat",SUMIF($F$1:$F126,$D127,H$1:H126)+SUMIF($F128:$F$490,$D127,H128:H$490),0))*'[1]Processer - data'!H127,"")*IF($C127&lt;&gt;"",IF($F127="Halm",Landbrug!C$16*Landbrug!C$17,IF(LEFT($D127,5)="Areal", IF($G127="Ton",Landbrug!C$18,1),1)),1)*IF($F127="Grøntsager",IF($A127="Grøntsager i drivhus",Landbrug!C$51,1-Landbrug!C$51),1)</f>
        <v>#REF!</v>
      </c>
      <c r="I127" s="303" t="e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input'!$A$3:$A$230,$A$1)),IF(VLOOKUP($A127,[1]!Table1[#All],2,FALSE)="Resultat",SUMIF($F$1:$F126,$D127,I$1:I126)+SUMIF($F128:$F$490,$D127,I128:I$490),0))*'[1]Processer - data'!I127,"")*IF($C127&lt;&gt;"",IF($F127="Halm",Landbrug!D$16*Landbrug!D$17,IF(LEFT($D127,5)="Areal", IF($G127="Ton",Landbrug!D$18,1),1)),1)*IF($F127="Grøntsager",IF($A127="Grøntsager i drivhus",Landbrug!D$51,1-Landbrug!D$51),1)</f>
        <v>#REF!</v>
      </c>
      <c r="J127" s="304" t="e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input'!$A$3:$A$230,$A$1)),IF(VLOOKUP($A127,[1]!Table1[#All],2,FALSE)="Resultat",SUMIF($F$1:$F126,$D127,J$1:J126)+SUMIF($F128:$F$490,$D127,J128:J$490),0))*'[1]Processer - data'!J127,"")*IF($C127&lt;&gt;"",IF($F127="Halm",Landbrug!E$16*Landbrug!E$17,IF(LEFT($D127,5)="Areal", IF($G127="Ton",Landbrug!E$18,1),1)),1)*IF($F127="Grøntsager",IF($A127="Grøntsager i drivhus",Landbrug!E$51,1-Landbrug!E$51),1)</f>
        <v>#REF!</v>
      </c>
    </row>
    <row r="128" spans="1:10" x14ac:dyDescent="0.25">
      <c r="A128" t="str">
        <f>IF('[1]Processer - data'!A128&lt;&gt;"",'[1]Processer - data'!A128,"")</f>
        <v>Kornmark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>OC12</v>
      </c>
      <c r="D128" t="str">
        <f>IF('[1]Processer - data'!D128&lt;&gt;"",'[1]Processer - data'!D128,"")</f>
        <v>Areal-korn</v>
      </c>
      <c r="E128" t="str">
        <f>IF('[1]Processer - data'!E128&lt;&gt;"",'[1]Processer - data'!E128,"")</f>
        <v>Hektar</v>
      </c>
      <c r="F128" t="str">
        <f>IF('[1]Processer - data'!F128&lt;&gt;"",'[1]Processer - data'!F128,"")</f>
        <v>Korn</v>
      </c>
      <c r="G128" t="str">
        <f>IF('[1]Processer - data'!G128&lt;&gt;"",'[1]Processer - data'!G128,"")</f>
        <v>Ton</v>
      </c>
      <c r="H128" s="302" t="e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input'!$A$3:$A$230,$A$1)),IF(VLOOKUP($A128,[1]!Table1[#All],2,FALSE)="Resultat",SUMIF($F$1:$F127,$D128,H$1:H127)+SUMIF($F129:$F$490,$D128,H129:H$490),0))*'[1]Processer - data'!H128,"")*IF($C128&lt;&gt;"",IF($F128="Halm",Landbrug!C$16*Landbrug!C$17,IF(LEFT($D128,5)="Areal", IF($G128="Ton",Landbrug!C$18,1),1)),1)*IF($F128="Grøntsager",IF($A128="Grøntsager i drivhus",Landbrug!C$51,1-Landbrug!C$51),1)</f>
        <v>#REF!</v>
      </c>
      <c r="I128" s="303" t="e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input'!$A$3:$A$230,$A$1)),IF(VLOOKUP($A128,[1]!Table1[#All],2,FALSE)="Resultat",SUMIF($F$1:$F127,$D128,I$1:I127)+SUMIF($F129:$F$490,$D128,I129:I$490),0))*'[1]Processer - data'!I128,"")*IF($C128&lt;&gt;"",IF($F128="Halm",Landbrug!D$16*Landbrug!D$17,IF(LEFT($D128,5)="Areal", IF($G128="Ton",Landbrug!D$18,1),1)),1)*IF($F128="Grøntsager",IF($A128="Grøntsager i drivhus",Landbrug!D$51,1-Landbrug!D$51),1)</f>
        <v>#REF!</v>
      </c>
      <c r="J128" s="304" t="e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input'!$A$3:$A$230,$A$1)),IF(VLOOKUP($A128,[1]!Table1[#All],2,FALSE)="Resultat",SUMIF($F$1:$F127,$D128,J$1:J127)+SUMIF($F129:$F$490,$D128,J129:J$490),0))*'[1]Processer - data'!J128,"")*IF($C128&lt;&gt;"",IF($F128="Halm",Landbrug!E$16*Landbrug!E$17,IF(LEFT($D128,5)="Areal", IF($G128="Ton",Landbrug!E$18,1),1)),1)*IF($F128="Grøntsager",IF($A128="Grøntsager i drivhus",Landbrug!E$51,1-Landbrug!E$51),1)</f>
        <v>#REF!</v>
      </c>
    </row>
    <row r="129" spans="1:10" x14ac:dyDescent="0.25">
      <c r="A129" t="str">
        <f>IF('[1]Processer - data'!A129&lt;&gt;"",'[1]Processer - data'!A129,"")</f>
        <v>Kornmark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>OC12</v>
      </c>
      <c r="D129" t="str">
        <f>IF('[1]Processer - data'!D129&lt;&gt;"",'[1]Processer - data'!D129,"")</f>
        <v>Areal-korn</v>
      </c>
      <c r="E129" t="str">
        <f>IF('[1]Processer - data'!E129&lt;&gt;"",'[1]Processer - data'!E129,"")</f>
        <v>Hektar</v>
      </c>
      <c r="F129" t="str">
        <f>IF('[1]Processer - data'!F129&lt;&gt;"",'[1]Processer - data'!F129,"")</f>
        <v>Halm</v>
      </c>
      <c r="G129" t="str">
        <f>IF('[1]Processer - data'!G129&lt;&gt;"",'[1]Processer - data'!G129,"")</f>
        <v>Ton</v>
      </c>
      <c r="H129" s="302" t="e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input'!$A$3:$A$230,$A$1)),IF(VLOOKUP($A129,[1]!Table1[#All],2,FALSE)="Resultat",SUMIF($F$1:$F128,$D129,H$1:H128)+SUMIF($F130:$F$490,$D129,H130:H$490),0))*'[1]Processer - data'!H129,"")*IF($C129&lt;&gt;"",IF($F129="Halm",Landbrug!C$16*Landbrug!C$17,IF(LEFT($D129,5)="Areal", IF($G129="Ton",Landbrug!C$18,1),1)),1)*IF($F129="Grøntsager",IF($A129="Grøntsager i drivhus",Landbrug!C$51,1-Landbrug!C$51),1)</f>
        <v>#REF!</v>
      </c>
      <c r="I129" s="303" t="e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input'!$A$3:$A$230,$A$1)),IF(VLOOKUP($A129,[1]!Table1[#All],2,FALSE)="Resultat",SUMIF($F$1:$F128,$D129,I$1:I128)+SUMIF($F130:$F$490,$D129,I130:I$490),0))*'[1]Processer - data'!I129,"")*IF($C129&lt;&gt;"",IF($F129="Halm",Landbrug!D$16*Landbrug!D$17,IF(LEFT($D129,5)="Areal", IF($G129="Ton",Landbrug!D$18,1),1)),1)*IF($F129="Grøntsager",IF($A129="Grøntsager i drivhus",Landbrug!D$51,1-Landbrug!D$51),1)</f>
        <v>#REF!</v>
      </c>
      <c r="J129" s="304" t="e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input'!$A$3:$A$230,$A$1)),IF(VLOOKUP($A129,[1]!Table1[#All],2,FALSE)="Resultat",SUMIF($F$1:$F128,$D129,J$1:J128)+SUMIF($F130:$F$490,$D129,J130:J$490),0))*'[1]Processer - data'!J129,"")*IF($C129&lt;&gt;"",IF($F129="Halm",Landbrug!E$16*Landbrug!E$17,IF(LEFT($D129,5)="Areal", IF($G129="Ton",Landbrug!E$18,1),1)),1)*IF($F129="Grøntsager",IF($A129="Grøntsager i drivhus",Landbrug!E$51,1-Landbrug!E$51),1)</f>
        <v>#REF!</v>
      </c>
    </row>
    <row r="130" spans="1:10" x14ac:dyDescent="0.25">
      <c r="A130" t="str">
        <f>IF('[1]Processer - data'!A130&lt;&gt;"",'[1]Processer - data'!A130,"")</f>
        <v>Kornmark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>OC12</v>
      </c>
      <c r="D130" t="str">
        <f>IF('[1]Processer - data'!D130&lt;&gt;"",'[1]Processer - data'!D130,"")</f>
        <v>Areal-korn</v>
      </c>
      <c r="E130" t="str">
        <f>IF('[1]Processer - data'!E130&lt;&gt;"",'[1]Processer - data'!E130,"")</f>
        <v>Hektar</v>
      </c>
      <c r="F130" t="str">
        <f>IF('[1]Processer - data'!F130&lt;&gt;"",'[1]Processer - data'!F130,"")</f>
        <v>Gødning</v>
      </c>
      <c r="G130" t="str">
        <f>IF('[1]Processer - data'!G130&lt;&gt;"",'[1]Processer - data'!G130,"")</f>
        <v>kg N</v>
      </c>
      <c r="H130" s="302" t="e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input'!$A$3:$A$230,$A$1)),IF(VLOOKUP($A130,[1]!Table1[#All],2,FALSE)="Resultat",SUMIF($F$1:$F129,$D130,H$1:H129)+SUMIF($F131:$F$490,$D130,H131:H$490),0))*'[1]Processer - data'!H130,"")*IF($C130&lt;&gt;"",IF($F130="Halm",Landbrug!C$16*Landbrug!C$17,IF(LEFT($D130,5)="Areal", IF($G130="Ton",Landbrug!C$18,1),1)),1)*IF($F130="Grøntsager",IF($A130="Grøntsager i drivhus",Landbrug!C$51,1-Landbrug!C$51),1)</f>
        <v>#REF!</v>
      </c>
      <c r="I130" s="303" t="e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input'!$A$3:$A$230,$A$1)),IF(VLOOKUP($A130,[1]!Table1[#All],2,FALSE)="Resultat",SUMIF($F$1:$F129,$D130,I$1:I129)+SUMIF($F131:$F$490,$D130,I131:I$490),0))*'[1]Processer - data'!I130,"")*IF($C130&lt;&gt;"",IF($F130="Halm",Landbrug!D$16*Landbrug!D$17,IF(LEFT($D130,5)="Areal", IF($G130="Ton",Landbrug!D$18,1),1)),1)*IF($F130="Grøntsager",IF($A130="Grøntsager i drivhus",Landbrug!D$51,1-Landbrug!D$51),1)</f>
        <v>#REF!</v>
      </c>
      <c r="J130" s="304" t="e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input'!$A$3:$A$230,$A$1)),IF(VLOOKUP($A130,[1]!Table1[#All],2,FALSE)="Resultat",SUMIF($F$1:$F129,$D130,J$1:J129)+SUMIF($F131:$F$490,$D130,J131:J$490),0))*'[1]Processer - data'!J130,"")*IF($C130&lt;&gt;"",IF($F130="Halm",Landbrug!E$16*Landbrug!E$17,IF(LEFT($D130,5)="Areal", IF($G130="Ton",Landbrug!E$18,1),1)),1)*IF($F130="Grøntsager",IF($A130="Grøntsager i drivhus",Landbrug!E$51,1-Landbrug!E$51),1)</f>
        <v>#REF!</v>
      </c>
    </row>
    <row r="131" spans="1:10" x14ac:dyDescent="0.25">
      <c r="A131" t="str">
        <f>IF('[1]Processer - data'!A131&lt;&gt;"",'[1]Processer - data'!A131,"")</f>
        <v>Kornmark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>OC12</v>
      </c>
      <c r="D131" t="str">
        <f>IF('[1]Processer - data'!D131&lt;&gt;"",'[1]Processer - data'!D131,"")</f>
        <v>Areal-korn</v>
      </c>
      <c r="E131" t="str">
        <f>IF('[1]Processer - data'!E131&lt;&gt;"",'[1]Processer - data'!E131,"")</f>
        <v>Hektar</v>
      </c>
      <c r="F131" t="str">
        <f>IF('[1]Processer - data'!F131&lt;&gt;"",'[1]Processer - data'!F131,"")</f>
        <v>CO2 - atmosfære</v>
      </c>
      <c r="G131" t="str">
        <f>IF('[1]Processer - data'!G131&lt;&gt;"",'[1]Processer - data'!G131,"")</f>
        <v>t CO2-ækvivalenter</v>
      </c>
      <c r="H131" s="302" t="e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input'!$A$3:$A$230,$A$1)),IF(VLOOKUP($A131,[1]!Table1[#All],2,FALSE)="Resultat",SUMIF($F$1:$F130,$D131,H$1:H130)+SUMIF($F132:$F$490,$D131,H132:H$490),0))*'[1]Processer - data'!H131,"")*IF($C131&lt;&gt;"",IF($F131="Halm",Landbrug!C$16*Landbrug!C$17,IF(LEFT($D131,5)="Areal", IF($G131="Ton",Landbrug!C$18,1),1)),1)*IF($F131="Grøntsager",IF($A131="Grøntsager i drivhus",Landbrug!C$51,1-Landbrug!C$51),1)</f>
        <v>#REF!</v>
      </c>
      <c r="I131" s="303" t="e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input'!$A$3:$A$230,$A$1)),IF(VLOOKUP($A131,[1]!Table1[#All],2,FALSE)="Resultat",SUMIF($F$1:$F130,$D131,I$1:I130)+SUMIF($F132:$F$490,$D131,I132:I$490),0))*'[1]Processer - data'!I131,"")*IF($C131&lt;&gt;"",IF($F131="Halm",Landbrug!D$16*Landbrug!D$17,IF(LEFT($D131,5)="Areal", IF($G131="Ton",Landbrug!D$18,1),1)),1)*IF($F131="Grøntsager",IF($A131="Grøntsager i drivhus",Landbrug!D$51,1-Landbrug!D$51),1)</f>
        <v>#REF!</v>
      </c>
      <c r="J131" s="304" t="e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input'!$A$3:$A$230,$A$1)),IF(VLOOKUP($A131,[1]!Table1[#All],2,FALSE)="Resultat",SUMIF($F$1:$F130,$D131,J$1:J130)+SUMIF($F132:$F$490,$D131,J132:J$490),0))*'[1]Processer - data'!J131,"")*IF($C131&lt;&gt;"",IF($F131="Halm",Landbrug!E$16*Landbrug!E$17,IF(LEFT($D131,5)="Areal", IF($G131="Ton",Landbrug!E$18,1),1)),1)*IF($F131="Grøntsager",IF($A131="Grøntsager i drivhus",Landbrug!E$51,1-Landbrug!E$51),1)</f>
        <v>#REF!</v>
      </c>
    </row>
    <row r="132" spans="1:10" x14ac:dyDescent="0.25">
      <c r="A132" t="str">
        <f>IF('[1]Processer - data'!A132&lt;&gt;"",'[1]Processer - data'!A132,"")</f>
        <v>Kornmark</v>
      </c>
      <c r="B132" t="str">
        <f>IF('[1]Processer - data'!B132&lt;&gt;"",'[1]Processer - data'!B132,"")</f>
        <v>Økologisk</v>
      </c>
      <c r="C132" t="str">
        <f>IF('[1]Processer - data'!C132&lt;&gt;"",'[1]Processer - data'!C132,"")</f>
        <v>JB1-10</v>
      </c>
      <c r="D132" t="str">
        <f>IF('[1]Processer - data'!D132&lt;&gt;"",'[1]Processer - data'!D132,"")</f>
        <v>Areal-korn</v>
      </c>
      <c r="E132" t="str">
        <f>IF('[1]Processer - data'!E132&lt;&gt;"",'[1]Processer - data'!E132,"")</f>
        <v>Hektar</v>
      </c>
      <c r="F132" t="str">
        <f>IF('[1]Processer - data'!F132&lt;&gt;"",'[1]Processer - data'!F132,"")</f>
        <v>Korn</v>
      </c>
      <c r="G132" t="str">
        <f>IF('[1]Processer - data'!G132&lt;&gt;"",'[1]Processer - data'!G132,"")</f>
        <v>Ton</v>
      </c>
      <c r="H132" s="302" t="e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input'!$A$3:$A$230,$A$1)),IF(VLOOKUP($A132,[1]!Table1[#All],2,FALSE)="Resultat",SUMIF($F$1:$F131,$D132,H$1:H131)+SUMIF($F133:$F$490,$D132,H133:H$490),0))*'[1]Processer - data'!H132,"")*IF($C132&lt;&gt;"",IF($F132="Halm",Landbrug!C$16*Landbrug!C$17,IF(LEFT($D132,5)="Areal", IF($G132="Ton",Landbrug!C$18,1),1)),1)*IF($F132="Grøntsager",IF($A132="Grøntsager i drivhus",Landbrug!C$51,1-Landbrug!C$51),1)</f>
        <v>#REF!</v>
      </c>
      <c r="I132" s="303" t="e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input'!$A$3:$A$230,$A$1)),IF(VLOOKUP($A132,[1]!Table1[#All],2,FALSE)="Resultat",SUMIF($F$1:$F131,$D132,I$1:I131)+SUMIF($F133:$F$490,$D132,I133:I$490),0))*'[1]Processer - data'!I132,"")*IF($C132&lt;&gt;"",IF($F132="Halm",Landbrug!D$16*Landbrug!D$17,IF(LEFT($D132,5)="Areal", IF($G132="Ton",Landbrug!D$18,1),1)),1)*IF($F132="Grøntsager",IF($A132="Grøntsager i drivhus",Landbrug!D$51,1-Landbrug!D$51),1)</f>
        <v>#REF!</v>
      </c>
      <c r="J132" s="304" t="e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input'!$A$3:$A$230,$A$1)),IF(VLOOKUP($A132,[1]!Table1[#All],2,FALSE)="Resultat",SUMIF($F$1:$F131,$D132,J$1:J131)+SUMIF($F133:$F$490,$D132,J133:J$490),0))*'[1]Processer - data'!J132,"")*IF($C132&lt;&gt;"",IF($F132="Halm",Landbrug!E$16*Landbrug!E$17,IF(LEFT($D132,5)="Areal", IF($G132="Ton",Landbrug!E$18,1),1)),1)*IF($F132="Grøntsager",IF($A132="Grøntsager i drivhus",Landbrug!E$51,1-Landbrug!E$51),1)</f>
        <v>#REF!</v>
      </c>
    </row>
    <row r="133" spans="1:10" x14ac:dyDescent="0.25">
      <c r="A133" t="str">
        <f>IF('[1]Processer - data'!A133&lt;&gt;"",'[1]Processer - data'!A133,"")</f>
        <v>Kornmark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>JB1-10</v>
      </c>
      <c r="D133" t="str">
        <f>IF('[1]Processer - data'!D133&lt;&gt;"",'[1]Processer - data'!D133,"")</f>
        <v>Areal-korn</v>
      </c>
      <c r="E133" t="str">
        <f>IF('[1]Processer - data'!E133&lt;&gt;"",'[1]Processer - data'!E133,"")</f>
        <v>Hektar</v>
      </c>
      <c r="F133" t="str">
        <f>IF('[1]Processer - data'!F133&lt;&gt;"",'[1]Processer - data'!F133,"")</f>
        <v>Halm</v>
      </c>
      <c r="G133" t="str">
        <f>IF('[1]Processer - data'!G133&lt;&gt;"",'[1]Processer - data'!G133,"")</f>
        <v>Ton</v>
      </c>
      <c r="H133" s="302" t="e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input'!$A$3:$A$230,$A$1)),IF(VLOOKUP($A133,[1]!Table1[#All],2,FALSE)="Resultat",SUMIF($F$1:$F132,$D133,H$1:H132)+SUMIF($F134:$F$490,$D133,H134:H$490),0))*'[1]Processer - data'!H133,"")*IF($C133&lt;&gt;"",IF($F133="Halm",Landbrug!C$16*Landbrug!C$17,IF(LEFT($D133,5)="Areal", IF($G133="Ton",Landbrug!C$18,1),1)),1)*IF($F133="Grøntsager",IF($A133="Grøntsager i drivhus",Landbrug!C$51,1-Landbrug!C$51),1)</f>
        <v>#REF!</v>
      </c>
      <c r="I133" s="303" t="e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input'!$A$3:$A$230,$A$1)),IF(VLOOKUP($A133,[1]!Table1[#All],2,FALSE)="Resultat",SUMIF($F$1:$F132,$D133,I$1:I132)+SUMIF($F134:$F$490,$D133,I134:I$490),0))*'[1]Processer - data'!I133,"")*IF($C133&lt;&gt;"",IF($F133="Halm",Landbrug!D$16*Landbrug!D$17,IF(LEFT($D133,5)="Areal", IF($G133="Ton",Landbrug!D$18,1),1)),1)*IF($F133="Grøntsager",IF($A133="Grøntsager i drivhus",Landbrug!D$51,1-Landbrug!D$51),1)</f>
        <v>#REF!</v>
      </c>
      <c r="J133" s="304" t="e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input'!$A$3:$A$230,$A$1)),IF(VLOOKUP($A133,[1]!Table1[#All],2,FALSE)="Resultat",SUMIF($F$1:$F132,$D133,J$1:J132)+SUMIF($F134:$F$490,$D133,J134:J$490),0))*'[1]Processer - data'!J133,"")*IF($C133&lt;&gt;"",IF($F133="Halm",Landbrug!E$16*Landbrug!E$17,IF(LEFT($D133,5)="Areal", IF($G133="Ton",Landbrug!E$18,1),1)),1)*IF($F133="Grøntsager",IF($A133="Grøntsager i drivhus",Landbrug!E$51,1-Landbrug!E$51),1)</f>
        <v>#REF!</v>
      </c>
    </row>
    <row r="134" spans="1:10" x14ac:dyDescent="0.25">
      <c r="A134" t="str">
        <f>IF('[1]Processer - data'!A134&lt;&gt;"",'[1]Processer - data'!A134,"")</f>
        <v>Kornmark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>JB1-10</v>
      </c>
      <c r="D134" t="str">
        <f>IF('[1]Processer - data'!D134&lt;&gt;"",'[1]Processer - data'!D134,"")</f>
        <v>Areal-korn</v>
      </c>
      <c r="E134" t="str">
        <f>IF('[1]Processer - data'!E134&lt;&gt;"",'[1]Processer - data'!E134,"")</f>
        <v>Hektar</v>
      </c>
      <c r="F134" t="str">
        <f>IF('[1]Processer - data'!F134&lt;&gt;"",'[1]Processer - data'!F134,"")</f>
        <v>Gødning</v>
      </c>
      <c r="G134" t="str">
        <f>IF('[1]Processer - data'!G134&lt;&gt;"",'[1]Processer - data'!G134,"")</f>
        <v>kg N</v>
      </c>
      <c r="H134" s="302" t="e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input'!$A$3:$A$230,$A$1)),IF(VLOOKUP($A134,[1]!Table1[#All],2,FALSE)="Resultat",SUMIF($F$1:$F133,$D134,H$1:H133)+SUMIF($F135:$F$490,$D134,H135:H$490),0))*'[1]Processer - data'!H134,"")*IF($C134&lt;&gt;"",IF($F134="Halm",Landbrug!C$16*Landbrug!C$17,IF(LEFT($D134,5)="Areal", IF($G134="Ton",Landbrug!C$18,1),1)),1)*IF($F134="Grøntsager",IF($A134="Grøntsager i drivhus",Landbrug!C$51,1-Landbrug!C$51),1)</f>
        <v>#REF!</v>
      </c>
      <c r="I134" s="303" t="e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input'!$A$3:$A$230,$A$1)),IF(VLOOKUP($A134,[1]!Table1[#All],2,FALSE)="Resultat",SUMIF($F$1:$F133,$D134,I$1:I133)+SUMIF($F135:$F$490,$D134,I135:I$490),0))*'[1]Processer - data'!I134,"")*IF($C134&lt;&gt;"",IF($F134="Halm",Landbrug!D$16*Landbrug!D$17,IF(LEFT($D134,5)="Areal", IF($G134="Ton",Landbrug!D$18,1),1)),1)*IF($F134="Grøntsager",IF($A134="Grøntsager i drivhus",Landbrug!D$51,1-Landbrug!D$51),1)</f>
        <v>#REF!</v>
      </c>
      <c r="J134" s="304" t="e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input'!$A$3:$A$230,$A$1)),IF(VLOOKUP($A134,[1]!Table1[#All],2,FALSE)="Resultat",SUMIF($F$1:$F133,$D134,J$1:J133)+SUMIF($F135:$F$490,$D134,J135:J$490),0))*'[1]Processer - data'!J134,"")*IF($C134&lt;&gt;"",IF($F134="Halm",Landbrug!E$16*Landbrug!E$17,IF(LEFT($D134,5)="Areal", IF($G134="Ton",Landbrug!E$18,1),1)),1)*IF($F134="Grøntsager",IF($A134="Grøntsager i drivhus",Landbrug!E$51,1-Landbrug!E$51),1)</f>
        <v>#REF!</v>
      </c>
    </row>
    <row r="135" spans="1:10" x14ac:dyDescent="0.25">
      <c r="A135" t="str">
        <f>IF('[1]Processer - data'!A135&lt;&gt;"",'[1]Processer - data'!A135,"")</f>
        <v>Kornmark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>JB1-10</v>
      </c>
      <c r="D135" t="str">
        <f>IF('[1]Processer - data'!D135&lt;&gt;"",'[1]Processer - data'!D135,"")</f>
        <v>Areal-korn</v>
      </c>
      <c r="E135" t="str">
        <f>IF('[1]Processer - data'!E135&lt;&gt;"",'[1]Processer - data'!E135,"")</f>
        <v>Hektar</v>
      </c>
      <c r="F135" t="str">
        <f>IF('[1]Processer - data'!F135&lt;&gt;"",'[1]Processer - data'!F135,"")</f>
        <v>CO2 - atmosfære</v>
      </c>
      <c r="G135" t="str">
        <f>IF('[1]Processer - data'!G135&lt;&gt;"",'[1]Processer - data'!G135,"")</f>
        <v>t CO2-ækvivalenter</v>
      </c>
      <c r="H135" s="302" t="e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input'!$A$3:$A$230,$A$1)),IF(VLOOKUP($A135,[1]!Table1[#All],2,FALSE)="Resultat",SUMIF($F$1:$F134,$D135,H$1:H134)+SUMIF($F136:$F$490,$D135,H136:H$490),0))*'[1]Processer - data'!H135,"")*IF($C135&lt;&gt;"",IF($F135="Halm",Landbrug!C$16*Landbrug!C$17,IF(LEFT($D135,5)="Areal", IF($G135="Ton",Landbrug!C$18,1),1)),1)*IF($F135="Grøntsager",IF($A135="Grøntsager i drivhus",Landbrug!C$51,1-Landbrug!C$51),1)</f>
        <v>#REF!</v>
      </c>
      <c r="I135" s="303" t="e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input'!$A$3:$A$230,$A$1)),IF(VLOOKUP($A135,[1]!Table1[#All],2,FALSE)="Resultat",SUMIF($F$1:$F134,$D135,I$1:I134)+SUMIF($F136:$F$490,$D135,I136:I$490),0))*'[1]Processer - data'!I135,"")*IF($C135&lt;&gt;"",IF($F135="Halm",Landbrug!D$16*Landbrug!D$17,IF(LEFT($D135,5)="Areal", IF($G135="Ton",Landbrug!D$18,1),1)),1)*IF($F135="Grøntsager",IF($A135="Grøntsager i drivhus",Landbrug!D$51,1-Landbrug!D$51),1)</f>
        <v>#REF!</v>
      </c>
      <c r="J135" s="304" t="e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input'!$A$3:$A$230,$A$1)),IF(VLOOKUP($A135,[1]!Table1[#All],2,FALSE)="Resultat",SUMIF($F$1:$F134,$D135,J$1:J134)+SUMIF($F136:$F$490,$D135,J136:J$490),0))*'[1]Processer - data'!J135,"")*IF($C135&lt;&gt;"",IF($F135="Halm",Landbrug!E$16*Landbrug!E$17,IF(LEFT($D135,5)="Areal", IF($G135="Ton",Landbrug!E$18,1),1)),1)*IF($F135="Grøntsager",IF($A135="Grøntsager i drivhus",Landbrug!E$51,1-Landbrug!E$51),1)</f>
        <v>#REF!</v>
      </c>
    </row>
    <row r="136" spans="1:10" x14ac:dyDescent="0.25">
      <c r="A136" t="str">
        <f>IF('[1]Processer - data'!A136&lt;&gt;"",'[1]Processer - data'!A136,"")</f>
        <v>Kornmark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>OC6</v>
      </c>
      <c r="D136" t="str">
        <f>IF('[1]Processer - data'!D136&lt;&gt;"",'[1]Processer - data'!D136,"")</f>
        <v>Areal-korn</v>
      </c>
      <c r="E136" t="str">
        <f>IF('[1]Processer - data'!E136&lt;&gt;"",'[1]Processer - data'!E136,"")</f>
        <v>Hektar</v>
      </c>
      <c r="F136" t="str">
        <f>IF('[1]Processer - data'!F136&lt;&gt;"",'[1]Processer - data'!F136,"")</f>
        <v>Korn</v>
      </c>
      <c r="G136" t="str">
        <f>IF('[1]Processer - data'!G136&lt;&gt;"",'[1]Processer - data'!G136,"")</f>
        <v>Ton</v>
      </c>
      <c r="H136" s="302" t="e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input'!$A$3:$A$230,$A$1)),IF(VLOOKUP($A136,[1]!Table1[#All],2,FALSE)="Resultat",SUMIF($F$1:$F135,$D136,H$1:H135)+SUMIF($F137:$F$490,$D136,H137:H$490),0))*'[1]Processer - data'!H136,"")*IF($C136&lt;&gt;"",IF($F136="Halm",Landbrug!C$16*Landbrug!C$17,IF(LEFT($D136,5)="Areal", IF($G136="Ton",Landbrug!C$18,1),1)),1)*IF($F136="Grøntsager",IF($A136="Grøntsager i drivhus",Landbrug!C$51,1-Landbrug!C$51),1)</f>
        <v>#REF!</v>
      </c>
      <c r="I136" s="303" t="e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input'!$A$3:$A$230,$A$1)),IF(VLOOKUP($A136,[1]!Table1[#All],2,FALSE)="Resultat",SUMIF($F$1:$F135,$D136,I$1:I135)+SUMIF($F137:$F$490,$D136,I137:I$490),0))*'[1]Processer - data'!I136,"")*IF($C136&lt;&gt;"",IF($F136="Halm",Landbrug!D$16*Landbrug!D$17,IF(LEFT($D136,5)="Areal", IF($G136="Ton",Landbrug!D$18,1),1)),1)*IF($F136="Grøntsager",IF($A136="Grøntsager i drivhus",Landbrug!D$51,1-Landbrug!D$51),1)</f>
        <v>#REF!</v>
      </c>
      <c r="J136" s="304" t="e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input'!$A$3:$A$230,$A$1)),IF(VLOOKUP($A136,[1]!Table1[#All],2,FALSE)="Resultat",SUMIF($F$1:$F135,$D136,J$1:J135)+SUMIF($F137:$F$490,$D136,J137:J$490),0))*'[1]Processer - data'!J136,"")*IF($C136&lt;&gt;"",IF($F136="Halm",Landbrug!E$16*Landbrug!E$17,IF(LEFT($D136,5)="Areal", IF($G136="Ton",Landbrug!E$18,1),1)),1)*IF($F136="Grøntsager",IF($A136="Grøntsager i drivhus",Landbrug!E$51,1-Landbrug!E$51),1)</f>
        <v>#REF!</v>
      </c>
    </row>
    <row r="137" spans="1:10" x14ac:dyDescent="0.25">
      <c r="A137" t="str">
        <f>IF('[1]Processer - data'!A137&lt;&gt;"",'[1]Processer - data'!A137,"")</f>
        <v>Kornmark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>OC6</v>
      </c>
      <c r="D137" t="str">
        <f>IF('[1]Processer - data'!D137&lt;&gt;"",'[1]Processer - data'!D137,"")</f>
        <v>Areal-korn</v>
      </c>
      <c r="E137" t="str">
        <f>IF('[1]Processer - data'!E137&lt;&gt;"",'[1]Processer - data'!E137,"")</f>
        <v>Hektar</v>
      </c>
      <c r="F137" t="str">
        <f>IF('[1]Processer - data'!F137&lt;&gt;"",'[1]Processer - data'!F137,"")</f>
        <v>Halm</v>
      </c>
      <c r="G137" t="str">
        <f>IF('[1]Processer - data'!G137&lt;&gt;"",'[1]Processer - data'!G137,"")</f>
        <v>Ton</v>
      </c>
      <c r="H137" s="302" t="e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input'!$A$3:$A$230,$A$1)),IF(VLOOKUP($A137,[1]!Table1[#All],2,FALSE)="Resultat",SUMIF($F$1:$F136,$D137,H$1:H136)+SUMIF($F138:$F$490,$D137,H138:H$490),0))*'[1]Processer - data'!H137,"")*IF($C137&lt;&gt;"",IF($F137="Halm",Landbrug!C$16*Landbrug!C$17,IF(LEFT($D137,5)="Areal", IF($G137="Ton",Landbrug!C$18,1),1)),1)*IF($F137="Grøntsager",IF($A137="Grøntsager i drivhus",Landbrug!C$51,1-Landbrug!C$51),1)</f>
        <v>#REF!</v>
      </c>
      <c r="I137" s="303" t="e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input'!$A$3:$A$230,$A$1)),IF(VLOOKUP($A137,[1]!Table1[#All],2,FALSE)="Resultat",SUMIF($F$1:$F136,$D137,I$1:I136)+SUMIF($F138:$F$490,$D137,I138:I$490),0))*'[1]Processer - data'!I137,"")*IF($C137&lt;&gt;"",IF($F137="Halm",Landbrug!D$16*Landbrug!D$17,IF(LEFT($D137,5)="Areal", IF($G137="Ton",Landbrug!D$18,1),1)),1)*IF($F137="Grøntsager",IF($A137="Grøntsager i drivhus",Landbrug!D$51,1-Landbrug!D$51),1)</f>
        <v>#REF!</v>
      </c>
      <c r="J137" s="304" t="e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input'!$A$3:$A$230,$A$1)),IF(VLOOKUP($A137,[1]!Table1[#All],2,FALSE)="Resultat",SUMIF($F$1:$F136,$D137,J$1:J136)+SUMIF($F138:$F$490,$D137,J138:J$490),0))*'[1]Processer - data'!J137,"")*IF($C137&lt;&gt;"",IF($F137="Halm",Landbrug!E$16*Landbrug!E$17,IF(LEFT($D137,5)="Areal", IF($G137="Ton",Landbrug!E$18,1),1)),1)*IF($F137="Grøntsager",IF($A137="Grøntsager i drivhus",Landbrug!E$51,1-Landbrug!E$51),1)</f>
        <v>#REF!</v>
      </c>
    </row>
    <row r="138" spans="1:10" x14ac:dyDescent="0.25">
      <c r="A138" t="str">
        <f>IF('[1]Processer - data'!A138&lt;&gt;"",'[1]Processer - data'!A138,"")</f>
        <v>Kornmark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>OC6</v>
      </c>
      <c r="D138" t="str">
        <f>IF('[1]Processer - data'!D138&lt;&gt;"",'[1]Processer - data'!D138,"")</f>
        <v>Areal-korn</v>
      </c>
      <c r="E138" t="str">
        <f>IF('[1]Processer - data'!E138&lt;&gt;"",'[1]Processer - data'!E138,"")</f>
        <v>Hektar</v>
      </c>
      <c r="F138" t="str">
        <f>IF('[1]Processer - data'!F138&lt;&gt;"",'[1]Processer - data'!F138,"")</f>
        <v>Gødning</v>
      </c>
      <c r="G138" t="str">
        <f>IF('[1]Processer - data'!G138&lt;&gt;"",'[1]Processer - data'!G138,"")</f>
        <v>kg N</v>
      </c>
      <c r="H138" s="302" t="e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input'!$A$3:$A$230,$A$1)),IF(VLOOKUP($A138,[1]!Table1[#All],2,FALSE)="Resultat",SUMIF($F$1:$F137,$D138,H$1:H137)+SUMIF($F139:$F$490,$D138,H139:H$490),0))*'[1]Processer - data'!H138,"")*IF($C138&lt;&gt;"",IF($F138="Halm",Landbrug!C$16*Landbrug!C$17,IF(LEFT($D138,5)="Areal", IF($G138="Ton",Landbrug!C$18,1),1)),1)*IF($F138="Grøntsager",IF($A138="Grøntsager i drivhus",Landbrug!C$51,1-Landbrug!C$51),1)</f>
        <v>#REF!</v>
      </c>
      <c r="I138" s="303" t="e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input'!$A$3:$A$230,$A$1)),IF(VLOOKUP($A138,[1]!Table1[#All],2,FALSE)="Resultat",SUMIF($F$1:$F137,$D138,I$1:I137)+SUMIF($F139:$F$490,$D138,I139:I$490),0))*'[1]Processer - data'!I138,"")*IF($C138&lt;&gt;"",IF($F138="Halm",Landbrug!D$16*Landbrug!D$17,IF(LEFT($D138,5)="Areal", IF($G138="Ton",Landbrug!D$18,1),1)),1)*IF($F138="Grøntsager",IF($A138="Grøntsager i drivhus",Landbrug!D$51,1-Landbrug!D$51),1)</f>
        <v>#REF!</v>
      </c>
      <c r="J138" s="304" t="e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input'!$A$3:$A$230,$A$1)),IF(VLOOKUP($A138,[1]!Table1[#All],2,FALSE)="Resultat",SUMIF($F$1:$F137,$D138,J$1:J137)+SUMIF($F139:$F$490,$D138,J139:J$490),0))*'[1]Processer - data'!J138,"")*IF($C138&lt;&gt;"",IF($F138="Halm",Landbrug!E$16*Landbrug!E$17,IF(LEFT($D138,5)="Areal", IF($G138="Ton",Landbrug!E$18,1),1)),1)*IF($F138="Grøntsager",IF($A138="Grøntsager i drivhus",Landbrug!E$51,1-Landbrug!E$51),1)</f>
        <v>#REF!</v>
      </c>
    </row>
    <row r="139" spans="1:10" x14ac:dyDescent="0.25">
      <c r="A139" t="str">
        <f>IF('[1]Processer - data'!A139&lt;&gt;"",'[1]Processer - data'!A139,"")</f>
        <v>Kornmark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>OC6</v>
      </c>
      <c r="D139" t="str">
        <f>IF('[1]Processer - data'!D139&lt;&gt;"",'[1]Processer - data'!D139,"")</f>
        <v>Areal-korn</v>
      </c>
      <c r="E139" t="str">
        <f>IF('[1]Processer - data'!E139&lt;&gt;"",'[1]Processer - data'!E139,"")</f>
        <v>Hektar</v>
      </c>
      <c r="F139" t="str">
        <f>IF('[1]Processer - data'!F139&lt;&gt;"",'[1]Processer - data'!F139,"")</f>
        <v>CO2 - atmosfære</v>
      </c>
      <c r="G139" t="str">
        <f>IF('[1]Processer - data'!G139&lt;&gt;"",'[1]Processer - data'!G139,"")</f>
        <v>t CO2-ækvivalenter</v>
      </c>
      <c r="H139" s="302" t="e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input'!$A$3:$A$230,$A$1)),IF(VLOOKUP($A139,[1]!Table1[#All],2,FALSE)="Resultat",SUMIF($F$1:$F138,$D139,H$1:H138)+SUMIF($F140:$F$490,$D139,H140:H$490),0))*'[1]Processer - data'!H139,"")*IF($C139&lt;&gt;"",IF($F139="Halm",Landbrug!C$16*Landbrug!C$17,IF(LEFT($D139,5)="Areal", IF($G139="Ton",Landbrug!C$18,1),1)),1)*IF($F139="Grøntsager",IF($A139="Grøntsager i drivhus",Landbrug!C$51,1-Landbrug!C$51),1)</f>
        <v>#REF!</v>
      </c>
      <c r="I139" s="303" t="e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input'!$A$3:$A$230,$A$1)),IF(VLOOKUP($A139,[1]!Table1[#All],2,FALSE)="Resultat",SUMIF($F$1:$F138,$D139,I$1:I138)+SUMIF($F140:$F$490,$D139,I140:I$490),0))*'[1]Processer - data'!I139,"")*IF($C139&lt;&gt;"",IF($F139="Halm",Landbrug!D$16*Landbrug!D$17,IF(LEFT($D139,5)="Areal", IF($G139="Ton",Landbrug!D$18,1),1)),1)*IF($F139="Grøntsager",IF($A139="Grøntsager i drivhus",Landbrug!D$51,1-Landbrug!D$51),1)</f>
        <v>#REF!</v>
      </c>
      <c r="J139" s="304" t="e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input'!$A$3:$A$230,$A$1)),IF(VLOOKUP($A139,[1]!Table1[#All],2,FALSE)="Resultat",SUMIF($F$1:$F138,$D139,J$1:J138)+SUMIF($F140:$F$490,$D139,J140:J$490),0))*'[1]Processer - data'!J139,"")*IF($C139&lt;&gt;"",IF($F139="Halm",Landbrug!E$16*Landbrug!E$17,IF(LEFT($D139,5)="Areal", IF($G139="Ton",Landbrug!E$18,1),1)),1)*IF($F139="Grøntsager",IF($A139="Grøntsager i drivhus",Landbrug!E$51,1-Landbrug!E$51),1)</f>
        <v>#REF!</v>
      </c>
    </row>
    <row r="140" spans="1:10" x14ac:dyDescent="0.25">
      <c r="A140" t="str">
        <f>IF('[1]Processer - data'!A140&lt;&gt;"",'[1]Processer - data'!A140,"")</f>
        <v>Kornmark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>OC12</v>
      </c>
      <c r="D140" t="str">
        <f>IF('[1]Processer - data'!D140&lt;&gt;"",'[1]Processer - data'!D140,"")</f>
        <v>Areal-korn</v>
      </c>
      <c r="E140" t="str">
        <f>IF('[1]Processer - data'!E140&lt;&gt;"",'[1]Processer - data'!E140,"")</f>
        <v>Hektar</v>
      </c>
      <c r="F140" t="str">
        <f>IF('[1]Processer - data'!F140&lt;&gt;"",'[1]Processer - data'!F140,"")</f>
        <v>Korn</v>
      </c>
      <c r="G140" t="str">
        <f>IF('[1]Processer - data'!G140&lt;&gt;"",'[1]Processer - data'!G140,"")</f>
        <v>Ton</v>
      </c>
      <c r="H140" s="302" t="e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input'!$A$3:$A$230,$A$1)),IF(VLOOKUP($A140,[1]!Table1[#All],2,FALSE)="Resultat",SUMIF($F$1:$F139,$D140,H$1:H139)+SUMIF($F141:$F$490,$D140,H141:H$490),0))*'[1]Processer - data'!H140,"")*IF($C140&lt;&gt;"",IF($F140="Halm",Landbrug!C$16*Landbrug!C$17,IF(LEFT($D140,5)="Areal", IF($G140="Ton",Landbrug!C$18,1),1)),1)*IF($F140="Grøntsager",IF($A140="Grøntsager i drivhus",Landbrug!C$51,1-Landbrug!C$51),1)</f>
        <v>#REF!</v>
      </c>
      <c r="I140" s="303" t="e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input'!$A$3:$A$230,$A$1)),IF(VLOOKUP($A140,[1]!Table1[#All],2,FALSE)="Resultat",SUMIF($F$1:$F139,$D140,I$1:I139)+SUMIF($F141:$F$490,$D140,I141:I$490),0))*'[1]Processer - data'!I140,"")*IF($C140&lt;&gt;"",IF($F140="Halm",Landbrug!D$16*Landbrug!D$17,IF(LEFT($D140,5)="Areal", IF($G140="Ton",Landbrug!D$18,1),1)),1)*IF($F140="Grøntsager",IF($A140="Grøntsager i drivhus",Landbrug!D$51,1-Landbrug!D$51),1)</f>
        <v>#REF!</v>
      </c>
      <c r="J140" s="304" t="e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input'!$A$3:$A$230,$A$1)),IF(VLOOKUP($A140,[1]!Table1[#All],2,FALSE)="Resultat",SUMIF($F$1:$F139,$D140,J$1:J139)+SUMIF($F141:$F$490,$D140,J141:J$490),0))*'[1]Processer - data'!J140,"")*IF($C140&lt;&gt;"",IF($F140="Halm",Landbrug!E$16*Landbrug!E$17,IF(LEFT($D140,5)="Areal", IF($G140="Ton",Landbrug!E$18,1),1)),1)*IF($F140="Grøntsager",IF($A140="Grøntsager i drivhus",Landbrug!E$51,1-Landbrug!E$51),1)</f>
        <v>#REF!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Økologisk</v>
      </c>
      <c r="C141" t="str">
        <f>IF('[1]Processer - data'!C141&lt;&gt;"",'[1]Processer - data'!C141,"")</f>
        <v>OC12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Halm</v>
      </c>
      <c r="G141" t="str">
        <f>IF('[1]Processer - data'!G141&lt;&gt;"",'[1]Processer - data'!G141,"")</f>
        <v>Ton</v>
      </c>
      <c r="H141" s="302" t="e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input'!$A$3:$A$230,$A$1)),IF(VLOOKUP($A141,[1]!Table1[#All],2,FALSE)="Resultat",SUMIF($F$1:$F140,$D141,H$1:H140)+SUMIF($F142:$F$490,$D141,H142:H$490),0))*'[1]Processer - data'!H141,"")*IF($C141&lt;&gt;"",IF($F141="Halm",Landbrug!C$16*Landbrug!C$17,IF(LEFT($D141,5)="Areal", IF($G141="Ton",Landbrug!C$18,1),1)),1)*IF($F141="Grøntsager",IF($A141="Grøntsager i drivhus",Landbrug!C$51,1-Landbrug!C$51),1)</f>
        <v>#REF!</v>
      </c>
      <c r="I141" s="303" t="e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input'!$A$3:$A$230,$A$1)),IF(VLOOKUP($A141,[1]!Table1[#All],2,FALSE)="Resultat",SUMIF($F$1:$F140,$D141,I$1:I140)+SUMIF($F142:$F$490,$D141,I142:I$490),0))*'[1]Processer - data'!I141,"")*IF($C141&lt;&gt;"",IF($F141="Halm",Landbrug!D$16*Landbrug!D$17,IF(LEFT($D141,5)="Areal", IF($G141="Ton",Landbrug!D$18,1),1)),1)*IF($F141="Grøntsager",IF($A141="Grøntsager i drivhus",Landbrug!D$51,1-Landbrug!D$51),1)</f>
        <v>#REF!</v>
      </c>
      <c r="J141" s="304" t="e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input'!$A$3:$A$230,$A$1)),IF(VLOOKUP($A141,[1]!Table1[#All],2,FALSE)="Resultat",SUMIF($F$1:$F140,$D141,J$1:J140)+SUMIF($F142:$F$490,$D141,J142:J$490),0))*'[1]Processer - data'!J141,"")*IF($C141&lt;&gt;"",IF($F141="Halm",Landbrug!E$16*Landbrug!E$17,IF(LEFT($D141,5)="Areal", IF($G141="Ton",Landbrug!E$18,1),1)),1)*IF($F141="Grøntsager",IF($A141="Grøntsager i drivhus",Landbrug!E$51,1-Landbrug!E$51),1)</f>
        <v>#REF!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Økologisk</v>
      </c>
      <c r="C142" t="str">
        <f>IF('[1]Processer - data'!C142&lt;&gt;"",'[1]Processer - data'!C142,"")</f>
        <v>OC12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Gødning</v>
      </c>
      <c r="G142" t="str">
        <f>IF('[1]Processer - data'!G142&lt;&gt;"",'[1]Processer - data'!G142,"")</f>
        <v>kg N</v>
      </c>
      <c r="H142" s="302" t="e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input'!$A$3:$A$230,$A$1)),IF(VLOOKUP($A142,[1]!Table1[#All],2,FALSE)="Resultat",SUMIF($F$1:$F141,$D142,H$1:H141)+SUMIF($F143:$F$490,$D142,H143:H$490),0))*'[1]Processer - data'!H142,"")*IF($C142&lt;&gt;"",IF($F142="Halm",Landbrug!C$16*Landbrug!C$17,IF(LEFT($D142,5)="Areal", IF($G142="Ton",Landbrug!C$18,1),1)),1)*IF($F142="Grøntsager",IF($A142="Grøntsager i drivhus",Landbrug!C$51,1-Landbrug!C$51),1)</f>
        <v>#REF!</v>
      </c>
      <c r="I142" s="303" t="e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input'!$A$3:$A$230,$A$1)),IF(VLOOKUP($A142,[1]!Table1[#All],2,FALSE)="Resultat",SUMIF($F$1:$F141,$D142,I$1:I141)+SUMIF($F143:$F$490,$D142,I143:I$490),0))*'[1]Processer - data'!I142,"")*IF($C142&lt;&gt;"",IF($F142="Halm",Landbrug!D$16*Landbrug!D$17,IF(LEFT($D142,5)="Areal", IF($G142="Ton",Landbrug!D$18,1),1)),1)*IF($F142="Grøntsager",IF($A142="Grøntsager i drivhus",Landbrug!D$51,1-Landbrug!D$51),1)</f>
        <v>#REF!</v>
      </c>
      <c r="J142" s="304" t="e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input'!$A$3:$A$230,$A$1)),IF(VLOOKUP($A142,[1]!Table1[#All],2,FALSE)="Resultat",SUMIF($F$1:$F141,$D142,J$1:J141)+SUMIF($F143:$F$490,$D142,J143:J$490),0))*'[1]Processer - data'!J142,"")*IF($C142&lt;&gt;"",IF($F142="Halm",Landbrug!E$16*Landbrug!E$17,IF(LEFT($D142,5)="Areal", IF($G142="Ton",Landbrug!E$18,1),1)),1)*IF($F142="Grøntsager",IF($A142="Grøntsager i drivhus",Landbrug!E$51,1-Landbrug!E$51),1)</f>
        <v>#REF!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Økologisk</v>
      </c>
      <c r="C143" t="str">
        <f>IF('[1]Processer - data'!C143&lt;&gt;"",'[1]Processer - data'!C143,"")</f>
        <v>OC12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CO2 - atmosfære</v>
      </c>
      <c r="G143" t="str">
        <f>IF('[1]Processer - data'!G143&lt;&gt;"",'[1]Processer - data'!G143,"")</f>
        <v>t CO2-ækvivalenter</v>
      </c>
      <c r="H143" s="302" t="e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input'!$A$3:$A$230,$A$1)),IF(VLOOKUP($A143,[1]!Table1[#All],2,FALSE)="Resultat",SUMIF($F$1:$F142,$D143,H$1:H142)+SUMIF($F144:$F$490,$D143,H144:H$490),0))*'[1]Processer - data'!H143,"")*IF($C143&lt;&gt;"",IF($F143="Halm",Landbrug!C$16*Landbrug!C$17,IF(LEFT($D143,5)="Areal", IF($G143="Ton",Landbrug!C$18,1),1)),1)*IF($F143="Grøntsager",IF($A143="Grøntsager i drivhus",Landbrug!C$51,1-Landbrug!C$51),1)</f>
        <v>#REF!</v>
      </c>
      <c r="I143" s="303" t="e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input'!$A$3:$A$230,$A$1)),IF(VLOOKUP($A143,[1]!Table1[#All],2,FALSE)="Resultat",SUMIF($F$1:$F142,$D143,I$1:I142)+SUMIF($F144:$F$490,$D143,I144:I$490),0))*'[1]Processer - data'!I143,"")*IF($C143&lt;&gt;"",IF($F143="Halm",Landbrug!D$16*Landbrug!D$17,IF(LEFT($D143,5)="Areal", IF($G143="Ton",Landbrug!D$18,1),1)),1)*IF($F143="Grøntsager",IF($A143="Grøntsager i drivhus",Landbrug!D$51,1-Landbrug!D$51),1)</f>
        <v>#REF!</v>
      </c>
      <c r="J143" s="304" t="e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input'!$A$3:$A$230,$A$1)),IF(VLOOKUP($A143,[1]!Table1[#All],2,FALSE)="Resultat",SUMIF($F$1:$F142,$D143,J$1:J142)+SUMIF($F144:$F$490,$D143,J144:J$490),0))*'[1]Processer - data'!J143,"")*IF($C143&lt;&gt;"",IF($F143="Halm",Landbrug!E$16*Landbrug!E$17,IF(LEFT($D143,5)="Areal", IF($G143="Ton",Landbrug!E$18,1),1)),1)*IF($F143="Grøntsager",IF($A143="Grøntsager i drivhus",Landbrug!E$51,1-Landbrug!E$51),1)</f>
        <v>#REF!</v>
      </c>
    </row>
    <row r="144" spans="1:10" x14ac:dyDescent="0.25">
      <c r="A144" t="str">
        <f>IF('[1]Processer - data'!A144&lt;&gt;"",'[1]Processer - data'!A144,"")</f>
        <v>Grøntsager på land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Areal-grøntsager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Grøntsager</v>
      </c>
      <c r="G144" t="str">
        <f>IF('[1]Processer - data'!G144&lt;&gt;"",'[1]Processer - data'!G144,"")</f>
        <v>Ton</v>
      </c>
      <c r="H144" s="302" t="e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input'!$A$3:$A$230,$A$1)),IF(VLOOKUP($A144,[1]!Table1[#All],2,FALSE)="Resultat",SUMIF($F$1:$F143,$D144,H$1:H143)+SUMIF($F145:$F$490,$D144,H145:H$490),0))*'[1]Processer - data'!H144,"")*IF($C144&lt;&gt;"",IF($F144="Halm",Landbrug!C$16*Landbrug!C$17,IF(LEFT($D144,5)="Areal", IF($G144="Ton",Landbrug!C$18,1),1)),1)*IF($F144="Grøntsager",IF($A144="Grøntsager i drivhus",Landbrug!C$51,1-Landbrug!C$51),1)</f>
        <v>#REF!</v>
      </c>
      <c r="I144" s="303" t="e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input'!$A$3:$A$230,$A$1)),IF(VLOOKUP($A144,[1]!Table1[#All],2,FALSE)="Resultat",SUMIF($F$1:$F143,$D144,I$1:I143)+SUMIF($F145:$F$490,$D144,I145:I$490),0))*'[1]Processer - data'!I144,"")*IF($C144&lt;&gt;"",IF($F144="Halm",Landbrug!D$16*Landbrug!D$17,IF(LEFT($D144,5)="Areal", IF($G144="Ton",Landbrug!D$18,1),1)),1)*IF($F144="Grøntsager",IF($A144="Grøntsager i drivhus",Landbrug!D$51,1-Landbrug!D$51),1)</f>
        <v>#REF!</v>
      </c>
      <c r="J144" s="304" t="e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input'!$A$3:$A$230,$A$1)),IF(VLOOKUP($A144,[1]!Table1[#All],2,FALSE)="Resultat",SUMIF($F$1:$F143,$D144,J$1:J143)+SUMIF($F145:$F$490,$D144,J145:J$490),0))*'[1]Processer - data'!J144,"")*IF($C144&lt;&gt;"",IF($F144="Halm",Landbrug!E$16*Landbrug!E$17,IF(LEFT($D144,5)="Areal", IF($G144="Ton",Landbrug!E$18,1),1)),1)*IF($F144="Grøntsager",IF($A144="Grøntsager i drivhus",Landbrug!E$51,1-Landbrug!E$51),1)</f>
        <v>#REF!</v>
      </c>
    </row>
    <row r="145" spans="1:10" x14ac:dyDescent="0.25">
      <c r="A145" t="str">
        <f>IF('[1]Processer - data'!A145&lt;&gt;"",'[1]Processer - data'!A145,"")</f>
        <v>Grøntsager på land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JB1-10</v>
      </c>
      <c r="D145" t="str">
        <f>IF('[1]Processer - data'!D145&lt;&gt;"",'[1]Processer - data'!D145,"")</f>
        <v>Areal-grøntsager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Gødning</v>
      </c>
      <c r="G145" t="str">
        <f>IF('[1]Processer - data'!G145&lt;&gt;"",'[1]Processer - data'!G145,"")</f>
        <v>kg N</v>
      </c>
      <c r="H145" s="302" t="e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input'!$A$3:$A$230,$A$1)),IF(VLOOKUP($A145,[1]!Table1[#All],2,FALSE)="Resultat",SUMIF($F$1:$F144,$D145,H$1:H144)+SUMIF($F146:$F$490,$D145,H146:H$490),0))*'[1]Processer - data'!H145,"")*IF($C145&lt;&gt;"",IF($F145="Halm",Landbrug!C$16*Landbrug!C$17,IF(LEFT($D145,5)="Areal", IF($G145="Ton",Landbrug!C$18,1),1)),1)*IF($F145="Grøntsager",IF($A145="Grøntsager i drivhus",Landbrug!C$51,1-Landbrug!C$51),1)</f>
        <v>#REF!</v>
      </c>
      <c r="I145" s="303" t="e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input'!$A$3:$A$230,$A$1)),IF(VLOOKUP($A145,[1]!Table1[#All],2,FALSE)="Resultat",SUMIF($F$1:$F144,$D145,I$1:I144)+SUMIF($F146:$F$490,$D145,I146:I$490),0))*'[1]Processer - data'!I145,"")*IF($C145&lt;&gt;"",IF($F145="Halm",Landbrug!D$16*Landbrug!D$17,IF(LEFT($D145,5)="Areal", IF($G145="Ton",Landbrug!D$18,1),1)),1)*IF($F145="Grøntsager",IF($A145="Grøntsager i drivhus",Landbrug!D$51,1-Landbrug!D$51),1)</f>
        <v>#REF!</v>
      </c>
      <c r="J145" s="304" t="e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input'!$A$3:$A$230,$A$1)),IF(VLOOKUP($A145,[1]!Table1[#All],2,FALSE)="Resultat",SUMIF($F$1:$F144,$D145,J$1:J144)+SUMIF($F146:$F$490,$D145,J146:J$490),0))*'[1]Processer - data'!J145,"")*IF($C145&lt;&gt;"",IF($F145="Halm",Landbrug!E$16*Landbrug!E$17,IF(LEFT($D145,5)="Areal", IF($G145="Ton",Landbrug!E$18,1),1)),1)*IF($F145="Grøntsager",IF($A145="Grøntsager i drivhus",Landbrug!E$51,1-Landbrug!E$51),1)</f>
        <v>#REF!</v>
      </c>
    </row>
    <row r="146" spans="1:10" x14ac:dyDescent="0.25">
      <c r="A146" t="str">
        <f>IF('[1]Processer - data'!A146&lt;&gt;"",'[1]Processer - data'!A146,"")</f>
        <v>Grøntsager på land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JB1-10</v>
      </c>
      <c r="D146" t="str">
        <f>IF('[1]Processer - data'!D146&lt;&gt;"",'[1]Processer - data'!D146,"")</f>
        <v>Areal-grøntsager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CO2 - atmosfære</v>
      </c>
      <c r="G146" t="str">
        <f>IF('[1]Processer - data'!G146&lt;&gt;"",'[1]Processer - data'!G146,"")</f>
        <v>t CO2-ækvivalenter</v>
      </c>
      <c r="H146" s="302" t="e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input'!$A$3:$A$230,$A$1)),IF(VLOOKUP($A146,[1]!Table1[#All],2,FALSE)="Resultat",SUMIF($F$1:$F145,$D146,H$1:H145)+SUMIF($F147:$F$490,$D146,H147:H$490),0))*'[1]Processer - data'!H146,"")*IF($C146&lt;&gt;"",IF($F146="Halm",Landbrug!C$16*Landbrug!C$17,IF(LEFT($D146,5)="Areal", IF($G146="Ton",Landbrug!C$18,1),1)),1)*IF($F146="Grøntsager",IF($A146="Grøntsager i drivhus",Landbrug!C$51,1-Landbrug!C$51),1)</f>
        <v>#REF!</v>
      </c>
      <c r="I146" s="303" t="e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input'!$A$3:$A$230,$A$1)),IF(VLOOKUP($A146,[1]!Table1[#All],2,FALSE)="Resultat",SUMIF($F$1:$F145,$D146,I$1:I145)+SUMIF($F147:$F$490,$D146,I147:I$490),0))*'[1]Processer - data'!I146,"")*IF($C146&lt;&gt;"",IF($F146="Halm",Landbrug!D$16*Landbrug!D$17,IF(LEFT($D146,5)="Areal", IF($G146="Ton",Landbrug!D$18,1),1)),1)*IF($F146="Grøntsager",IF($A146="Grøntsager i drivhus",Landbrug!D$51,1-Landbrug!D$51),1)</f>
        <v>#REF!</v>
      </c>
      <c r="J146" s="304" t="e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input'!$A$3:$A$230,$A$1)),IF(VLOOKUP($A146,[1]!Table1[#All],2,FALSE)="Resultat",SUMIF($F$1:$F145,$D146,J$1:J145)+SUMIF($F147:$F$490,$D146,J147:J$490),0))*'[1]Processer - data'!J146,"")*IF($C146&lt;&gt;"",IF($F146="Halm",Landbrug!E$16*Landbrug!E$17,IF(LEFT($D146,5)="Areal", IF($G146="Ton",Landbrug!E$18,1),1)),1)*IF($F146="Grøntsager",IF($A146="Grøntsager i drivhus",Landbrug!E$51,1-Landbrug!E$51),1)</f>
        <v>#REF!</v>
      </c>
    </row>
    <row r="147" spans="1:10" x14ac:dyDescent="0.25">
      <c r="A147" t="str">
        <f>IF('[1]Processer - data'!A147&lt;&gt;"",'[1]Processer - data'!A147,"")</f>
        <v>Grøntsager på land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Areal-grøntsager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Grøntsager</v>
      </c>
      <c r="G147" t="str">
        <f>IF('[1]Processer - data'!G147&lt;&gt;"",'[1]Processer - data'!G147,"")</f>
        <v>Ton</v>
      </c>
      <c r="H147" s="302" t="e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input'!$A$3:$A$230,$A$1)),IF(VLOOKUP($A147,[1]!Table1[#All],2,FALSE)="Resultat",SUMIF($F$1:$F146,$D147,H$1:H146)+SUMIF($F148:$F$490,$D147,H148:H$490),0))*'[1]Processer - data'!H147,"")*IF($C147&lt;&gt;"",IF($F147="Halm",Landbrug!C$16*Landbrug!C$17,IF(LEFT($D147,5)="Areal", IF($G147="Ton",Landbrug!C$18,1),1)),1)*IF($F147="Grøntsager",IF($A147="Grøntsager i drivhus",Landbrug!C$51,1-Landbrug!C$51),1)</f>
        <v>#REF!</v>
      </c>
      <c r="I147" s="303" t="e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input'!$A$3:$A$230,$A$1)),IF(VLOOKUP($A147,[1]!Table1[#All],2,FALSE)="Resultat",SUMIF($F$1:$F146,$D147,I$1:I146)+SUMIF($F148:$F$490,$D147,I148:I$490),0))*'[1]Processer - data'!I147,"")*IF($C147&lt;&gt;"",IF($F147="Halm",Landbrug!D$16*Landbrug!D$17,IF(LEFT($D147,5)="Areal", IF($G147="Ton",Landbrug!D$18,1),1)),1)*IF($F147="Grøntsager",IF($A147="Grøntsager i drivhus",Landbrug!D$51,1-Landbrug!D$51),1)</f>
        <v>#REF!</v>
      </c>
      <c r="J147" s="304" t="e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input'!$A$3:$A$230,$A$1)),IF(VLOOKUP($A147,[1]!Table1[#All],2,FALSE)="Resultat",SUMIF($F$1:$F146,$D147,J$1:J146)+SUMIF($F148:$F$490,$D147,J148:J$490),0))*'[1]Processer - data'!J147,"")*IF($C147&lt;&gt;"",IF($F147="Halm",Landbrug!E$16*Landbrug!E$17,IF(LEFT($D147,5)="Areal", IF($G147="Ton",Landbrug!E$18,1),1)),1)*IF($F147="Grøntsager",IF($A147="Grøntsager i drivhus",Landbrug!E$51,1-Landbrug!E$51),1)</f>
        <v>#REF!</v>
      </c>
    </row>
    <row r="148" spans="1:10" x14ac:dyDescent="0.25">
      <c r="A148" t="str">
        <f>IF('[1]Processer - data'!A148&lt;&gt;"",'[1]Processer - data'!A148,"")</f>
        <v>Grøntsager på land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Areal-grøntsager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Gødning</v>
      </c>
      <c r="G148" t="str">
        <f>IF('[1]Processer - data'!G148&lt;&gt;"",'[1]Processer - data'!G148,"")</f>
        <v>kg N</v>
      </c>
      <c r="H148" s="302" t="e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input'!$A$3:$A$230,$A$1)),IF(VLOOKUP($A148,[1]!Table1[#All],2,FALSE)="Resultat",SUMIF($F$1:$F147,$D148,H$1:H147)+SUMIF($F149:$F$490,$D148,H149:H$490),0))*'[1]Processer - data'!H148,"")*IF($C148&lt;&gt;"",IF($F148="Halm",Landbrug!C$16*Landbrug!C$17,IF(LEFT($D148,5)="Areal", IF($G148="Ton",Landbrug!C$18,1),1)),1)*IF($F148="Grøntsager",IF($A148="Grøntsager i drivhus",Landbrug!C$51,1-Landbrug!C$51),1)</f>
        <v>#REF!</v>
      </c>
      <c r="I148" s="303" t="e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input'!$A$3:$A$230,$A$1)),IF(VLOOKUP($A148,[1]!Table1[#All],2,FALSE)="Resultat",SUMIF($F$1:$F147,$D148,I$1:I147)+SUMIF($F149:$F$490,$D148,I149:I$490),0))*'[1]Processer - data'!I148,"")*IF($C148&lt;&gt;"",IF($F148="Halm",Landbrug!D$16*Landbrug!D$17,IF(LEFT($D148,5)="Areal", IF($G148="Ton",Landbrug!D$18,1),1)),1)*IF($F148="Grøntsager",IF($A148="Grøntsager i drivhus",Landbrug!D$51,1-Landbrug!D$51),1)</f>
        <v>#REF!</v>
      </c>
      <c r="J148" s="304" t="e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input'!$A$3:$A$230,$A$1)),IF(VLOOKUP($A148,[1]!Table1[#All],2,FALSE)="Resultat",SUMIF($F$1:$F147,$D148,J$1:J147)+SUMIF($F149:$F$490,$D148,J149:J$490),0))*'[1]Processer - data'!J148,"")*IF($C148&lt;&gt;"",IF($F148="Halm",Landbrug!E$16*Landbrug!E$17,IF(LEFT($D148,5)="Areal", IF($G148="Ton",Landbrug!E$18,1),1)),1)*IF($F148="Grøntsager",IF($A148="Grøntsager i drivhus",Landbrug!E$51,1-Landbrug!E$51),1)</f>
        <v>#REF!</v>
      </c>
    </row>
    <row r="149" spans="1:10" x14ac:dyDescent="0.25">
      <c r="A149" t="str">
        <f>IF('[1]Processer - data'!A149&lt;&gt;"",'[1]Processer - data'!A149,"")</f>
        <v>Grøntsager på land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OC6</v>
      </c>
      <c r="D149" t="str">
        <f>IF('[1]Processer - data'!D149&lt;&gt;"",'[1]Processer - data'!D149,"")</f>
        <v>Areal-grøntsager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CO2 - atmosfære</v>
      </c>
      <c r="G149" t="str">
        <f>IF('[1]Processer - data'!G149&lt;&gt;"",'[1]Processer - data'!G149,"")</f>
        <v>t CO2-ækvivalenter</v>
      </c>
      <c r="H149" s="302" t="e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input'!$A$3:$A$230,$A$1)),IF(VLOOKUP($A149,[1]!Table1[#All],2,FALSE)="Resultat",SUMIF($F$1:$F148,$D149,H$1:H148)+SUMIF($F150:$F$490,$D149,H150:H$490),0))*'[1]Processer - data'!H149,"")*IF($C149&lt;&gt;"",IF($F149="Halm",Landbrug!C$16*Landbrug!C$17,IF(LEFT($D149,5)="Areal", IF($G149="Ton",Landbrug!C$18,1),1)),1)*IF($F149="Grøntsager",IF($A149="Grøntsager i drivhus",Landbrug!C$51,1-Landbrug!C$51),1)</f>
        <v>#REF!</v>
      </c>
      <c r="I149" s="303" t="e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input'!$A$3:$A$230,$A$1)),IF(VLOOKUP($A149,[1]!Table1[#All],2,FALSE)="Resultat",SUMIF($F$1:$F148,$D149,I$1:I148)+SUMIF($F150:$F$490,$D149,I150:I$490),0))*'[1]Processer - data'!I149,"")*IF($C149&lt;&gt;"",IF($F149="Halm",Landbrug!D$16*Landbrug!D$17,IF(LEFT($D149,5)="Areal", IF($G149="Ton",Landbrug!D$18,1),1)),1)*IF($F149="Grøntsager",IF($A149="Grøntsager i drivhus",Landbrug!D$51,1-Landbrug!D$51),1)</f>
        <v>#REF!</v>
      </c>
      <c r="J149" s="304" t="e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input'!$A$3:$A$230,$A$1)),IF(VLOOKUP($A149,[1]!Table1[#All],2,FALSE)="Resultat",SUMIF($F$1:$F148,$D149,J$1:J148)+SUMIF($F150:$F$490,$D149,J150:J$490),0))*'[1]Processer - data'!J149,"")*IF($C149&lt;&gt;"",IF($F149="Halm",Landbrug!E$16*Landbrug!E$17,IF(LEFT($D149,5)="Areal", IF($G149="Ton",Landbrug!E$18,1),1)),1)*IF($F149="Grøntsager",IF($A149="Grøntsager i drivhus",Landbrug!E$51,1-Landbrug!E$51),1)</f>
        <v>#REF!</v>
      </c>
    </row>
    <row r="150" spans="1:10" x14ac:dyDescent="0.25">
      <c r="A150" t="str">
        <f>IF('[1]Processer - data'!A150&lt;&gt;"",'[1]Processer - data'!A150,"")</f>
        <v>Grøntsager på land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Areal-grøntsager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Grøntsager</v>
      </c>
      <c r="G150" t="str">
        <f>IF('[1]Processer - data'!G150&lt;&gt;"",'[1]Processer - data'!G150,"")</f>
        <v>Ton</v>
      </c>
      <c r="H150" s="302" t="e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input'!$A$3:$A$230,$A$1)),IF(VLOOKUP($A150,[1]!Table1[#All],2,FALSE)="Resultat",SUMIF($F$1:$F149,$D150,H$1:H149)+SUMIF($F151:$F$490,$D150,H151:H$490),0))*'[1]Processer - data'!H150,"")*IF($C150&lt;&gt;"",IF($F150="Halm",Landbrug!C$16*Landbrug!C$17,IF(LEFT($D150,5)="Areal", IF($G150="Ton",Landbrug!C$18,1),1)),1)*IF($F150="Grøntsager",IF($A150="Grøntsager i drivhus",Landbrug!C$51,1-Landbrug!C$51),1)</f>
        <v>#REF!</v>
      </c>
      <c r="I150" s="303" t="e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input'!$A$3:$A$230,$A$1)),IF(VLOOKUP($A150,[1]!Table1[#All],2,FALSE)="Resultat",SUMIF($F$1:$F149,$D150,I$1:I149)+SUMIF($F151:$F$490,$D150,I151:I$490),0))*'[1]Processer - data'!I150,"")*IF($C150&lt;&gt;"",IF($F150="Halm",Landbrug!D$16*Landbrug!D$17,IF(LEFT($D150,5)="Areal", IF($G150="Ton",Landbrug!D$18,1),1)),1)*IF($F150="Grøntsager",IF($A150="Grøntsager i drivhus",Landbrug!D$51,1-Landbrug!D$51),1)</f>
        <v>#REF!</v>
      </c>
      <c r="J150" s="304" t="e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input'!$A$3:$A$230,$A$1)),IF(VLOOKUP($A150,[1]!Table1[#All],2,FALSE)="Resultat",SUMIF($F$1:$F149,$D150,J$1:J149)+SUMIF($F151:$F$490,$D150,J151:J$490),0))*'[1]Processer - data'!J150,"")*IF($C150&lt;&gt;"",IF($F150="Halm",Landbrug!E$16*Landbrug!E$17,IF(LEFT($D150,5)="Areal", IF($G150="Ton",Landbrug!E$18,1),1)),1)*IF($F150="Grøntsager",IF($A150="Grøntsager i drivhus",Landbrug!E$51,1-Landbrug!E$51),1)</f>
        <v>#REF!</v>
      </c>
    </row>
    <row r="151" spans="1:10" x14ac:dyDescent="0.25">
      <c r="A151" t="str">
        <f>IF('[1]Processer - data'!A151&lt;&gt;"",'[1]Processer - data'!A151,"")</f>
        <v>Grøntsager på land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Areal-grøntsager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2" t="e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input'!$A$3:$A$230,$A$1)),IF(VLOOKUP($A151,[1]!Table1[#All],2,FALSE)="Resultat",SUMIF($F$1:$F150,$D151,H$1:H150)+SUMIF($F152:$F$490,$D151,H152:H$490),0))*'[1]Processer - data'!H151,"")*IF($C151&lt;&gt;"",IF($F151="Halm",Landbrug!C$16*Landbrug!C$17,IF(LEFT($D151,5)="Areal", IF($G151="Ton",Landbrug!C$18,1),1)),1)*IF($F151="Grøntsager",IF($A151="Grøntsager i drivhus",Landbrug!C$51,1-Landbrug!C$51),1)</f>
        <v>#REF!</v>
      </c>
      <c r="I151" s="303" t="e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input'!$A$3:$A$230,$A$1)),IF(VLOOKUP($A151,[1]!Table1[#All],2,FALSE)="Resultat",SUMIF($F$1:$F150,$D151,I$1:I150)+SUMIF($F152:$F$490,$D151,I152:I$490),0))*'[1]Processer - data'!I151,"")*IF($C151&lt;&gt;"",IF($F151="Halm",Landbrug!D$16*Landbrug!D$17,IF(LEFT($D151,5)="Areal", IF($G151="Ton",Landbrug!D$18,1),1)),1)*IF($F151="Grøntsager",IF($A151="Grøntsager i drivhus",Landbrug!D$51,1-Landbrug!D$51),1)</f>
        <v>#REF!</v>
      </c>
      <c r="J151" s="304" t="e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input'!$A$3:$A$230,$A$1)),IF(VLOOKUP($A151,[1]!Table1[#All],2,FALSE)="Resultat",SUMIF($F$1:$F150,$D151,J$1:J150)+SUMIF($F152:$F$490,$D151,J152:J$490),0))*'[1]Processer - data'!J151,"")*IF($C151&lt;&gt;"",IF($F151="Halm",Landbrug!E$16*Landbrug!E$17,IF(LEFT($D151,5)="Areal", IF($G151="Ton",Landbrug!E$18,1),1)),1)*IF($F151="Grøntsager",IF($A151="Grøntsager i drivhus",Landbrug!E$51,1-Landbrug!E$51),1)</f>
        <v>#REF!</v>
      </c>
    </row>
    <row r="152" spans="1:10" x14ac:dyDescent="0.25">
      <c r="A152" t="str">
        <f>IF('[1]Processer - data'!A152&lt;&gt;"",'[1]Processer - data'!A152,"")</f>
        <v>Grøntsager på land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Areal-grøntsager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2" t="e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input'!$A$3:$A$230,$A$1)),IF(VLOOKUP($A152,[1]!Table1[#All],2,FALSE)="Resultat",SUMIF($F$1:$F151,$D152,H$1:H151)+SUMIF($F153:$F$490,$D152,H153:H$490),0))*'[1]Processer - data'!H152,"")*IF($C152&lt;&gt;"",IF($F152="Halm",Landbrug!C$16*Landbrug!C$17,IF(LEFT($D152,5)="Areal", IF($G152="Ton",Landbrug!C$18,1),1)),1)*IF($F152="Grøntsager",IF($A152="Grøntsager i drivhus",Landbrug!C$51,1-Landbrug!C$51),1)</f>
        <v>#REF!</v>
      </c>
      <c r="I152" s="303" t="e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input'!$A$3:$A$230,$A$1)),IF(VLOOKUP($A152,[1]!Table1[#All],2,FALSE)="Resultat",SUMIF($F$1:$F151,$D152,I$1:I151)+SUMIF($F153:$F$490,$D152,I153:I$490),0))*'[1]Processer - data'!I152,"")*IF($C152&lt;&gt;"",IF($F152="Halm",Landbrug!D$16*Landbrug!D$17,IF(LEFT($D152,5)="Areal", IF($G152="Ton",Landbrug!D$18,1),1)),1)*IF($F152="Grøntsager",IF($A152="Grøntsager i drivhus",Landbrug!D$51,1-Landbrug!D$51),1)</f>
        <v>#REF!</v>
      </c>
      <c r="J152" s="304" t="e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input'!$A$3:$A$230,$A$1)),IF(VLOOKUP($A152,[1]!Table1[#All],2,FALSE)="Resultat",SUMIF($F$1:$F151,$D152,J$1:J151)+SUMIF($F153:$F$490,$D152,J153:J$490),0))*'[1]Processer - data'!J152,"")*IF($C152&lt;&gt;"",IF($F152="Halm",Landbrug!E$16*Landbrug!E$17,IF(LEFT($D152,5)="Areal", IF($G152="Ton",Landbrug!E$18,1),1)),1)*IF($F152="Grøntsager",IF($A152="Grøntsager i drivhus",Landbrug!E$51,1-Landbrug!E$51),1)</f>
        <v>#REF!</v>
      </c>
    </row>
    <row r="153" spans="1:10" x14ac:dyDescent="0.25">
      <c r="A153" t="str">
        <f>IF('[1]Processer - data'!A153&lt;&gt;"",'[1]Processer - data'!A153,"")</f>
        <v>Grøntsager på land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Areal-grøntsager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Grøntsager</v>
      </c>
      <c r="G153" t="str">
        <f>IF('[1]Processer - data'!G153&lt;&gt;"",'[1]Processer - data'!G153,"")</f>
        <v>Ton</v>
      </c>
      <c r="H153" s="302" t="e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input'!$A$3:$A$230,$A$1)),IF(VLOOKUP($A153,[1]!Table1[#All],2,FALSE)="Resultat",SUMIF($F$1:$F152,$D153,H$1:H152)+SUMIF($F154:$F$490,$D153,H154:H$490),0))*'[1]Processer - data'!H153,"")*IF($C153&lt;&gt;"",IF($F153="Halm",Landbrug!C$16*Landbrug!C$17,IF(LEFT($D153,5)="Areal", IF($G153="Ton",Landbrug!C$18,1),1)),1)*IF($F153="Grøntsager",IF($A153="Grøntsager i drivhus",Landbrug!C$51,1-Landbrug!C$51),1)</f>
        <v>#REF!</v>
      </c>
      <c r="I153" s="303" t="e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input'!$A$3:$A$230,$A$1)),IF(VLOOKUP($A153,[1]!Table1[#All],2,FALSE)="Resultat",SUMIF($F$1:$F152,$D153,I$1:I152)+SUMIF($F154:$F$490,$D153,I154:I$490),0))*'[1]Processer - data'!I153,"")*IF($C153&lt;&gt;"",IF($F153="Halm",Landbrug!D$16*Landbrug!D$17,IF(LEFT($D153,5)="Areal", IF($G153="Ton",Landbrug!D$18,1),1)),1)*IF($F153="Grøntsager",IF($A153="Grøntsager i drivhus",Landbrug!D$51,1-Landbrug!D$51),1)</f>
        <v>#REF!</v>
      </c>
      <c r="J153" s="304" t="e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input'!$A$3:$A$230,$A$1)),IF(VLOOKUP($A153,[1]!Table1[#All],2,FALSE)="Resultat",SUMIF($F$1:$F152,$D153,J$1:J152)+SUMIF($F154:$F$490,$D153,J154:J$490),0))*'[1]Processer - data'!J153,"")*IF($C153&lt;&gt;"",IF($F153="Halm",Landbrug!E$16*Landbrug!E$17,IF(LEFT($D153,5)="Areal", IF($G153="Ton",Landbrug!E$18,1),1)),1)*IF($F153="Grøntsager",IF($A153="Grøntsager i drivhus",Landbrug!E$51,1-Landbrug!E$51),1)</f>
        <v>#REF!</v>
      </c>
    </row>
    <row r="154" spans="1:10" x14ac:dyDescent="0.25">
      <c r="A154" t="str">
        <f>IF('[1]Processer - data'!A154&lt;&gt;"",'[1]Processer - data'!A154,"")</f>
        <v>Grøntsager på land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Areal-grøntsager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Gødning</v>
      </c>
      <c r="G154" t="str">
        <f>IF('[1]Processer - data'!G154&lt;&gt;"",'[1]Processer - data'!G154,"")</f>
        <v>kg N</v>
      </c>
      <c r="H154" s="302" t="e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input'!$A$3:$A$230,$A$1)),IF(VLOOKUP($A154,[1]!Table1[#All],2,FALSE)="Resultat",SUMIF($F$1:$F153,$D154,H$1:H153)+SUMIF($F155:$F$490,$D154,H155:H$490),0))*'[1]Processer - data'!H154,"")*IF($C154&lt;&gt;"",IF($F154="Halm",Landbrug!C$16*Landbrug!C$17,IF(LEFT($D154,5)="Areal", IF($G154="Ton",Landbrug!C$18,1),1)),1)*IF($F154="Grøntsager",IF($A154="Grøntsager i drivhus",Landbrug!C$51,1-Landbrug!C$51),1)</f>
        <v>#REF!</v>
      </c>
      <c r="I154" s="303" t="e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input'!$A$3:$A$230,$A$1)),IF(VLOOKUP($A154,[1]!Table1[#All],2,FALSE)="Resultat",SUMIF($F$1:$F153,$D154,I$1:I153)+SUMIF($F155:$F$490,$D154,I155:I$490),0))*'[1]Processer - data'!I154,"")*IF($C154&lt;&gt;"",IF($F154="Halm",Landbrug!D$16*Landbrug!D$17,IF(LEFT($D154,5)="Areal", IF($G154="Ton",Landbrug!D$18,1),1)),1)*IF($F154="Grøntsager",IF($A154="Grøntsager i drivhus",Landbrug!D$51,1-Landbrug!D$51),1)</f>
        <v>#REF!</v>
      </c>
      <c r="J154" s="304" t="e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input'!$A$3:$A$230,$A$1)),IF(VLOOKUP($A154,[1]!Table1[#All],2,FALSE)="Resultat",SUMIF($F$1:$F153,$D154,J$1:J153)+SUMIF($F155:$F$490,$D154,J155:J$490),0))*'[1]Processer - data'!J154,"")*IF($C154&lt;&gt;"",IF($F154="Halm",Landbrug!E$16*Landbrug!E$17,IF(LEFT($D154,5)="Areal", IF($G154="Ton",Landbrug!E$18,1),1)),1)*IF($F154="Grøntsager",IF($A154="Grøntsager i drivhus",Landbrug!E$51,1-Landbrug!E$51),1)</f>
        <v>#REF!</v>
      </c>
    </row>
    <row r="155" spans="1:10" x14ac:dyDescent="0.25">
      <c r="A155" t="str">
        <f>IF('[1]Processer - data'!A155&lt;&gt;"",'[1]Processer - data'!A155,"")</f>
        <v>Grøntsager på land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Areal-grøntsager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CO2 - atmosfære</v>
      </c>
      <c r="G155" t="str">
        <f>IF('[1]Processer - data'!G155&lt;&gt;"",'[1]Processer - data'!G155,"")</f>
        <v>t CO2-ækvivalenter</v>
      </c>
      <c r="H155" s="302" t="e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input'!$A$3:$A$230,$A$1)),IF(VLOOKUP($A155,[1]!Table1[#All],2,FALSE)="Resultat",SUMIF($F$1:$F154,$D155,H$1:H154)+SUMIF($F156:$F$490,$D155,H156:H$490),0))*'[1]Processer - data'!H155,"")*IF($C155&lt;&gt;"",IF($F155="Halm",Landbrug!C$16*Landbrug!C$17,IF(LEFT($D155,5)="Areal", IF($G155="Ton",Landbrug!C$18,1),1)),1)*IF($F155="Grøntsager",IF($A155="Grøntsager i drivhus",Landbrug!C$51,1-Landbrug!C$51),1)</f>
        <v>#REF!</v>
      </c>
      <c r="I155" s="303" t="e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input'!$A$3:$A$230,$A$1)),IF(VLOOKUP($A155,[1]!Table1[#All],2,FALSE)="Resultat",SUMIF($F$1:$F154,$D155,I$1:I154)+SUMIF($F156:$F$490,$D155,I156:I$490),0))*'[1]Processer - data'!I155,"")*IF($C155&lt;&gt;"",IF($F155="Halm",Landbrug!D$16*Landbrug!D$17,IF(LEFT($D155,5)="Areal", IF($G155="Ton",Landbrug!D$18,1),1)),1)*IF($F155="Grøntsager",IF($A155="Grøntsager i drivhus",Landbrug!D$51,1-Landbrug!D$51),1)</f>
        <v>#REF!</v>
      </c>
      <c r="J155" s="304" t="e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input'!$A$3:$A$230,$A$1)),IF(VLOOKUP($A155,[1]!Table1[#All],2,FALSE)="Resultat",SUMIF($F$1:$F154,$D155,J$1:J154)+SUMIF($F156:$F$490,$D155,J156:J$490),0))*'[1]Processer - data'!J155,"")*IF($C155&lt;&gt;"",IF($F155="Halm",Landbrug!E$16*Landbrug!E$17,IF(LEFT($D155,5)="Areal", IF($G155="Ton",Landbrug!E$18,1),1)),1)*IF($F155="Grøntsager",IF($A155="Grøntsager i drivhus",Landbrug!E$51,1-Landbrug!E$51),1)</f>
        <v>#REF!</v>
      </c>
    </row>
    <row r="156" spans="1:10" x14ac:dyDescent="0.25">
      <c r="A156" t="str">
        <f>IF('[1]Processer - data'!A156&lt;&gt;"",'[1]Processer - data'!A156,"")</f>
        <v>Grøntsager på land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OC6</v>
      </c>
      <c r="D156" t="str">
        <f>IF('[1]Processer - data'!D156&lt;&gt;"",'[1]Processer - data'!D156,"")</f>
        <v>Areal-grøntsager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Grøntsager</v>
      </c>
      <c r="G156" t="str">
        <f>IF('[1]Processer - data'!G156&lt;&gt;"",'[1]Processer - data'!G156,"")</f>
        <v>Ton</v>
      </c>
      <c r="H156" s="302" t="e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input'!$A$3:$A$230,$A$1)),IF(VLOOKUP($A156,[1]!Table1[#All],2,FALSE)="Resultat",SUMIF($F$1:$F155,$D156,H$1:H155)+SUMIF($F157:$F$490,$D156,H157:H$490),0))*'[1]Processer - data'!H156,"")*IF($C156&lt;&gt;"",IF($F156="Halm",Landbrug!C$16*Landbrug!C$17,IF(LEFT($D156,5)="Areal", IF($G156="Ton",Landbrug!C$18,1),1)),1)*IF($F156="Grøntsager",IF($A156="Grøntsager i drivhus",Landbrug!C$51,1-Landbrug!C$51),1)</f>
        <v>#REF!</v>
      </c>
      <c r="I156" s="303" t="e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input'!$A$3:$A$230,$A$1)),IF(VLOOKUP($A156,[1]!Table1[#All],2,FALSE)="Resultat",SUMIF($F$1:$F155,$D156,I$1:I155)+SUMIF($F157:$F$490,$D156,I157:I$490),0))*'[1]Processer - data'!I156,"")*IF($C156&lt;&gt;"",IF($F156="Halm",Landbrug!D$16*Landbrug!D$17,IF(LEFT($D156,5)="Areal", IF($G156="Ton",Landbrug!D$18,1),1)),1)*IF($F156="Grøntsager",IF($A156="Grøntsager i drivhus",Landbrug!D$51,1-Landbrug!D$51),1)</f>
        <v>#REF!</v>
      </c>
      <c r="J156" s="304" t="e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input'!$A$3:$A$230,$A$1)),IF(VLOOKUP($A156,[1]!Table1[#All],2,FALSE)="Resultat",SUMIF($F$1:$F155,$D156,J$1:J155)+SUMIF($F157:$F$490,$D156,J157:J$490),0))*'[1]Processer - data'!J156,"")*IF($C156&lt;&gt;"",IF($F156="Halm",Landbrug!E$16*Landbrug!E$17,IF(LEFT($D156,5)="Areal", IF($G156="Ton",Landbrug!E$18,1),1)),1)*IF($F156="Grøntsager",IF($A156="Grøntsager i drivhus",Landbrug!E$51,1-Landbrug!E$51),1)</f>
        <v>#REF!</v>
      </c>
    </row>
    <row r="157" spans="1:10" x14ac:dyDescent="0.25">
      <c r="A157" t="str">
        <f>IF('[1]Processer - data'!A157&lt;&gt;"",'[1]Processer - data'!A157,"")</f>
        <v>Grøntsager på land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Areal-grøntsager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Gødning</v>
      </c>
      <c r="G157" t="str">
        <f>IF('[1]Processer - data'!G157&lt;&gt;"",'[1]Processer - data'!G157,"")</f>
        <v>kg N</v>
      </c>
      <c r="H157" s="302" t="e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input'!$A$3:$A$230,$A$1)),IF(VLOOKUP($A157,[1]!Table1[#All],2,FALSE)="Resultat",SUMIF($F$1:$F156,$D157,H$1:H156)+SUMIF($F158:$F$490,$D157,H158:H$490),0))*'[1]Processer - data'!H157,"")*IF($C157&lt;&gt;"",IF($F157="Halm",Landbrug!C$16*Landbrug!C$17,IF(LEFT($D157,5)="Areal", IF($G157="Ton",Landbrug!C$18,1),1)),1)*IF($F157="Grøntsager",IF($A157="Grøntsager i drivhus",Landbrug!C$51,1-Landbrug!C$51),1)</f>
        <v>#REF!</v>
      </c>
      <c r="I157" s="303" t="e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input'!$A$3:$A$230,$A$1)),IF(VLOOKUP($A157,[1]!Table1[#All],2,FALSE)="Resultat",SUMIF($F$1:$F156,$D157,I$1:I156)+SUMIF($F158:$F$490,$D157,I158:I$490),0))*'[1]Processer - data'!I157,"")*IF($C157&lt;&gt;"",IF($F157="Halm",Landbrug!D$16*Landbrug!D$17,IF(LEFT($D157,5)="Areal", IF($G157="Ton",Landbrug!D$18,1),1)),1)*IF($F157="Grøntsager",IF($A157="Grøntsager i drivhus",Landbrug!D$51,1-Landbrug!D$51),1)</f>
        <v>#REF!</v>
      </c>
      <c r="J157" s="304" t="e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input'!$A$3:$A$230,$A$1)),IF(VLOOKUP($A157,[1]!Table1[#All],2,FALSE)="Resultat",SUMIF($F$1:$F156,$D157,J$1:J156)+SUMIF($F158:$F$490,$D157,J158:J$490),0))*'[1]Processer - data'!J157,"")*IF($C157&lt;&gt;"",IF($F157="Halm",Landbrug!E$16*Landbrug!E$17,IF(LEFT($D157,5)="Areal", IF($G157="Ton",Landbrug!E$18,1),1)),1)*IF($F157="Grøntsager",IF($A157="Grøntsager i drivhus",Landbrug!E$51,1-Landbrug!E$51),1)</f>
        <v>#REF!</v>
      </c>
    </row>
    <row r="158" spans="1:10" x14ac:dyDescent="0.25">
      <c r="A158" t="str">
        <f>IF('[1]Processer - data'!A158&lt;&gt;"",'[1]Processer - data'!A158,"")</f>
        <v>Grøntsager på land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Areal-grøntsager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CO2 - atmosfære</v>
      </c>
      <c r="G158" t="str">
        <f>IF('[1]Processer - data'!G158&lt;&gt;"",'[1]Processer - data'!G158,"")</f>
        <v>t CO2-ækvivalenter</v>
      </c>
      <c r="H158" s="302" t="e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input'!$A$3:$A$230,$A$1)),IF(VLOOKUP($A158,[1]!Table1[#All],2,FALSE)="Resultat",SUMIF($F$1:$F157,$D158,H$1:H157)+SUMIF($F159:$F$490,$D158,H159:H$490),0))*'[1]Processer - data'!H158,"")*IF($C158&lt;&gt;"",IF($F158="Halm",Landbrug!C$16*Landbrug!C$17,IF(LEFT($D158,5)="Areal", IF($G158="Ton",Landbrug!C$18,1),1)),1)*IF($F158="Grøntsager",IF($A158="Grøntsager i drivhus",Landbrug!C$51,1-Landbrug!C$51),1)</f>
        <v>#REF!</v>
      </c>
      <c r="I158" s="303" t="e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input'!$A$3:$A$230,$A$1)),IF(VLOOKUP($A158,[1]!Table1[#All],2,FALSE)="Resultat",SUMIF($F$1:$F157,$D158,I$1:I157)+SUMIF($F159:$F$490,$D158,I159:I$490),0))*'[1]Processer - data'!I158,"")*IF($C158&lt;&gt;"",IF($F158="Halm",Landbrug!D$16*Landbrug!D$17,IF(LEFT($D158,5)="Areal", IF($G158="Ton",Landbrug!D$18,1),1)),1)*IF($F158="Grøntsager",IF($A158="Grøntsager i drivhus",Landbrug!D$51,1-Landbrug!D$51),1)</f>
        <v>#REF!</v>
      </c>
      <c r="J158" s="304" t="e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input'!$A$3:$A$230,$A$1)),IF(VLOOKUP($A158,[1]!Table1[#All],2,FALSE)="Resultat",SUMIF($F$1:$F157,$D158,J$1:J157)+SUMIF($F159:$F$490,$D158,J159:J$490),0))*'[1]Processer - data'!J158,"")*IF($C158&lt;&gt;"",IF($F158="Halm",Landbrug!E$16*Landbrug!E$17,IF(LEFT($D158,5)="Areal", IF($G158="Ton",Landbrug!E$18,1),1)),1)*IF($F158="Grøntsager",IF($A158="Grøntsager i drivhus",Landbrug!E$51,1-Landbrug!E$51),1)</f>
        <v>#REF!</v>
      </c>
    </row>
    <row r="159" spans="1:10" x14ac:dyDescent="0.25">
      <c r="A159" t="str">
        <f>IF('[1]Processer - data'!A159&lt;&gt;"",'[1]Processer - data'!A159,"")</f>
        <v>Grøntsager på land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OC12</v>
      </c>
      <c r="D159" t="str">
        <f>IF('[1]Processer - data'!D159&lt;&gt;"",'[1]Processer - data'!D159,"")</f>
        <v>Areal-grøntsager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Grøntsager</v>
      </c>
      <c r="G159" t="str">
        <f>IF('[1]Processer - data'!G159&lt;&gt;"",'[1]Processer - data'!G159,"")</f>
        <v>Ton</v>
      </c>
      <c r="H159" s="302" t="e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input'!$A$3:$A$230,$A$1)),IF(VLOOKUP($A159,[1]!Table1[#All],2,FALSE)="Resultat",SUMIF($F$1:$F158,$D159,H$1:H158)+SUMIF($F160:$F$490,$D159,H160:H$490),0))*'[1]Processer - data'!H159,"")*IF($C159&lt;&gt;"",IF($F159="Halm",Landbrug!C$16*Landbrug!C$17,IF(LEFT($D159,5)="Areal", IF($G159="Ton",Landbrug!C$18,1),1)),1)*IF($F159="Grøntsager",IF($A159="Grøntsager i drivhus",Landbrug!C$51,1-Landbrug!C$51),1)</f>
        <v>#REF!</v>
      </c>
      <c r="I159" s="303" t="e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input'!$A$3:$A$230,$A$1)),IF(VLOOKUP($A159,[1]!Table1[#All],2,FALSE)="Resultat",SUMIF($F$1:$F158,$D159,I$1:I158)+SUMIF($F160:$F$490,$D159,I160:I$490),0))*'[1]Processer - data'!I159,"")*IF($C159&lt;&gt;"",IF($F159="Halm",Landbrug!D$16*Landbrug!D$17,IF(LEFT($D159,5)="Areal", IF($G159="Ton",Landbrug!D$18,1),1)),1)*IF($F159="Grøntsager",IF($A159="Grøntsager i drivhus",Landbrug!D$51,1-Landbrug!D$51),1)</f>
        <v>#REF!</v>
      </c>
      <c r="J159" s="304" t="e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input'!$A$3:$A$230,$A$1)),IF(VLOOKUP($A159,[1]!Table1[#All],2,FALSE)="Resultat",SUMIF($F$1:$F158,$D159,J$1:J158)+SUMIF($F160:$F$490,$D159,J160:J$490),0))*'[1]Processer - data'!J159,"")*IF($C159&lt;&gt;"",IF($F159="Halm",Landbrug!E$16*Landbrug!E$17,IF(LEFT($D159,5)="Areal", IF($G159="Ton",Landbrug!E$18,1),1)),1)*IF($F159="Grøntsager",IF($A159="Grøntsager i drivhus",Landbrug!E$51,1-Landbrug!E$51),1)</f>
        <v>#REF!</v>
      </c>
    </row>
    <row r="160" spans="1:10" x14ac:dyDescent="0.25">
      <c r="A160" t="str">
        <f>IF('[1]Processer - data'!A160&lt;&gt;"",'[1]Processer - data'!A160,"")</f>
        <v>Grøntsager på land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OC12</v>
      </c>
      <c r="D160" t="str">
        <f>IF('[1]Processer - data'!D160&lt;&gt;"",'[1]Processer - data'!D160,"")</f>
        <v>Areal-grøntsager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Gødning</v>
      </c>
      <c r="G160" t="str">
        <f>IF('[1]Processer - data'!G160&lt;&gt;"",'[1]Processer - data'!G160,"")</f>
        <v>kg N</v>
      </c>
      <c r="H160" s="302" t="e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input'!$A$3:$A$230,$A$1)),IF(VLOOKUP($A160,[1]!Table1[#All],2,FALSE)="Resultat",SUMIF($F$1:$F159,$D160,H$1:H159)+SUMIF($F161:$F$490,$D160,H161:H$490),0))*'[1]Processer - data'!H160,"")*IF($C160&lt;&gt;"",IF($F160="Halm",Landbrug!C$16*Landbrug!C$17,IF(LEFT($D160,5)="Areal", IF($G160="Ton",Landbrug!C$18,1),1)),1)*IF($F160="Grøntsager",IF($A160="Grøntsager i drivhus",Landbrug!C$51,1-Landbrug!C$51),1)</f>
        <v>#REF!</v>
      </c>
      <c r="I160" s="303" t="e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input'!$A$3:$A$230,$A$1)),IF(VLOOKUP($A160,[1]!Table1[#All],2,FALSE)="Resultat",SUMIF($F$1:$F159,$D160,I$1:I159)+SUMIF($F161:$F$490,$D160,I161:I$490),0))*'[1]Processer - data'!I160,"")*IF($C160&lt;&gt;"",IF($F160="Halm",Landbrug!D$16*Landbrug!D$17,IF(LEFT($D160,5)="Areal", IF($G160="Ton",Landbrug!D$18,1),1)),1)*IF($F160="Grøntsager",IF($A160="Grøntsager i drivhus",Landbrug!D$51,1-Landbrug!D$51),1)</f>
        <v>#REF!</v>
      </c>
      <c r="J160" s="304" t="e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input'!$A$3:$A$230,$A$1)),IF(VLOOKUP($A160,[1]!Table1[#All],2,FALSE)="Resultat",SUMIF($F$1:$F159,$D160,J$1:J159)+SUMIF($F161:$F$490,$D160,J161:J$490),0))*'[1]Processer - data'!J160,"")*IF($C160&lt;&gt;"",IF($F160="Halm",Landbrug!E$16*Landbrug!E$17,IF(LEFT($D160,5)="Areal", IF($G160="Ton",Landbrug!E$18,1),1)),1)*IF($F160="Grøntsager",IF($A160="Grøntsager i drivhus",Landbrug!E$51,1-Landbrug!E$51),1)</f>
        <v>#REF!</v>
      </c>
    </row>
    <row r="161" spans="1:10" x14ac:dyDescent="0.25">
      <c r="A161" t="str">
        <f>IF('[1]Processer - data'!A161&lt;&gt;"",'[1]Processer - data'!A161,"")</f>
        <v>Grøntsager på land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Areal-grøntsager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CO2 - atmosfære</v>
      </c>
      <c r="G161" t="str">
        <f>IF('[1]Processer - data'!G161&lt;&gt;"",'[1]Processer - data'!G161,"")</f>
        <v>t CO2-ækvivalenter</v>
      </c>
      <c r="H161" s="302" t="e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input'!$A$3:$A$230,$A$1)),IF(VLOOKUP($A161,[1]!Table1[#All],2,FALSE)="Resultat",SUMIF($F$1:$F160,$D161,H$1:H160)+SUMIF($F162:$F$490,$D161,H162:H$490),0))*'[1]Processer - data'!H161,"")*IF($C161&lt;&gt;"",IF($F161="Halm",Landbrug!C$16*Landbrug!C$17,IF(LEFT($D161,5)="Areal", IF($G161="Ton",Landbrug!C$18,1),1)),1)*IF($F161="Grøntsager",IF($A161="Grøntsager i drivhus",Landbrug!C$51,1-Landbrug!C$51),1)</f>
        <v>#REF!</v>
      </c>
      <c r="I161" s="303" t="e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input'!$A$3:$A$230,$A$1)),IF(VLOOKUP($A161,[1]!Table1[#All],2,FALSE)="Resultat",SUMIF($F$1:$F160,$D161,I$1:I160)+SUMIF($F162:$F$490,$D161,I162:I$490),0))*'[1]Processer - data'!I161,"")*IF($C161&lt;&gt;"",IF($F161="Halm",Landbrug!D$16*Landbrug!D$17,IF(LEFT($D161,5)="Areal", IF($G161="Ton",Landbrug!D$18,1),1)),1)*IF($F161="Grøntsager",IF($A161="Grøntsager i drivhus",Landbrug!D$51,1-Landbrug!D$51),1)</f>
        <v>#REF!</v>
      </c>
      <c r="J161" s="304" t="e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input'!$A$3:$A$230,$A$1)),IF(VLOOKUP($A161,[1]!Table1[#All],2,FALSE)="Resultat",SUMIF($F$1:$F160,$D161,J$1:J160)+SUMIF($F162:$F$490,$D161,J162:J$490),0))*'[1]Processer - data'!J161,"")*IF($C161&lt;&gt;"",IF($F161="Halm",Landbrug!E$16*Landbrug!E$17,IF(LEFT($D161,5)="Areal", IF($G161="Ton",Landbrug!E$18,1),1)),1)*IF($F161="Grøntsager",IF($A161="Grøntsager i drivhus",Landbrug!E$51,1-Landbrug!E$51),1)</f>
        <v>#REF!</v>
      </c>
    </row>
    <row r="162" spans="1:10" x14ac:dyDescent="0.25">
      <c r="A162" t="str">
        <f>IF('[1]Processer - data'!A162&lt;&gt;"",'[1]Processer - data'!A162,"")</f>
        <v>Grøntsager i drivhus</v>
      </c>
      <c r="B162" t="str">
        <f>IF('[1]Processer - data'!B162&lt;&gt;"",'[1]Processer - data'!B162,"")</f>
        <v>Konventionel</v>
      </c>
      <c r="C162" t="str">
        <f>IF('[1]Processer - data'!C162&lt;&gt;"",'[1]Processer - data'!C162,"")</f>
        <v/>
      </c>
      <c r="D162" t="str">
        <f>IF('[1]Processer - data'!D162&lt;&gt;"",'[1]Processer - data'!D162,"")</f>
        <v>Areal-grøntsager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Grøntsager</v>
      </c>
      <c r="G162" t="str">
        <f>IF('[1]Processer - data'!G162&lt;&gt;"",'[1]Processer - data'!G162,"")</f>
        <v>Ton</v>
      </c>
      <c r="H162" s="302" t="e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input'!$A$3:$A$230,$A$1)),IF(VLOOKUP($A162,[1]!Table1[#All],2,FALSE)="Resultat",SUMIF($F$1:$F161,$D162,H$1:H161)+SUMIF($F163:$F$490,$D162,H163:H$490),0))*'[1]Processer - data'!H162,"")*IF($C162&lt;&gt;"",IF($F162="Halm",Landbrug!C$16*Landbrug!C$17,IF(LEFT($D162,5)="Areal", IF($G162="Ton",Landbrug!C$18,1),1)),1)*IF($F162="Grøntsager",IF($A162="Grøntsager i drivhus",Landbrug!C$51,1-Landbrug!C$51),1)</f>
        <v>#REF!</v>
      </c>
      <c r="I162" s="303" t="e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input'!$A$3:$A$230,$A$1)),IF(VLOOKUP($A162,[1]!Table1[#All],2,FALSE)="Resultat",SUMIF($F$1:$F161,$D162,I$1:I161)+SUMIF($F163:$F$490,$D162,I163:I$490),0))*'[1]Processer - data'!I162,"")*IF($C162&lt;&gt;"",IF($F162="Halm",Landbrug!D$16*Landbrug!D$17,IF(LEFT($D162,5)="Areal", IF($G162="Ton",Landbrug!D$18,1),1)),1)*IF($F162="Grøntsager",IF($A162="Grøntsager i drivhus",Landbrug!D$51,1-Landbrug!D$51),1)</f>
        <v>#REF!</v>
      </c>
      <c r="J162" s="304" t="e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input'!$A$3:$A$230,$A$1)),IF(VLOOKUP($A162,[1]!Table1[#All],2,FALSE)="Resultat",SUMIF($F$1:$F161,$D162,J$1:J161)+SUMIF($F163:$F$490,$D162,J163:J$490),0))*'[1]Processer - data'!J162,"")*IF($C162&lt;&gt;"",IF($F162="Halm",Landbrug!E$16*Landbrug!E$17,IF(LEFT($D162,5)="Areal", IF($G162="Ton",Landbrug!E$18,1),1)),1)*IF($F162="Grøntsager",IF($A162="Grøntsager i drivhus",Landbrug!E$51,1-Landbrug!E$51),1)</f>
        <v>#REF!</v>
      </c>
    </row>
    <row r="163" spans="1:10" x14ac:dyDescent="0.25">
      <c r="A163" t="str">
        <f>IF('[1]Processer - data'!A163&lt;&gt;"",'[1]Processer - data'!A163,"")</f>
        <v>Grøntsager i drivhus</v>
      </c>
      <c r="B163" t="str">
        <f>IF('[1]Processer - data'!B163&lt;&gt;"",'[1]Processer - data'!B163,"")</f>
        <v>Konventionel</v>
      </c>
      <c r="C163" t="str">
        <f>IF('[1]Processer - data'!C163&lt;&gt;"",'[1]Processer - data'!C163,"")</f>
        <v/>
      </c>
      <c r="D163" t="str">
        <f>IF('[1]Processer - data'!D163&lt;&gt;"",'[1]Processer - data'!D163,"")</f>
        <v>Areal-grøntsager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2" t="e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input'!$A$3:$A$230,$A$1)),IF(VLOOKUP($A163,[1]!Table1[#All],2,FALSE)="Resultat",SUMIF($F$1:$F162,$D163,H$1:H162)+SUMIF($F164:$F$490,$D163,H164:H$490),0))*'[1]Processer - data'!H163,"")*IF($C163&lt;&gt;"",IF($F163="Halm",Landbrug!C$16*Landbrug!C$17,IF(LEFT($D163,5)="Areal", IF($G163="Ton",Landbrug!C$18,1),1)),1)*IF($F163="Grøntsager",IF($A163="Grøntsager i drivhus",Landbrug!C$51,1-Landbrug!C$51),1)</f>
        <v>#REF!</v>
      </c>
      <c r="I163" s="303" t="e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input'!$A$3:$A$230,$A$1)),IF(VLOOKUP($A163,[1]!Table1[#All],2,FALSE)="Resultat",SUMIF($F$1:$F162,$D163,I$1:I162)+SUMIF($F164:$F$490,$D163,I164:I$490),0))*'[1]Processer - data'!I163,"")*IF($C163&lt;&gt;"",IF($F163="Halm",Landbrug!D$16*Landbrug!D$17,IF(LEFT($D163,5)="Areal", IF($G163="Ton",Landbrug!D$18,1),1)),1)*IF($F163="Grøntsager",IF($A163="Grøntsager i drivhus",Landbrug!D$51,1-Landbrug!D$51),1)</f>
        <v>#REF!</v>
      </c>
      <c r="J163" s="304" t="e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input'!$A$3:$A$230,$A$1)),IF(VLOOKUP($A163,[1]!Table1[#All],2,FALSE)="Resultat",SUMIF($F$1:$F162,$D163,J$1:J162)+SUMIF($F164:$F$490,$D163,J164:J$490),0))*'[1]Processer - data'!J163,"")*IF($C163&lt;&gt;"",IF($F163="Halm",Landbrug!E$16*Landbrug!E$17,IF(LEFT($D163,5)="Areal", IF($G163="Ton",Landbrug!E$18,1),1)),1)*IF($F163="Grøntsager",IF($A163="Grøntsager i drivhus",Landbrug!E$51,1-Landbrug!E$51),1)</f>
        <v>#REF!</v>
      </c>
    </row>
    <row r="164" spans="1:10" x14ac:dyDescent="0.25">
      <c r="A164" t="str">
        <f>IF('[1]Processer - data'!A164&lt;&gt;"",'[1]Processer - data'!A164,"")</f>
        <v>Grøntsager i drivhus</v>
      </c>
      <c r="B164" t="str">
        <f>IF('[1]Processer - data'!B164&lt;&gt;"",'[1]Processer - data'!B164,"")</f>
        <v>Konventionel</v>
      </c>
      <c r="C164" t="str">
        <f>IF('[1]Processer - data'!C164&lt;&gt;"",'[1]Processer - data'!C164,"")</f>
        <v/>
      </c>
      <c r="D164" t="str">
        <f>IF('[1]Processer - data'!D164&lt;&gt;"",'[1]Processer - data'!D164,"")</f>
        <v>Areal-grøntsager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2" t="e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input'!$A$3:$A$230,$A$1)),IF(VLOOKUP($A164,[1]!Table1[#All],2,FALSE)="Resultat",SUMIF($F$1:$F163,$D164,H$1:H163)+SUMIF($F165:$F$490,$D164,H165:H$490),0))*'[1]Processer - data'!H164,"")*IF($C164&lt;&gt;"",IF($F164="Halm",Landbrug!C$16*Landbrug!C$17,IF(LEFT($D164,5)="Areal", IF($G164="Ton",Landbrug!C$18,1),1)),1)*IF($F164="Grøntsager",IF($A164="Grøntsager i drivhus",Landbrug!C$51,1-Landbrug!C$51),1)</f>
        <v>#REF!</v>
      </c>
      <c r="I164" s="303" t="e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input'!$A$3:$A$230,$A$1)),IF(VLOOKUP($A164,[1]!Table1[#All],2,FALSE)="Resultat",SUMIF($F$1:$F163,$D164,I$1:I163)+SUMIF($F165:$F$490,$D164,I165:I$490),0))*'[1]Processer - data'!I164,"")*IF($C164&lt;&gt;"",IF($F164="Halm",Landbrug!D$16*Landbrug!D$17,IF(LEFT($D164,5)="Areal", IF($G164="Ton",Landbrug!D$18,1),1)),1)*IF($F164="Grøntsager",IF($A164="Grøntsager i drivhus",Landbrug!D$51,1-Landbrug!D$51),1)</f>
        <v>#REF!</v>
      </c>
      <c r="J164" s="304" t="e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input'!$A$3:$A$230,$A$1)),IF(VLOOKUP($A164,[1]!Table1[#All],2,FALSE)="Resultat",SUMIF($F$1:$F163,$D164,J$1:J163)+SUMIF($F165:$F$490,$D164,J165:J$490),0))*'[1]Processer - data'!J164,"")*IF($C164&lt;&gt;"",IF($F164="Halm",Landbrug!E$16*Landbrug!E$17,IF(LEFT($D164,5)="Areal", IF($G164="Ton",Landbrug!E$18,1),1)),1)*IF($F164="Grøntsager",IF($A164="Grøntsager i drivhus",Landbrug!E$51,1-Landbrug!E$51),1)</f>
        <v>#REF!</v>
      </c>
    </row>
    <row r="165" spans="1:10" x14ac:dyDescent="0.25">
      <c r="A165" t="str">
        <f>IF('[1]Processer - data'!A165&lt;&gt;"",'[1]Processer - data'!A165,"")</f>
        <v>Grøntsager i drivhus</v>
      </c>
      <c r="B165" t="str">
        <f>IF('[1]Processer - data'!B165&lt;&gt;"",'[1]Processer - data'!B165,"")</f>
        <v>Økologisk</v>
      </c>
      <c r="C165" t="str">
        <f>IF('[1]Processer - data'!C165&lt;&gt;"",'[1]Processer - data'!C165,"")</f>
        <v/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2" t="e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input'!$A$3:$A$230,$A$1)),IF(VLOOKUP($A165,[1]!Table1[#All],2,FALSE)="Resultat",SUMIF($F$1:$F164,$D165,H$1:H164)+SUMIF($F166:$F$490,$D165,H166:H$490),0))*'[1]Processer - data'!H165,"")*IF($C165&lt;&gt;"",IF($F165="Halm",Landbrug!C$16*Landbrug!C$17,IF(LEFT($D165,5)="Areal", IF($G165="Ton",Landbrug!C$18,1),1)),1)*IF($F165="Grøntsager",IF($A165="Grøntsager i drivhus",Landbrug!C$51,1-Landbrug!C$51),1)</f>
        <v>#REF!</v>
      </c>
      <c r="I165" s="303" t="e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input'!$A$3:$A$230,$A$1)),IF(VLOOKUP($A165,[1]!Table1[#All],2,FALSE)="Resultat",SUMIF($F$1:$F164,$D165,I$1:I164)+SUMIF($F166:$F$490,$D165,I166:I$490),0))*'[1]Processer - data'!I165,"")*IF($C165&lt;&gt;"",IF($F165="Halm",Landbrug!D$16*Landbrug!D$17,IF(LEFT($D165,5)="Areal", IF($G165="Ton",Landbrug!D$18,1),1)),1)*IF($F165="Grøntsager",IF($A165="Grøntsager i drivhus",Landbrug!D$51,1-Landbrug!D$51),1)</f>
        <v>#REF!</v>
      </c>
      <c r="J165" s="304" t="e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input'!$A$3:$A$230,$A$1)),IF(VLOOKUP($A165,[1]!Table1[#All],2,FALSE)="Resultat",SUMIF($F$1:$F164,$D165,J$1:J164)+SUMIF($F166:$F$490,$D165,J166:J$490),0))*'[1]Processer - data'!J165,"")*IF($C165&lt;&gt;"",IF($F165="Halm",Landbrug!E$16*Landbrug!E$17,IF(LEFT($D165,5)="Areal", IF($G165="Ton",Landbrug!E$18,1),1)),1)*IF($F165="Grøntsager",IF($A165="Grøntsager i drivhus",Landbrug!E$51,1-Landbrug!E$51),1)</f>
        <v>#REF!</v>
      </c>
    </row>
    <row r="166" spans="1:10" x14ac:dyDescent="0.25">
      <c r="A166" t="str">
        <f>IF('[1]Processer - data'!A166&lt;&gt;"",'[1]Processer - data'!A166,"")</f>
        <v>Grøntsager i drivhus</v>
      </c>
      <c r="B166" t="str">
        <f>IF('[1]Processer - data'!B166&lt;&gt;"",'[1]Processer - data'!B166,"")</f>
        <v>Økologisk</v>
      </c>
      <c r="C166" t="str">
        <f>IF('[1]Processer - data'!C166&lt;&gt;"",'[1]Processer - data'!C166,"")</f>
        <v/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2" t="e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input'!$A$3:$A$230,$A$1)),IF(VLOOKUP($A166,[1]!Table1[#All],2,FALSE)="Resultat",SUMIF($F$1:$F165,$D166,H$1:H165)+SUMIF($F167:$F$490,$D166,H167:H$490),0))*'[1]Processer - data'!H166,"")*IF($C166&lt;&gt;"",IF($F166="Halm",Landbrug!C$16*Landbrug!C$17,IF(LEFT($D166,5)="Areal", IF($G166="Ton",Landbrug!C$18,1),1)),1)*IF($F166="Grøntsager",IF($A166="Grøntsager i drivhus",Landbrug!C$51,1-Landbrug!C$51),1)</f>
        <v>#REF!</v>
      </c>
      <c r="I166" s="303" t="e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input'!$A$3:$A$230,$A$1)),IF(VLOOKUP($A166,[1]!Table1[#All],2,FALSE)="Resultat",SUMIF($F$1:$F165,$D166,I$1:I165)+SUMIF($F167:$F$490,$D166,I167:I$490),0))*'[1]Processer - data'!I166,"")*IF($C166&lt;&gt;"",IF($F166="Halm",Landbrug!D$16*Landbrug!D$17,IF(LEFT($D166,5)="Areal", IF($G166="Ton",Landbrug!D$18,1),1)),1)*IF($F166="Grøntsager",IF($A166="Grøntsager i drivhus",Landbrug!D$51,1-Landbrug!D$51),1)</f>
        <v>#REF!</v>
      </c>
      <c r="J166" s="304" t="e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input'!$A$3:$A$230,$A$1)),IF(VLOOKUP($A166,[1]!Table1[#All],2,FALSE)="Resultat",SUMIF($F$1:$F165,$D166,J$1:J165)+SUMIF($F167:$F$490,$D166,J167:J$490),0))*'[1]Processer - data'!J166,"")*IF($C166&lt;&gt;"",IF($F166="Halm",Landbrug!E$16*Landbrug!E$17,IF(LEFT($D166,5)="Areal", IF($G166="Ton",Landbrug!E$18,1),1)),1)*IF($F166="Grøntsager",IF($A166="Grøntsager i drivhus",Landbrug!E$51,1-Landbrug!E$51),1)</f>
        <v>#REF!</v>
      </c>
    </row>
    <row r="167" spans="1:10" x14ac:dyDescent="0.25">
      <c r="A167" t="str">
        <f>IF('[1]Processer - data'!A167&lt;&gt;"",'[1]Processer - data'!A167,"")</f>
        <v>Grøntsager i drivhus</v>
      </c>
      <c r="B167" t="str">
        <f>IF('[1]Processer - data'!B167&lt;&gt;"",'[1]Processer - data'!B167,"")</f>
        <v>Økologisk</v>
      </c>
      <c r="C167" t="str">
        <f>IF('[1]Processer - data'!C167&lt;&gt;"",'[1]Processer - data'!C167,"")</f>
        <v/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2" t="e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input'!$A$3:$A$230,$A$1)),IF(VLOOKUP($A167,[1]!Table1[#All],2,FALSE)="Resultat",SUMIF($F$1:$F166,$D167,H$1:H166)+SUMIF($F168:$F$490,$D167,H168:H$490),0))*'[1]Processer - data'!H167,"")*IF($C167&lt;&gt;"",IF($F167="Halm",Landbrug!C$16*Landbrug!C$17,IF(LEFT($D167,5)="Areal", IF($G167="Ton",Landbrug!C$18,1),1)),1)*IF($F167="Grøntsager",IF($A167="Grøntsager i drivhus",Landbrug!C$51,1-Landbrug!C$51),1)</f>
        <v>#REF!</v>
      </c>
      <c r="I167" s="303" t="e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input'!$A$3:$A$230,$A$1)),IF(VLOOKUP($A167,[1]!Table1[#All],2,FALSE)="Resultat",SUMIF($F$1:$F166,$D167,I$1:I166)+SUMIF($F168:$F$490,$D167,I168:I$490),0))*'[1]Processer - data'!I167,"")*IF($C167&lt;&gt;"",IF($F167="Halm",Landbrug!D$16*Landbrug!D$17,IF(LEFT($D167,5)="Areal", IF($G167="Ton",Landbrug!D$18,1),1)),1)*IF($F167="Grøntsager",IF($A167="Grøntsager i drivhus",Landbrug!D$51,1-Landbrug!D$51),1)</f>
        <v>#REF!</v>
      </c>
      <c r="J167" s="304" t="e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input'!$A$3:$A$230,$A$1)),IF(VLOOKUP($A167,[1]!Table1[#All],2,FALSE)="Resultat",SUMIF($F$1:$F166,$D167,J$1:J166)+SUMIF($F168:$F$490,$D167,J168:J$490),0))*'[1]Processer - data'!J167,"")*IF($C167&lt;&gt;"",IF($F167="Halm",Landbrug!E$16*Landbrug!E$17,IF(LEFT($D167,5)="Areal", IF($G167="Ton",Landbrug!E$18,1),1)),1)*IF($F167="Grøntsager",IF($A167="Grøntsager i drivhus",Landbrug!E$51,1-Landbrug!E$51),1)</f>
        <v>#REF!</v>
      </c>
    </row>
    <row r="168" spans="1:10" x14ac:dyDescent="0.25">
      <c r="A168" t="str">
        <f>IF('[1]Processer - data'!A168&lt;&gt;"",'[1]Processer - data'!A168,"")</f>
        <v>Kartoffelmark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JB1-10</v>
      </c>
      <c r="D168" t="str">
        <f>IF('[1]Processer - data'!D168&lt;&gt;"",'[1]Processer - data'!D168,"")</f>
        <v>Areal-kartofler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Kartofler</v>
      </c>
      <c r="G168" t="str">
        <f>IF('[1]Processer - data'!G168&lt;&gt;"",'[1]Processer - data'!G168,"")</f>
        <v>Ton</v>
      </c>
      <c r="H168" s="302" t="e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input'!$A$3:$A$230,$A$1)),IF(VLOOKUP($A168,[1]!Table1[#All],2,FALSE)="Resultat",SUMIF($F$1:$F167,$D168,H$1:H167)+SUMIF($F169:$F$490,$D168,H169:H$490),0))*'[1]Processer - data'!H168,"")*IF($C168&lt;&gt;"",IF($F168="Halm",Landbrug!C$16*Landbrug!C$17,IF(LEFT($D168,5)="Areal", IF($G168="Ton",Landbrug!C$18,1),1)),1)*IF($F168="Grøntsager",IF($A168="Grøntsager i drivhus",Landbrug!C$51,1-Landbrug!C$51),1)</f>
        <v>#REF!</v>
      </c>
      <c r="I168" s="303" t="e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input'!$A$3:$A$230,$A$1)),IF(VLOOKUP($A168,[1]!Table1[#All],2,FALSE)="Resultat",SUMIF($F$1:$F167,$D168,I$1:I167)+SUMIF($F169:$F$490,$D168,I169:I$490),0))*'[1]Processer - data'!I168,"")*IF($C168&lt;&gt;"",IF($F168="Halm",Landbrug!D$16*Landbrug!D$17,IF(LEFT($D168,5)="Areal", IF($G168="Ton",Landbrug!D$18,1),1)),1)*IF($F168="Grøntsager",IF($A168="Grøntsager i drivhus",Landbrug!D$51,1-Landbrug!D$51),1)</f>
        <v>#REF!</v>
      </c>
      <c r="J168" s="304" t="e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input'!$A$3:$A$230,$A$1)),IF(VLOOKUP($A168,[1]!Table1[#All],2,FALSE)="Resultat",SUMIF($F$1:$F167,$D168,J$1:J167)+SUMIF($F169:$F$490,$D168,J169:J$490),0))*'[1]Processer - data'!J168,"")*IF($C168&lt;&gt;"",IF($F168="Halm",Landbrug!E$16*Landbrug!E$17,IF(LEFT($D168,5)="Areal", IF($G168="Ton",Landbrug!E$18,1),1)),1)*IF($F168="Grøntsager",IF($A168="Grøntsager i drivhus",Landbrug!E$51,1-Landbrug!E$51),1)</f>
        <v>#REF!</v>
      </c>
    </row>
    <row r="169" spans="1:10" x14ac:dyDescent="0.25">
      <c r="A169" t="str">
        <f>IF('[1]Processer - data'!A169&lt;&gt;"",'[1]Processer - data'!A169,"")</f>
        <v>Kartoffelmark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JB1-10</v>
      </c>
      <c r="D169" t="str">
        <f>IF('[1]Processer - data'!D169&lt;&gt;"",'[1]Processer - data'!D169,"")</f>
        <v>Areal-kartofler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2" t="e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input'!$A$3:$A$230,$A$1)),IF(VLOOKUP($A169,[1]!Table1[#All],2,FALSE)="Resultat",SUMIF($F$1:$F168,$D169,H$1:H168)+SUMIF($F170:$F$490,$D169,H170:H$490),0))*'[1]Processer - data'!H169,"")*IF($C169&lt;&gt;"",IF($F169="Halm",Landbrug!C$16*Landbrug!C$17,IF(LEFT($D169,5)="Areal", IF($G169="Ton",Landbrug!C$18,1),1)),1)*IF($F169="Grøntsager",IF($A169="Grøntsager i drivhus",Landbrug!C$51,1-Landbrug!C$51),1)</f>
        <v>#REF!</v>
      </c>
      <c r="I169" s="303" t="e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input'!$A$3:$A$230,$A$1)),IF(VLOOKUP($A169,[1]!Table1[#All],2,FALSE)="Resultat",SUMIF($F$1:$F168,$D169,I$1:I168)+SUMIF($F170:$F$490,$D169,I170:I$490),0))*'[1]Processer - data'!I169,"")*IF($C169&lt;&gt;"",IF($F169="Halm",Landbrug!D$16*Landbrug!D$17,IF(LEFT($D169,5)="Areal", IF($G169="Ton",Landbrug!D$18,1),1)),1)*IF($F169="Grøntsager",IF($A169="Grøntsager i drivhus",Landbrug!D$51,1-Landbrug!D$51),1)</f>
        <v>#REF!</v>
      </c>
      <c r="J169" s="304" t="e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input'!$A$3:$A$230,$A$1)),IF(VLOOKUP($A169,[1]!Table1[#All],2,FALSE)="Resultat",SUMIF($F$1:$F168,$D169,J$1:J168)+SUMIF($F170:$F$490,$D169,J170:J$490),0))*'[1]Processer - data'!J169,"")*IF($C169&lt;&gt;"",IF($F169="Halm",Landbrug!E$16*Landbrug!E$17,IF(LEFT($D169,5)="Areal", IF($G169="Ton",Landbrug!E$18,1),1)),1)*IF($F169="Grøntsager",IF($A169="Grøntsager i drivhus",Landbrug!E$51,1-Landbrug!E$51),1)</f>
        <v>#REF!</v>
      </c>
    </row>
    <row r="170" spans="1:10" x14ac:dyDescent="0.25">
      <c r="A170" t="str">
        <f>IF('[1]Processer - data'!A170&lt;&gt;"",'[1]Processer - data'!A170,"")</f>
        <v>Kartoffelmark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JB1-10</v>
      </c>
      <c r="D170" t="str">
        <f>IF('[1]Processer - data'!D170&lt;&gt;"",'[1]Processer - data'!D170,"")</f>
        <v>Areal-kartofler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2" t="e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input'!$A$3:$A$230,$A$1)),IF(VLOOKUP($A170,[1]!Table1[#All],2,FALSE)="Resultat",SUMIF($F$1:$F169,$D170,H$1:H169)+SUMIF($F171:$F$490,$D170,H171:H$490),0))*'[1]Processer - data'!H170,"")*IF($C170&lt;&gt;"",IF($F170="Halm",Landbrug!C$16*Landbrug!C$17,IF(LEFT($D170,5)="Areal", IF($G170="Ton",Landbrug!C$18,1),1)),1)*IF($F170="Grøntsager",IF($A170="Grøntsager i drivhus",Landbrug!C$51,1-Landbrug!C$51),1)</f>
        <v>#REF!</v>
      </c>
      <c r="I170" s="303" t="e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input'!$A$3:$A$230,$A$1)),IF(VLOOKUP($A170,[1]!Table1[#All],2,FALSE)="Resultat",SUMIF($F$1:$F169,$D170,I$1:I169)+SUMIF($F171:$F$490,$D170,I171:I$490),0))*'[1]Processer - data'!I170,"")*IF($C170&lt;&gt;"",IF($F170="Halm",Landbrug!D$16*Landbrug!D$17,IF(LEFT($D170,5)="Areal", IF($G170="Ton",Landbrug!D$18,1),1)),1)*IF($F170="Grøntsager",IF($A170="Grøntsager i drivhus",Landbrug!D$51,1-Landbrug!D$51),1)</f>
        <v>#REF!</v>
      </c>
      <c r="J170" s="304" t="e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input'!$A$3:$A$230,$A$1)),IF(VLOOKUP($A170,[1]!Table1[#All],2,FALSE)="Resultat",SUMIF($F$1:$F169,$D170,J$1:J169)+SUMIF($F171:$F$490,$D170,J171:J$490),0))*'[1]Processer - data'!J170,"")*IF($C170&lt;&gt;"",IF($F170="Halm",Landbrug!E$16*Landbrug!E$17,IF(LEFT($D170,5)="Areal", IF($G170="Ton",Landbrug!E$18,1),1)),1)*IF($F170="Grøntsager",IF($A170="Grøntsager i drivhus",Landbrug!E$51,1-Landbrug!E$51),1)</f>
        <v>#REF!</v>
      </c>
    </row>
    <row r="171" spans="1:10" x14ac:dyDescent="0.25">
      <c r="A171" t="str">
        <f>IF('[1]Processer - data'!A171&lt;&gt;"",'[1]Processer - data'!A171,"")</f>
        <v>Kartoffelmark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OC6</v>
      </c>
      <c r="D171" t="str">
        <f>IF('[1]Processer - data'!D171&lt;&gt;"",'[1]Processer - data'!D171,"")</f>
        <v>Areal-kartofler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Kartofler</v>
      </c>
      <c r="G171" t="str">
        <f>IF('[1]Processer - data'!G171&lt;&gt;"",'[1]Processer - data'!G171,"")</f>
        <v>Ton</v>
      </c>
      <c r="H171" s="302" t="e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input'!$A$3:$A$230,$A$1)),IF(VLOOKUP($A171,[1]!Table1[#All],2,FALSE)="Resultat",SUMIF($F$1:$F170,$D171,H$1:H170)+SUMIF($F172:$F$490,$D171,H172:H$490),0))*'[1]Processer - data'!H171,"")*IF($C171&lt;&gt;"",IF($F171="Halm",Landbrug!C$16*Landbrug!C$17,IF(LEFT($D171,5)="Areal", IF($G171="Ton",Landbrug!C$18,1),1)),1)*IF($F171="Grøntsager",IF($A171="Grøntsager i drivhus",Landbrug!C$51,1-Landbrug!C$51),1)</f>
        <v>#REF!</v>
      </c>
      <c r="I171" s="303" t="e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input'!$A$3:$A$230,$A$1)),IF(VLOOKUP($A171,[1]!Table1[#All],2,FALSE)="Resultat",SUMIF($F$1:$F170,$D171,I$1:I170)+SUMIF($F172:$F$490,$D171,I172:I$490),0))*'[1]Processer - data'!I171,"")*IF($C171&lt;&gt;"",IF($F171="Halm",Landbrug!D$16*Landbrug!D$17,IF(LEFT($D171,5)="Areal", IF($G171="Ton",Landbrug!D$18,1),1)),1)*IF($F171="Grøntsager",IF($A171="Grøntsager i drivhus",Landbrug!D$51,1-Landbrug!D$51),1)</f>
        <v>#REF!</v>
      </c>
      <c r="J171" s="304" t="e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input'!$A$3:$A$230,$A$1)),IF(VLOOKUP($A171,[1]!Table1[#All],2,FALSE)="Resultat",SUMIF($F$1:$F170,$D171,J$1:J170)+SUMIF($F172:$F$490,$D171,J172:J$490),0))*'[1]Processer - data'!J171,"")*IF($C171&lt;&gt;"",IF($F171="Halm",Landbrug!E$16*Landbrug!E$17,IF(LEFT($D171,5)="Areal", IF($G171="Ton",Landbrug!E$18,1),1)),1)*IF($F171="Grøntsager",IF($A171="Grøntsager i drivhus",Landbrug!E$51,1-Landbrug!E$51),1)</f>
        <v>#REF!</v>
      </c>
    </row>
    <row r="172" spans="1:10" x14ac:dyDescent="0.25">
      <c r="A172" t="str">
        <f>IF('[1]Processer - data'!A172&lt;&gt;"",'[1]Processer - data'!A172,"")</f>
        <v>Kartoffelmark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OC6</v>
      </c>
      <c r="D172" t="str">
        <f>IF('[1]Processer - data'!D172&lt;&gt;"",'[1]Processer - data'!D172,"")</f>
        <v>Areal-kartofler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2" t="e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input'!$A$3:$A$230,$A$1)),IF(VLOOKUP($A172,[1]!Table1[#All],2,FALSE)="Resultat",SUMIF($F$1:$F171,$D172,H$1:H171)+SUMIF($F173:$F$490,$D172,H173:H$490),0))*'[1]Processer - data'!H172,"")*IF($C172&lt;&gt;"",IF($F172="Halm",Landbrug!C$16*Landbrug!C$17,IF(LEFT($D172,5)="Areal", IF($G172="Ton",Landbrug!C$18,1),1)),1)*IF($F172="Grøntsager",IF($A172="Grøntsager i drivhus",Landbrug!C$51,1-Landbrug!C$51),1)</f>
        <v>#REF!</v>
      </c>
      <c r="I172" s="303" t="e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input'!$A$3:$A$230,$A$1)),IF(VLOOKUP($A172,[1]!Table1[#All],2,FALSE)="Resultat",SUMIF($F$1:$F171,$D172,I$1:I171)+SUMIF($F173:$F$490,$D172,I173:I$490),0))*'[1]Processer - data'!I172,"")*IF($C172&lt;&gt;"",IF($F172="Halm",Landbrug!D$16*Landbrug!D$17,IF(LEFT($D172,5)="Areal", IF($G172="Ton",Landbrug!D$18,1),1)),1)*IF($F172="Grøntsager",IF($A172="Grøntsager i drivhus",Landbrug!D$51,1-Landbrug!D$51),1)</f>
        <v>#REF!</v>
      </c>
      <c r="J172" s="304" t="e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input'!$A$3:$A$230,$A$1)),IF(VLOOKUP($A172,[1]!Table1[#All],2,FALSE)="Resultat",SUMIF($F$1:$F171,$D172,J$1:J171)+SUMIF($F173:$F$490,$D172,J173:J$490),0))*'[1]Processer - data'!J172,"")*IF($C172&lt;&gt;"",IF($F172="Halm",Landbrug!E$16*Landbrug!E$17,IF(LEFT($D172,5)="Areal", IF($G172="Ton",Landbrug!E$18,1),1)),1)*IF($F172="Grøntsager",IF($A172="Grøntsager i drivhus",Landbrug!E$51,1-Landbrug!E$51),1)</f>
        <v>#REF!</v>
      </c>
    </row>
    <row r="173" spans="1:10" x14ac:dyDescent="0.25">
      <c r="A173" t="str">
        <f>IF('[1]Processer - data'!A173&lt;&gt;"",'[1]Processer - data'!A173,"")</f>
        <v>Kartoffelmark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OC6</v>
      </c>
      <c r="D173" t="str">
        <f>IF('[1]Processer - data'!D173&lt;&gt;"",'[1]Processer - data'!D173,"")</f>
        <v>Areal-kartofler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2" t="e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input'!$A$3:$A$230,$A$1)),IF(VLOOKUP($A173,[1]!Table1[#All],2,FALSE)="Resultat",SUMIF($F$1:$F172,$D173,H$1:H172)+SUMIF($F174:$F$490,$D173,H174:H$490),0))*'[1]Processer - data'!H173,"")*IF($C173&lt;&gt;"",IF($F173="Halm",Landbrug!C$16*Landbrug!C$17,IF(LEFT($D173,5)="Areal", IF($G173="Ton",Landbrug!C$18,1),1)),1)*IF($F173="Grøntsager",IF($A173="Grøntsager i drivhus",Landbrug!C$51,1-Landbrug!C$51),1)</f>
        <v>#REF!</v>
      </c>
      <c r="I173" s="303" t="e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input'!$A$3:$A$230,$A$1)),IF(VLOOKUP($A173,[1]!Table1[#All],2,FALSE)="Resultat",SUMIF($F$1:$F172,$D173,I$1:I172)+SUMIF($F174:$F$490,$D173,I174:I$490),0))*'[1]Processer - data'!I173,"")*IF($C173&lt;&gt;"",IF($F173="Halm",Landbrug!D$16*Landbrug!D$17,IF(LEFT($D173,5)="Areal", IF($G173="Ton",Landbrug!D$18,1),1)),1)*IF($F173="Grøntsager",IF($A173="Grøntsager i drivhus",Landbrug!D$51,1-Landbrug!D$51),1)</f>
        <v>#REF!</v>
      </c>
      <c r="J173" s="304" t="e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input'!$A$3:$A$230,$A$1)),IF(VLOOKUP($A173,[1]!Table1[#All],2,FALSE)="Resultat",SUMIF($F$1:$F172,$D173,J$1:J172)+SUMIF($F174:$F$490,$D173,J174:J$490),0))*'[1]Processer - data'!J173,"")*IF($C173&lt;&gt;"",IF($F173="Halm",Landbrug!E$16*Landbrug!E$17,IF(LEFT($D173,5)="Areal", IF($G173="Ton",Landbrug!E$18,1),1)),1)*IF($F173="Grøntsager",IF($A173="Grøntsager i drivhus",Landbrug!E$51,1-Landbrug!E$51),1)</f>
        <v>#REF!</v>
      </c>
    </row>
    <row r="174" spans="1:10" x14ac:dyDescent="0.25">
      <c r="A174" t="str">
        <f>IF('[1]Processer - data'!A174&lt;&gt;"",'[1]Processer - data'!A174,"")</f>
        <v>Kartoffelmark</v>
      </c>
      <c r="B174" t="str">
        <f>IF('[1]Processer - data'!B174&lt;&gt;"",'[1]Processer - data'!B174,"")</f>
        <v>Konventionel</v>
      </c>
      <c r="C174" t="str">
        <f>IF('[1]Processer - data'!C174&lt;&gt;"",'[1]Processer - data'!C174,"")</f>
        <v>OC12</v>
      </c>
      <c r="D174" t="str">
        <f>IF('[1]Processer - data'!D174&lt;&gt;"",'[1]Processer - data'!D174,"")</f>
        <v>Areal-kartofler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Kartofler</v>
      </c>
      <c r="G174" t="str">
        <f>IF('[1]Processer - data'!G174&lt;&gt;"",'[1]Processer - data'!G174,"")</f>
        <v>Ton</v>
      </c>
      <c r="H174" s="302" t="e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input'!$A$3:$A$230,$A$1)),IF(VLOOKUP($A174,[1]!Table1[#All],2,FALSE)="Resultat",SUMIF($F$1:$F173,$D174,H$1:H173)+SUMIF($F175:$F$490,$D174,H175:H$490),0))*'[1]Processer - data'!H174,"")*IF($C174&lt;&gt;"",IF($F174="Halm",Landbrug!C$16*Landbrug!C$17,IF(LEFT($D174,5)="Areal", IF($G174="Ton",Landbrug!C$18,1),1)),1)*IF($F174="Grøntsager",IF($A174="Grøntsager i drivhus",Landbrug!C$51,1-Landbrug!C$51),1)</f>
        <v>#REF!</v>
      </c>
      <c r="I174" s="303" t="e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input'!$A$3:$A$230,$A$1)),IF(VLOOKUP($A174,[1]!Table1[#All],2,FALSE)="Resultat",SUMIF($F$1:$F173,$D174,I$1:I173)+SUMIF($F175:$F$490,$D174,I175:I$490),0))*'[1]Processer - data'!I174,"")*IF($C174&lt;&gt;"",IF($F174="Halm",Landbrug!D$16*Landbrug!D$17,IF(LEFT($D174,5)="Areal", IF($G174="Ton",Landbrug!D$18,1),1)),1)*IF($F174="Grøntsager",IF($A174="Grøntsager i drivhus",Landbrug!D$51,1-Landbrug!D$51),1)</f>
        <v>#REF!</v>
      </c>
      <c r="J174" s="304" t="e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input'!$A$3:$A$230,$A$1)),IF(VLOOKUP($A174,[1]!Table1[#All],2,FALSE)="Resultat",SUMIF($F$1:$F173,$D174,J$1:J173)+SUMIF($F175:$F$490,$D174,J175:J$490),0))*'[1]Processer - data'!J174,"")*IF($C174&lt;&gt;"",IF($F174="Halm",Landbrug!E$16*Landbrug!E$17,IF(LEFT($D174,5)="Areal", IF($G174="Ton",Landbrug!E$18,1),1)),1)*IF($F174="Grøntsager",IF($A174="Grøntsager i drivhus",Landbrug!E$51,1-Landbrug!E$51),1)</f>
        <v>#REF!</v>
      </c>
    </row>
    <row r="175" spans="1:10" x14ac:dyDescent="0.25">
      <c r="A175" t="str">
        <f>IF('[1]Processer - data'!A175&lt;&gt;"",'[1]Processer - data'!A175,"")</f>
        <v>Kartoffelmark</v>
      </c>
      <c r="B175" t="str">
        <f>IF('[1]Processer - data'!B175&lt;&gt;"",'[1]Processer - data'!B175,"")</f>
        <v>Konventionel</v>
      </c>
      <c r="C175" t="str">
        <f>IF('[1]Processer - data'!C175&lt;&gt;"",'[1]Processer - data'!C175,"")</f>
        <v>OC12</v>
      </c>
      <c r="D175" t="str">
        <f>IF('[1]Processer - data'!D175&lt;&gt;"",'[1]Processer - data'!D175,"")</f>
        <v>Areal-kartofler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2" t="e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input'!$A$3:$A$230,$A$1)),IF(VLOOKUP($A175,[1]!Table1[#All],2,FALSE)="Resultat",SUMIF($F$1:$F174,$D175,H$1:H174)+SUMIF($F176:$F$490,$D175,H176:H$490),0))*'[1]Processer - data'!H175,"")*IF($C175&lt;&gt;"",IF($F175="Halm",Landbrug!C$16*Landbrug!C$17,IF(LEFT($D175,5)="Areal", IF($G175="Ton",Landbrug!C$18,1),1)),1)*IF($F175="Grøntsager",IF($A175="Grøntsager i drivhus",Landbrug!C$51,1-Landbrug!C$51),1)</f>
        <v>#REF!</v>
      </c>
      <c r="I175" s="303" t="e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input'!$A$3:$A$230,$A$1)),IF(VLOOKUP($A175,[1]!Table1[#All],2,FALSE)="Resultat",SUMIF($F$1:$F174,$D175,I$1:I174)+SUMIF($F176:$F$490,$D175,I176:I$490),0))*'[1]Processer - data'!I175,"")*IF($C175&lt;&gt;"",IF($F175="Halm",Landbrug!D$16*Landbrug!D$17,IF(LEFT($D175,5)="Areal", IF($G175="Ton",Landbrug!D$18,1),1)),1)*IF($F175="Grøntsager",IF($A175="Grøntsager i drivhus",Landbrug!D$51,1-Landbrug!D$51),1)</f>
        <v>#REF!</v>
      </c>
      <c r="J175" s="304" t="e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input'!$A$3:$A$230,$A$1)),IF(VLOOKUP($A175,[1]!Table1[#All],2,FALSE)="Resultat",SUMIF($F$1:$F174,$D175,J$1:J174)+SUMIF($F176:$F$490,$D175,J176:J$490),0))*'[1]Processer - data'!J175,"")*IF($C175&lt;&gt;"",IF($F175="Halm",Landbrug!E$16*Landbrug!E$17,IF(LEFT($D175,5)="Areal", IF($G175="Ton",Landbrug!E$18,1),1)),1)*IF($F175="Grøntsager",IF($A175="Grøntsager i drivhus",Landbrug!E$51,1-Landbrug!E$51),1)</f>
        <v>#REF!</v>
      </c>
    </row>
    <row r="176" spans="1:10" x14ac:dyDescent="0.25">
      <c r="A176" t="str">
        <f>IF('[1]Processer - data'!A176&lt;&gt;"",'[1]Processer - data'!A176,"")</f>
        <v>Kartoffelmark</v>
      </c>
      <c r="B176" t="str">
        <f>IF('[1]Processer - data'!B176&lt;&gt;"",'[1]Processer - data'!B176,"")</f>
        <v>Konventionel</v>
      </c>
      <c r="C176" t="str">
        <f>IF('[1]Processer - data'!C176&lt;&gt;"",'[1]Processer - data'!C176,"")</f>
        <v>OC12</v>
      </c>
      <c r="D176" t="str">
        <f>IF('[1]Processer - data'!D176&lt;&gt;"",'[1]Processer - data'!D176,"")</f>
        <v>Areal-kartofler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2" t="e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input'!$A$3:$A$230,$A$1)),IF(VLOOKUP($A176,[1]!Table1[#All],2,FALSE)="Resultat",SUMIF($F$1:$F175,$D176,H$1:H175)+SUMIF($F177:$F$490,$D176,H177:H$490),0))*'[1]Processer - data'!H176,"")*IF($C176&lt;&gt;"",IF($F176="Halm",Landbrug!C$16*Landbrug!C$17,IF(LEFT($D176,5)="Areal", IF($G176="Ton",Landbrug!C$18,1),1)),1)*IF($F176="Grøntsager",IF($A176="Grøntsager i drivhus",Landbrug!C$51,1-Landbrug!C$51),1)</f>
        <v>#REF!</v>
      </c>
      <c r="I176" s="303" t="e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input'!$A$3:$A$230,$A$1)),IF(VLOOKUP($A176,[1]!Table1[#All],2,FALSE)="Resultat",SUMIF($F$1:$F175,$D176,I$1:I175)+SUMIF($F177:$F$490,$D176,I177:I$490),0))*'[1]Processer - data'!I176,"")*IF($C176&lt;&gt;"",IF($F176="Halm",Landbrug!D$16*Landbrug!D$17,IF(LEFT($D176,5)="Areal", IF($G176="Ton",Landbrug!D$18,1),1)),1)*IF($F176="Grøntsager",IF($A176="Grøntsager i drivhus",Landbrug!D$51,1-Landbrug!D$51),1)</f>
        <v>#REF!</v>
      </c>
      <c r="J176" s="304" t="e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input'!$A$3:$A$230,$A$1)),IF(VLOOKUP($A176,[1]!Table1[#All],2,FALSE)="Resultat",SUMIF($F$1:$F175,$D176,J$1:J175)+SUMIF($F177:$F$490,$D176,J177:J$490),0))*'[1]Processer - data'!J176,"")*IF($C176&lt;&gt;"",IF($F176="Halm",Landbrug!E$16*Landbrug!E$17,IF(LEFT($D176,5)="Areal", IF($G176="Ton",Landbrug!E$18,1),1)),1)*IF($F176="Grøntsager",IF($A176="Grøntsager i drivhus",Landbrug!E$51,1-Landbrug!E$51),1)</f>
        <v>#REF!</v>
      </c>
    </row>
    <row r="177" spans="1:10" x14ac:dyDescent="0.25">
      <c r="A177" t="str">
        <f>IF('[1]Processer - data'!A177&lt;&gt;"",'[1]Processer - data'!A177,"")</f>
        <v>Kartoffelmark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JB1-10</v>
      </c>
      <c r="D177" t="str">
        <f>IF('[1]Processer - data'!D177&lt;&gt;"",'[1]Processer - data'!D177,"")</f>
        <v>Areal-kartofler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Kartofler</v>
      </c>
      <c r="G177" t="str">
        <f>IF('[1]Processer - data'!G177&lt;&gt;"",'[1]Processer - data'!G177,"")</f>
        <v>Ton</v>
      </c>
      <c r="H177" s="302" t="e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input'!$A$3:$A$230,$A$1)),IF(VLOOKUP($A177,[1]!Table1[#All],2,FALSE)="Resultat",SUMIF($F$1:$F176,$D177,H$1:H176)+SUMIF($F178:$F$490,$D177,H178:H$490),0))*'[1]Processer - data'!H177,"")*IF($C177&lt;&gt;"",IF($F177="Halm",Landbrug!C$16*Landbrug!C$17,IF(LEFT($D177,5)="Areal", IF($G177="Ton",Landbrug!C$18,1),1)),1)*IF($F177="Grøntsager",IF($A177="Grøntsager i drivhus",Landbrug!C$51,1-Landbrug!C$51),1)</f>
        <v>#REF!</v>
      </c>
      <c r="I177" s="303" t="e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input'!$A$3:$A$230,$A$1)),IF(VLOOKUP($A177,[1]!Table1[#All],2,FALSE)="Resultat",SUMIF($F$1:$F176,$D177,I$1:I176)+SUMIF($F178:$F$490,$D177,I178:I$490),0))*'[1]Processer - data'!I177,"")*IF($C177&lt;&gt;"",IF($F177="Halm",Landbrug!D$16*Landbrug!D$17,IF(LEFT($D177,5)="Areal", IF($G177="Ton",Landbrug!D$18,1),1)),1)*IF($F177="Grøntsager",IF($A177="Grøntsager i drivhus",Landbrug!D$51,1-Landbrug!D$51),1)</f>
        <v>#REF!</v>
      </c>
      <c r="J177" s="304" t="e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input'!$A$3:$A$230,$A$1)),IF(VLOOKUP($A177,[1]!Table1[#All],2,FALSE)="Resultat",SUMIF($F$1:$F176,$D177,J$1:J176)+SUMIF($F178:$F$490,$D177,J178:J$490),0))*'[1]Processer - data'!J177,"")*IF($C177&lt;&gt;"",IF($F177="Halm",Landbrug!E$16*Landbrug!E$17,IF(LEFT($D177,5)="Areal", IF($G177="Ton",Landbrug!E$18,1),1)),1)*IF($F177="Grøntsager",IF($A177="Grøntsager i drivhus",Landbrug!E$51,1-Landbrug!E$51),1)</f>
        <v>#REF!</v>
      </c>
    </row>
    <row r="178" spans="1:10" x14ac:dyDescent="0.25">
      <c r="A178" t="str">
        <f>IF('[1]Processer - data'!A178&lt;&gt;"",'[1]Processer - data'!A178,"")</f>
        <v>Kartoffelmark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JB1-10</v>
      </c>
      <c r="D178" t="str">
        <f>IF('[1]Processer - data'!D178&lt;&gt;"",'[1]Processer - data'!D178,"")</f>
        <v>Areal-kartofler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2" t="e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input'!$A$3:$A$230,$A$1)),IF(VLOOKUP($A178,[1]!Table1[#All],2,FALSE)="Resultat",SUMIF($F$1:$F177,$D178,H$1:H177)+SUMIF($F179:$F$490,$D178,H179:H$490),0))*'[1]Processer - data'!H178,"")*IF($C178&lt;&gt;"",IF($F178="Halm",Landbrug!C$16*Landbrug!C$17,IF(LEFT($D178,5)="Areal", IF($G178="Ton",Landbrug!C$18,1),1)),1)*IF($F178="Grøntsager",IF($A178="Grøntsager i drivhus",Landbrug!C$51,1-Landbrug!C$51),1)</f>
        <v>#REF!</v>
      </c>
      <c r="I178" s="303" t="e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input'!$A$3:$A$230,$A$1)),IF(VLOOKUP($A178,[1]!Table1[#All],2,FALSE)="Resultat",SUMIF($F$1:$F177,$D178,I$1:I177)+SUMIF($F179:$F$490,$D178,I179:I$490),0))*'[1]Processer - data'!I178,"")*IF($C178&lt;&gt;"",IF($F178="Halm",Landbrug!D$16*Landbrug!D$17,IF(LEFT($D178,5)="Areal", IF($G178="Ton",Landbrug!D$18,1),1)),1)*IF($F178="Grøntsager",IF($A178="Grøntsager i drivhus",Landbrug!D$51,1-Landbrug!D$51),1)</f>
        <v>#REF!</v>
      </c>
      <c r="J178" s="304" t="e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input'!$A$3:$A$230,$A$1)),IF(VLOOKUP($A178,[1]!Table1[#All],2,FALSE)="Resultat",SUMIF($F$1:$F177,$D178,J$1:J177)+SUMIF($F179:$F$490,$D178,J179:J$490),0))*'[1]Processer - data'!J178,"")*IF($C178&lt;&gt;"",IF($F178="Halm",Landbrug!E$16*Landbrug!E$17,IF(LEFT($D178,5)="Areal", IF($G178="Ton",Landbrug!E$18,1),1)),1)*IF($F178="Grøntsager",IF($A178="Grøntsager i drivhus",Landbrug!E$51,1-Landbrug!E$51),1)</f>
        <v>#REF!</v>
      </c>
    </row>
    <row r="179" spans="1:10" x14ac:dyDescent="0.25">
      <c r="A179" t="str">
        <f>IF('[1]Processer - data'!A179&lt;&gt;"",'[1]Processer - data'!A179,"")</f>
        <v>Kartoffelmark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JB1-10</v>
      </c>
      <c r="D179" t="str">
        <f>IF('[1]Processer - data'!D179&lt;&gt;"",'[1]Processer - data'!D179,"")</f>
        <v>Areal-kartofler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2" t="e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input'!$A$3:$A$230,$A$1)),IF(VLOOKUP($A179,[1]!Table1[#All],2,FALSE)="Resultat",SUMIF($F$1:$F178,$D179,H$1:H178)+SUMIF($F180:$F$490,$D179,H180:H$490),0))*'[1]Processer - data'!H179,"")*IF($C179&lt;&gt;"",IF($F179="Halm",Landbrug!C$16*Landbrug!C$17,IF(LEFT($D179,5)="Areal", IF($G179="Ton",Landbrug!C$18,1),1)),1)*IF($F179="Grøntsager",IF($A179="Grøntsager i drivhus",Landbrug!C$51,1-Landbrug!C$51),1)</f>
        <v>#REF!</v>
      </c>
      <c r="I179" s="303" t="e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input'!$A$3:$A$230,$A$1)),IF(VLOOKUP($A179,[1]!Table1[#All],2,FALSE)="Resultat",SUMIF($F$1:$F178,$D179,I$1:I178)+SUMIF($F180:$F$490,$D179,I180:I$490),0))*'[1]Processer - data'!I179,"")*IF($C179&lt;&gt;"",IF($F179="Halm",Landbrug!D$16*Landbrug!D$17,IF(LEFT($D179,5)="Areal", IF($G179="Ton",Landbrug!D$18,1),1)),1)*IF($F179="Grøntsager",IF($A179="Grøntsager i drivhus",Landbrug!D$51,1-Landbrug!D$51),1)</f>
        <v>#REF!</v>
      </c>
      <c r="J179" s="304" t="e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input'!$A$3:$A$230,$A$1)),IF(VLOOKUP($A179,[1]!Table1[#All],2,FALSE)="Resultat",SUMIF($F$1:$F178,$D179,J$1:J178)+SUMIF($F180:$F$490,$D179,J180:J$490),0))*'[1]Processer - data'!J179,"")*IF($C179&lt;&gt;"",IF($F179="Halm",Landbrug!E$16*Landbrug!E$17,IF(LEFT($D179,5)="Areal", IF($G179="Ton",Landbrug!E$18,1),1)),1)*IF($F179="Grøntsager",IF($A179="Grøntsager i drivhus",Landbrug!E$51,1-Landbrug!E$51),1)</f>
        <v>#REF!</v>
      </c>
    </row>
    <row r="180" spans="1:10" x14ac:dyDescent="0.25">
      <c r="A180" t="str">
        <f>IF('[1]Processer - data'!A180&lt;&gt;"",'[1]Processer - data'!A180,"")</f>
        <v>Kartoffelmark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OC6</v>
      </c>
      <c r="D180" t="str">
        <f>IF('[1]Processer - data'!D180&lt;&gt;"",'[1]Processer - data'!D180,"")</f>
        <v>Areal-kartofler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Kartofler</v>
      </c>
      <c r="G180" t="str">
        <f>IF('[1]Processer - data'!G180&lt;&gt;"",'[1]Processer - data'!G180,"")</f>
        <v>Ton</v>
      </c>
      <c r="H180" s="302" t="e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input'!$A$3:$A$230,$A$1)),IF(VLOOKUP($A180,[1]!Table1[#All],2,FALSE)="Resultat",SUMIF($F$1:$F179,$D180,H$1:H179)+SUMIF($F181:$F$490,$D180,H181:H$490),0))*'[1]Processer - data'!H180,"")*IF($C180&lt;&gt;"",IF($F180="Halm",Landbrug!C$16*Landbrug!C$17,IF(LEFT($D180,5)="Areal", IF($G180="Ton",Landbrug!C$18,1),1)),1)*IF($F180="Grøntsager",IF($A180="Grøntsager i drivhus",Landbrug!C$51,1-Landbrug!C$51),1)</f>
        <v>#REF!</v>
      </c>
      <c r="I180" s="303" t="e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input'!$A$3:$A$230,$A$1)),IF(VLOOKUP($A180,[1]!Table1[#All],2,FALSE)="Resultat",SUMIF($F$1:$F179,$D180,I$1:I179)+SUMIF($F181:$F$490,$D180,I181:I$490),0))*'[1]Processer - data'!I180,"")*IF($C180&lt;&gt;"",IF($F180="Halm",Landbrug!D$16*Landbrug!D$17,IF(LEFT($D180,5)="Areal", IF($G180="Ton",Landbrug!D$18,1),1)),1)*IF($F180="Grøntsager",IF($A180="Grøntsager i drivhus",Landbrug!D$51,1-Landbrug!D$51),1)</f>
        <v>#REF!</v>
      </c>
      <c r="J180" s="304" t="e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input'!$A$3:$A$230,$A$1)),IF(VLOOKUP($A180,[1]!Table1[#All],2,FALSE)="Resultat",SUMIF($F$1:$F179,$D180,J$1:J179)+SUMIF($F181:$F$490,$D180,J181:J$490),0))*'[1]Processer - data'!J180,"")*IF($C180&lt;&gt;"",IF($F180="Halm",Landbrug!E$16*Landbrug!E$17,IF(LEFT($D180,5)="Areal", IF($G180="Ton",Landbrug!E$18,1),1)),1)*IF($F180="Grøntsager",IF($A180="Grøntsager i drivhus",Landbrug!E$51,1-Landbrug!E$51),1)</f>
        <v>#REF!</v>
      </c>
    </row>
    <row r="181" spans="1:10" x14ac:dyDescent="0.25">
      <c r="A181" t="str">
        <f>IF('[1]Processer - data'!A181&lt;&gt;"",'[1]Processer - data'!A181,"")</f>
        <v>Kartoffelmark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OC6</v>
      </c>
      <c r="D181" t="str">
        <f>IF('[1]Processer - data'!D181&lt;&gt;"",'[1]Processer - data'!D181,"")</f>
        <v>Areal-kartofler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2" t="e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input'!$A$3:$A$230,$A$1)),IF(VLOOKUP($A181,[1]!Table1[#All],2,FALSE)="Resultat",SUMIF($F$1:$F180,$D181,H$1:H180)+SUMIF($F182:$F$490,$D181,H182:H$490),0))*'[1]Processer - data'!H181,"")*IF($C181&lt;&gt;"",IF($F181="Halm",Landbrug!C$16*Landbrug!C$17,IF(LEFT($D181,5)="Areal", IF($G181="Ton",Landbrug!C$18,1),1)),1)*IF($F181="Grøntsager",IF($A181="Grøntsager i drivhus",Landbrug!C$51,1-Landbrug!C$51),1)</f>
        <v>#REF!</v>
      </c>
      <c r="I181" s="303" t="e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input'!$A$3:$A$230,$A$1)),IF(VLOOKUP($A181,[1]!Table1[#All],2,FALSE)="Resultat",SUMIF($F$1:$F180,$D181,I$1:I180)+SUMIF($F182:$F$490,$D181,I182:I$490),0))*'[1]Processer - data'!I181,"")*IF($C181&lt;&gt;"",IF($F181="Halm",Landbrug!D$16*Landbrug!D$17,IF(LEFT($D181,5)="Areal", IF($G181="Ton",Landbrug!D$18,1),1)),1)*IF($F181="Grøntsager",IF($A181="Grøntsager i drivhus",Landbrug!D$51,1-Landbrug!D$51),1)</f>
        <v>#REF!</v>
      </c>
      <c r="J181" s="304" t="e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input'!$A$3:$A$230,$A$1)),IF(VLOOKUP($A181,[1]!Table1[#All],2,FALSE)="Resultat",SUMIF($F$1:$F180,$D181,J$1:J180)+SUMIF($F182:$F$490,$D181,J182:J$490),0))*'[1]Processer - data'!J181,"")*IF($C181&lt;&gt;"",IF($F181="Halm",Landbrug!E$16*Landbrug!E$17,IF(LEFT($D181,5)="Areal", IF($G181="Ton",Landbrug!E$18,1),1)),1)*IF($F181="Grøntsager",IF($A181="Grøntsager i drivhus",Landbrug!E$51,1-Landbrug!E$51),1)</f>
        <v>#REF!</v>
      </c>
    </row>
    <row r="182" spans="1:10" x14ac:dyDescent="0.25">
      <c r="A182" t="str">
        <f>IF('[1]Processer - data'!A182&lt;&gt;"",'[1]Processer - data'!A182,"")</f>
        <v>Kartoffelmark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OC6</v>
      </c>
      <c r="D182" t="str">
        <f>IF('[1]Processer - data'!D182&lt;&gt;"",'[1]Processer - data'!D182,"")</f>
        <v>Areal-kartofler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2" t="e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input'!$A$3:$A$230,$A$1)),IF(VLOOKUP($A182,[1]!Table1[#All],2,FALSE)="Resultat",SUMIF($F$1:$F181,$D182,H$1:H181)+SUMIF($F183:$F$490,$D182,H183:H$490),0))*'[1]Processer - data'!H182,"")*IF($C182&lt;&gt;"",IF($F182="Halm",Landbrug!C$16*Landbrug!C$17,IF(LEFT($D182,5)="Areal", IF($G182="Ton",Landbrug!C$18,1),1)),1)*IF($F182="Grøntsager",IF($A182="Grøntsager i drivhus",Landbrug!C$51,1-Landbrug!C$51),1)</f>
        <v>#REF!</v>
      </c>
      <c r="I182" s="303" t="e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input'!$A$3:$A$230,$A$1)),IF(VLOOKUP($A182,[1]!Table1[#All],2,FALSE)="Resultat",SUMIF($F$1:$F181,$D182,I$1:I181)+SUMIF($F183:$F$490,$D182,I183:I$490),0))*'[1]Processer - data'!I182,"")*IF($C182&lt;&gt;"",IF($F182="Halm",Landbrug!D$16*Landbrug!D$17,IF(LEFT($D182,5)="Areal", IF($G182="Ton",Landbrug!D$18,1),1)),1)*IF($F182="Grøntsager",IF($A182="Grøntsager i drivhus",Landbrug!D$51,1-Landbrug!D$51),1)</f>
        <v>#REF!</v>
      </c>
      <c r="J182" s="304" t="e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input'!$A$3:$A$230,$A$1)),IF(VLOOKUP($A182,[1]!Table1[#All],2,FALSE)="Resultat",SUMIF($F$1:$F181,$D182,J$1:J181)+SUMIF($F183:$F$490,$D182,J183:J$490),0))*'[1]Processer - data'!J182,"")*IF($C182&lt;&gt;"",IF($F182="Halm",Landbrug!E$16*Landbrug!E$17,IF(LEFT($D182,5)="Areal", IF($G182="Ton",Landbrug!E$18,1),1)),1)*IF($F182="Grøntsager",IF($A182="Grøntsager i drivhus",Landbrug!E$51,1-Landbrug!E$51),1)</f>
        <v>#REF!</v>
      </c>
    </row>
    <row r="183" spans="1:10" x14ac:dyDescent="0.25">
      <c r="A183" t="str">
        <f>IF('[1]Processer - data'!A183&lt;&gt;"",'[1]Processer - data'!A183,"")</f>
        <v>Kartoffelmark</v>
      </c>
      <c r="B183" t="str">
        <f>IF('[1]Processer - data'!B183&lt;&gt;"",'[1]Processer - data'!B183,"")</f>
        <v>Økologisk</v>
      </c>
      <c r="C183" t="str">
        <f>IF('[1]Processer - data'!C183&lt;&gt;"",'[1]Processer - data'!C183,"")</f>
        <v>OC12</v>
      </c>
      <c r="D183" t="str">
        <f>IF('[1]Processer - data'!D183&lt;&gt;"",'[1]Processer - data'!D183,"")</f>
        <v>Areal-kartofler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Kartofler</v>
      </c>
      <c r="G183" t="str">
        <f>IF('[1]Processer - data'!G183&lt;&gt;"",'[1]Processer - data'!G183,"")</f>
        <v>Ton</v>
      </c>
      <c r="H183" s="302" t="e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input'!$A$3:$A$230,$A$1)),IF(VLOOKUP($A183,[1]!Table1[#All],2,FALSE)="Resultat",SUMIF($F$1:$F182,$D183,H$1:H182)+SUMIF($F184:$F$490,$D183,H184:H$490),0))*'[1]Processer - data'!H183,"")*IF($C183&lt;&gt;"",IF($F183="Halm",Landbrug!C$16*Landbrug!C$17,IF(LEFT($D183,5)="Areal", IF($G183="Ton",Landbrug!C$18,1),1)),1)*IF($F183="Grøntsager",IF($A183="Grøntsager i drivhus",Landbrug!C$51,1-Landbrug!C$51),1)</f>
        <v>#REF!</v>
      </c>
      <c r="I183" s="303" t="e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input'!$A$3:$A$230,$A$1)),IF(VLOOKUP($A183,[1]!Table1[#All],2,FALSE)="Resultat",SUMIF($F$1:$F182,$D183,I$1:I182)+SUMIF($F184:$F$490,$D183,I184:I$490),0))*'[1]Processer - data'!I183,"")*IF($C183&lt;&gt;"",IF($F183="Halm",Landbrug!D$16*Landbrug!D$17,IF(LEFT($D183,5)="Areal", IF($G183="Ton",Landbrug!D$18,1),1)),1)*IF($F183="Grøntsager",IF($A183="Grøntsager i drivhus",Landbrug!D$51,1-Landbrug!D$51),1)</f>
        <v>#REF!</v>
      </c>
      <c r="J183" s="304" t="e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input'!$A$3:$A$230,$A$1)),IF(VLOOKUP($A183,[1]!Table1[#All],2,FALSE)="Resultat",SUMIF($F$1:$F182,$D183,J$1:J182)+SUMIF($F184:$F$490,$D183,J184:J$490),0))*'[1]Processer - data'!J183,"")*IF($C183&lt;&gt;"",IF($F183="Halm",Landbrug!E$16*Landbrug!E$17,IF(LEFT($D183,5)="Areal", IF($G183="Ton",Landbrug!E$18,1),1)),1)*IF($F183="Grøntsager",IF($A183="Grøntsager i drivhus",Landbrug!E$51,1-Landbrug!E$51),1)</f>
        <v>#REF!</v>
      </c>
    </row>
    <row r="184" spans="1:10" x14ac:dyDescent="0.25">
      <c r="A184" t="str">
        <f>IF('[1]Processer - data'!A184&lt;&gt;"",'[1]Processer - data'!A184,"")</f>
        <v>Kartoffelmark</v>
      </c>
      <c r="B184" t="str">
        <f>IF('[1]Processer - data'!B184&lt;&gt;"",'[1]Processer - data'!B184,"")</f>
        <v>Økologisk</v>
      </c>
      <c r="C184" t="str">
        <f>IF('[1]Processer - data'!C184&lt;&gt;"",'[1]Processer - data'!C184,"")</f>
        <v>OC12</v>
      </c>
      <c r="D184" t="str">
        <f>IF('[1]Processer - data'!D184&lt;&gt;"",'[1]Processer - data'!D184,"")</f>
        <v>Areal-kartofler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2" t="e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input'!$A$3:$A$230,$A$1)),IF(VLOOKUP($A184,[1]!Table1[#All],2,FALSE)="Resultat",SUMIF($F$1:$F183,$D184,H$1:H183)+SUMIF($F185:$F$490,$D184,H185:H$490),0))*'[1]Processer - data'!H184,"")*IF($C184&lt;&gt;"",IF($F184="Halm",Landbrug!C$16*Landbrug!C$17,IF(LEFT($D184,5)="Areal", IF($G184="Ton",Landbrug!C$18,1),1)),1)*IF($F184="Grøntsager",IF($A184="Grøntsager i drivhus",Landbrug!C$51,1-Landbrug!C$51),1)</f>
        <v>#REF!</v>
      </c>
      <c r="I184" s="303" t="e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input'!$A$3:$A$230,$A$1)),IF(VLOOKUP($A184,[1]!Table1[#All],2,FALSE)="Resultat",SUMIF($F$1:$F183,$D184,I$1:I183)+SUMIF($F185:$F$490,$D184,I185:I$490),0))*'[1]Processer - data'!I184,"")*IF($C184&lt;&gt;"",IF($F184="Halm",Landbrug!D$16*Landbrug!D$17,IF(LEFT($D184,5)="Areal", IF($G184="Ton",Landbrug!D$18,1),1)),1)*IF($F184="Grøntsager",IF($A184="Grøntsager i drivhus",Landbrug!D$51,1-Landbrug!D$51),1)</f>
        <v>#REF!</v>
      </c>
      <c r="J184" s="304" t="e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input'!$A$3:$A$230,$A$1)),IF(VLOOKUP($A184,[1]!Table1[#All],2,FALSE)="Resultat",SUMIF($F$1:$F183,$D184,J$1:J183)+SUMIF($F185:$F$490,$D184,J185:J$490),0))*'[1]Processer - data'!J184,"")*IF($C184&lt;&gt;"",IF($F184="Halm",Landbrug!E$16*Landbrug!E$17,IF(LEFT($D184,5)="Areal", IF($G184="Ton",Landbrug!E$18,1),1)),1)*IF($F184="Grøntsager",IF($A184="Grøntsager i drivhus",Landbrug!E$51,1-Landbrug!E$51),1)</f>
        <v>#REF!</v>
      </c>
    </row>
    <row r="185" spans="1:10" x14ac:dyDescent="0.25">
      <c r="A185" t="str">
        <f>IF('[1]Processer - data'!A185&lt;&gt;"",'[1]Processer - data'!A185,"")</f>
        <v>Kartoffelmark</v>
      </c>
      <c r="B185" t="str">
        <f>IF('[1]Processer - data'!B185&lt;&gt;"",'[1]Processer - data'!B185,"")</f>
        <v>Økologisk</v>
      </c>
      <c r="C185" t="str">
        <f>IF('[1]Processer - data'!C185&lt;&gt;"",'[1]Processer - data'!C185,"")</f>
        <v>OC12</v>
      </c>
      <c r="D185" t="str">
        <f>IF('[1]Processer - data'!D185&lt;&gt;"",'[1]Processer - data'!D185,"")</f>
        <v>Areal-kartofler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2" t="e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input'!$A$3:$A$230,$A$1)),IF(VLOOKUP($A185,[1]!Table1[#All],2,FALSE)="Resultat",SUMIF($F$1:$F184,$D185,H$1:H184)+SUMIF($F186:$F$490,$D185,H186:H$490),0))*'[1]Processer - data'!H185,"")*IF($C185&lt;&gt;"",IF($F185="Halm",Landbrug!C$16*Landbrug!C$17,IF(LEFT($D185,5)="Areal", IF($G185="Ton",Landbrug!C$18,1),1)),1)*IF($F185="Grøntsager",IF($A185="Grøntsager i drivhus",Landbrug!C$51,1-Landbrug!C$51),1)</f>
        <v>#REF!</v>
      </c>
      <c r="I185" s="303" t="e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input'!$A$3:$A$230,$A$1)),IF(VLOOKUP($A185,[1]!Table1[#All],2,FALSE)="Resultat",SUMIF($F$1:$F184,$D185,I$1:I184)+SUMIF($F186:$F$490,$D185,I186:I$490),0))*'[1]Processer - data'!I185,"")*IF($C185&lt;&gt;"",IF($F185="Halm",Landbrug!D$16*Landbrug!D$17,IF(LEFT($D185,5)="Areal", IF($G185="Ton",Landbrug!D$18,1),1)),1)*IF($F185="Grøntsager",IF($A185="Grøntsager i drivhus",Landbrug!D$51,1-Landbrug!D$51),1)</f>
        <v>#REF!</v>
      </c>
      <c r="J185" s="304" t="e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input'!$A$3:$A$230,$A$1)),IF(VLOOKUP($A185,[1]!Table1[#All],2,FALSE)="Resultat",SUMIF($F$1:$F184,$D185,J$1:J184)+SUMIF($F186:$F$490,$D185,J186:J$490),0))*'[1]Processer - data'!J185,"")*IF($C185&lt;&gt;"",IF($F185="Halm",Landbrug!E$16*Landbrug!E$17,IF(LEFT($D185,5)="Areal", IF($G185="Ton",Landbrug!E$18,1),1)),1)*IF($F185="Grøntsager",IF($A185="Grøntsager i drivhus",Landbrug!E$51,1-Landbrug!E$51),1)</f>
        <v>#REF!</v>
      </c>
    </row>
    <row r="186" spans="1:10" x14ac:dyDescent="0.25">
      <c r="A186" t="str">
        <f>IF('[1]Processer - data'!A186&lt;&gt;"",'[1]Processer - data'!A186,"")</f>
        <v>Græsmark</v>
      </c>
      <c r="B186" t="str">
        <f>IF('[1]Processer - data'!B186&lt;&gt;"",'[1]Processer - data'!B186,"")</f>
        <v>Konventionel</v>
      </c>
      <c r="C186" t="str">
        <f>IF('[1]Processer - data'!C186&lt;&gt;"",'[1]Processer - data'!C186,"")</f>
        <v>JB1-10</v>
      </c>
      <c r="D186" t="str">
        <f>IF('[1]Processer - data'!D186&lt;&gt;"",'[1]Processer - data'!D186,"")</f>
        <v>Areal-græs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Græs</v>
      </c>
      <c r="G186" t="str">
        <f>IF('[1]Processer - data'!G186&lt;&gt;"",'[1]Processer - data'!G186,"")</f>
        <v>Ton</v>
      </c>
      <c r="H186" s="302" t="e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input'!$A$3:$A$230,$A$1)),IF(VLOOKUP($A186,[1]!Table1[#All],2,FALSE)="Resultat",SUMIF($F$1:$F185,$D186,H$1:H185)+SUMIF($F187:$F$490,$D186,H187:H$490),0))*'[1]Processer - data'!H186,"")*IF($C186&lt;&gt;"",IF($F186="Halm",Landbrug!C$16*Landbrug!C$17,IF(LEFT($D186,5)="Areal", IF($G186="Ton",Landbrug!C$18,1),1)),1)*IF($F186="Grøntsager",IF($A186="Grøntsager i drivhus",Landbrug!C$51,1-Landbrug!C$51),1)</f>
        <v>#REF!</v>
      </c>
      <c r="I186" s="303" t="e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input'!$A$3:$A$230,$A$1)),IF(VLOOKUP($A186,[1]!Table1[#All],2,FALSE)="Resultat",SUMIF($F$1:$F185,$D186,I$1:I185)+SUMIF($F187:$F$490,$D186,I187:I$490),0))*'[1]Processer - data'!I186,"")*IF($C186&lt;&gt;"",IF($F186="Halm",Landbrug!D$16*Landbrug!D$17,IF(LEFT($D186,5)="Areal", IF($G186="Ton",Landbrug!D$18,1),1)),1)*IF($F186="Grøntsager",IF($A186="Grøntsager i drivhus",Landbrug!D$51,1-Landbrug!D$51),1)</f>
        <v>#REF!</v>
      </c>
      <c r="J186" s="304" t="e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input'!$A$3:$A$230,$A$1)),IF(VLOOKUP($A186,[1]!Table1[#All],2,FALSE)="Resultat",SUMIF($F$1:$F185,$D186,J$1:J185)+SUMIF($F187:$F$490,$D186,J187:J$490),0))*'[1]Processer - data'!J186,"")*IF($C186&lt;&gt;"",IF($F186="Halm",Landbrug!E$16*Landbrug!E$17,IF(LEFT($D186,5)="Areal", IF($G186="Ton",Landbrug!E$18,1),1)),1)*IF($F186="Grøntsager",IF($A186="Grøntsager i drivhus",Landbrug!E$51,1-Landbrug!E$51),1)</f>
        <v>#REF!</v>
      </c>
    </row>
    <row r="187" spans="1:10" x14ac:dyDescent="0.25">
      <c r="A187" t="str">
        <f>IF('[1]Processer - data'!A187&lt;&gt;"",'[1]Processer - data'!A187,"")</f>
        <v>Græsmark</v>
      </c>
      <c r="B187" t="str">
        <f>IF('[1]Processer - data'!B187&lt;&gt;"",'[1]Processer - data'!B187,"")</f>
        <v>Konventionel</v>
      </c>
      <c r="C187" t="str">
        <f>IF('[1]Processer - data'!C187&lt;&gt;"",'[1]Processer - data'!C187,"")</f>
        <v>JB1-10</v>
      </c>
      <c r="D187" t="str">
        <f>IF('[1]Processer - data'!D187&lt;&gt;"",'[1]Processer - data'!D187,"")</f>
        <v>Areal-græs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2" t="e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input'!$A$3:$A$230,$A$1)),IF(VLOOKUP($A187,[1]!Table1[#All],2,FALSE)="Resultat",SUMIF($F$1:$F186,$D187,H$1:H186)+SUMIF($F188:$F$490,$D187,H188:H$490),0))*'[1]Processer - data'!H187,"")*IF($C187&lt;&gt;"",IF($F187="Halm",Landbrug!C$16*Landbrug!C$17,IF(LEFT($D187,5)="Areal", IF($G187="Ton",Landbrug!C$18,1),1)),1)*IF($F187="Grøntsager",IF($A187="Grøntsager i drivhus",Landbrug!C$51,1-Landbrug!C$51),1)</f>
        <v>#REF!</v>
      </c>
      <c r="I187" s="303" t="e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input'!$A$3:$A$230,$A$1)),IF(VLOOKUP($A187,[1]!Table1[#All],2,FALSE)="Resultat",SUMIF($F$1:$F186,$D187,I$1:I186)+SUMIF($F188:$F$490,$D187,I188:I$490),0))*'[1]Processer - data'!I187,"")*IF($C187&lt;&gt;"",IF($F187="Halm",Landbrug!D$16*Landbrug!D$17,IF(LEFT($D187,5)="Areal", IF($G187="Ton",Landbrug!D$18,1),1)),1)*IF($F187="Grøntsager",IF($A187="Grøntsager i drivhus",Landbrug!D$51,1-Landbrug!D$51),1)</f>
        <v>#REF!</v>
      </c>
      <c r="J187" s="304" t="e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input'!$A$3:$A$230,$A$1)),IF(VLOOKUP($A187,[1]!Table1[#All],2,FALSE)="Resultat",SUMIF($F$1:$F186,$D187,J$1:J186)+SUMIF($F188:$F$490,$D187,J188:J$490),0))*'[1]Processer - data'!J187,"")*IF($C187&lt;&gt;"",IF($F187="Halm",Landbrug!E$16*Landbrug!E$17,IF(LEFT($D187,5)="Areal", IF($G187="Ton",Landbrug!E$18,1),1)),1)*IF($F187="Grøntsager",IF($A187="Grøntsager i drivhus",Landbrug!E$51,1-Landbrug!E$51),1)</f>
        <v>#REF!</v>
      </c>
    </row>
    <row r="188" spans="1:10" x14ac:dyDescent="0.25">
      <c r="A188" t="str">
        <f>IF('[1]Processer - data'!A188&lt;&gt;"",'[1]Processer - data'!A188,"")</f>
        <v>Græsmark</v>
      </c>
      <c r="B188" t="str">
        <f>IF('[1]Processer - data'!B188&lt;&gt;"",'[1]Processer - data'!B188,"")</f>
        <v>Konventionel</v>
      </c>
      <c r="C188" t="str">
        <f>IF('[1]Processer - data'!C188&lt;&gt;"",'[1]Processer - data'!C188,"")</f>
        <v>JB1-10</v>
      </c>
      <c r="D188" t="str">
        <f>IF('[1]Processer - data'!D188&lt;&gt;"",'[1]Processer - data'!D188,"")</f>
        <v>Areal-græs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2" t="e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input'!$A$3:$A$230,$A$1)),IF(VLOOKUP($A188,[1]!Table1[#All],2,FALSE)="Resultat",SUMIF($F$1:$F187,$D188,H$1:H187)+SUMIF($F189:$F$490,$D188,H189:H$490),0))*'[1]Processer - data'!H188,"")*IF($C188&lt;&gt;"",IF($F188="Halm",Landbrug!C$16*Landbrug!C$17,IF(LEFT($D188,5)="Areal", IF($G188="Ton",Landbrug!C$18,1),1)),1)*IF($F188="Grøntsager",IF($A188="Grøntsager i drivhus",Landbrug!C$51,1-Landbrug!C$51),1)</f>
        <v>#REF!</v>
      </c>
      <c r="I188" s="303" t="e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input'!$A$3:$A$230,$A$1)),IF(VLOOKUP($A188,[1]!Table1[#All],2,FALSE)="Resultat",SUMIF($F$1:$F187,$D188,I$1:I187)+SUMIF($F189:$F$490,$D188,I189:I$490),0))*'[1]Processer - data'!I188,"")*IF($C188&lt;&gt;"",IF($F188="Halm",Landbrug!D$16*Landbrug!D$17,IF(LEFT($D188,5)="Areal", IF($G188="Ton",Landbrug!D$18,1),1)),1)*IF($F188="Grøntsager",IF($A188="Grøntsager i drivhus",Landbrug!D$51,1-Landbrug!D$51),1)</f>
        <v>#REF!</v>
      </c>
      <c r="J188" s="304" t="e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input'!$A$3:$A$230,$A$1)),IF(VLOOKUP($A188,[1]!Table1[#All],2,FALSE)="Resultat",SUMIF($F$1:$F187,$D188,J$1:J187)+SUMIF($F189:$F$490,$D188,J189:J$490),0))*'[1]Processer - data'!J188,"")*IF($C188&lt;&gt;"",IF($F188="Halm",Landbrug!E$16*Landbrug!E$17,IF(LEFT($D188,5)="Areal", IF($G188="Ton",Landbrug!E$18,1),1)),1)*IF($F188="Grøntsager",IF($A188="Grøntsager i drivhus",Landbrug!E$51,1-Landbrug!E$51),1)</f>
        <v>#REF!</v>
      </c>
    </row>
    <row r="189" spans="1:10" x14ac:dyDescent="0.25">
      <c r="A189" t="str">
        <f>IF('[1]Processer - data'!A189&lt;&gt;"",'[1]Processer - data'!A189,"")</f>
        <v>Græsmark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OC6</v>
      </c>
      <c r="D189" t="str">
        <f>IF('[1]Processer - data'!D189&lt;&gt;"",'[1]Processer - data'!D189,"")</f>
        <v>Areal-græs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Græs</v>
      </c>
      <c r="G189" t="str">
        <f>IF('[1]Processer - data'!G189&lt;&gt;"",'[1]Processer - data'!G189,"")</f>
        <v>Ton</v>
      </c>
      <c r="H189" s="302" t="e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input'!$A$3:$A$230,$A$1)),IF(VLOOKUP($A189,[1]!Table1[#All],2,FALSE)="Resultat",SUMIF($F$1:$F188,$D189,H$1:H188)+SUMIF($F190:$F$490,$D189,H190:H$490),0))*'[1]Processer - data'!H189,"")*IF($C189&lt;&gt;"",IF($F189="Halm",Landbrug!C$16*Landbrug!C$17,IF(LEFT($D189,5)="Areal", IF($G189="Ton",Landbrug!C$18,1),1)),1)*IF($F189="Grøntsager",IF($A189="Grøntsager i drivhus",Landbrug!C$51,1-Landbrug!C$51),1)</f>
        <v>#REF!</v>
      </c>
      <c r="I189" s="303" t="e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input'!$A$3:$A$230,$A$1)),IF(VLOOKUP($A189,[1]!Table1[#All],2,FALSE)="Resultat",SUMIF($F$1:$F188,$D189,I$1:I188)+SUMIF($F190:$F$490,$D189,I190:I$490),0))*'[1]Processer - data'!I189,"")*IF($C189&lt;&gt;"",IF($F189="Halm",Landbrug!D$16*Landbrug!D$17,IF(LEFT($D189,5)="Areal", IF($G189="Ton",Landbrug!D$18,1),1)),1)*IF($F189="Grøntsager",IF($A189="Grøntsager i drivhus",Landbrug!D$51,1-Landbrug!D$51),1)</f>
        <v>#REF!</v>
      </c>
      <c r="J189" s="304" t="e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input'!$A$3:$A$230,$A$1)),IF(VLOOKUP($A189,[1]!Table1[#All],2,FALSE)="Resultat",SUMIF($F$1:$F188,$D189,J$1:J188)+SUMIF($F190:$F$490,$D189,J190:J$490),0))*'[1]Processer - data'!J189,"")*IF($C189&lt;&gt;"",IF($F189="Halm",Landbrug!E$16*Landbrug!E$17,IF(LEFT($D189,5)="Areal", IF($G189="Ton",Landbrug!E$18,1),1)),1)*IF($F189="Grøntsager",IF($A189="Grøntsager i drivhus",Landbrug!E$51,1-Landbrug!E$51),1)</f>
        <v>#REF!</v>
      </c>
    </row>
    <row r="190" spans="1:10" x14ac:dyDescent="0.25">
      <c r="A190" t="str">
        <f>IF('[1]Processer - data'!A190&lt;&gt;"",'[1]Processer - data'!A190,"")</f>
        <v>Græsmark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OC6</v>
      </c>
      <c r="D190" t="str">
        <f>IF('[1]Processer - data'!D190&lt;&gt;"",'[1]Processer - data'!D190,"")</f>
        <v>Areal-græs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2" t="e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input'!$A$3:$A$230,$A$1)),IF(VLOOKUP($A190,[1]!Table1[#All],2,FALSE)="Resultat",SUMIF($F$1:$F189,$D190,H$1:H189)+SUMIF($F191:$F$490,$D190,H191:H$490),0))*'[1]Processer - data'!H190,"")*IF($C190&lt;&gt;"",IF($F190="Halm",Landbrug!C$16*Landbrug!C$17,IF(LEFT($D190,5)="Areal", IF($G190="Ton",Landbrug!C$18,1),1)),1)*IF($F190="Grøntsager",IF($A190="Grøntsager i drivhus",Landbrug!C$51,1-Landbrug!C$51),1)</f>
        <v>#REF!</v>
      </c>
      <c r="I190" s="303" t="e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input'!$A$3:$A$230,$A$1)),IF(VLOOKUP($A190,[1]!Table1[#All],2,FALSE)="Resultat",SUMIF($F$1:$F189,$D190,I$1:I189)+SUMIF($F191:$F$490,$D190,I191:I$490),0))*'[1]Processer - data'!I190,"")*IF($C190&lt;&gt;"",IF($F190="Halm",Landbrug!D$16*Landbrug!D$17,IF(LEFT($D190,5)="Areal", IF($G190="Ton",Landbrug!D$18,1),1)),1)*IF($F190="Grøntsager",IF($A190="Grøntsager i drivhus",Landbrug!D$51,1-Landbrug!D$51),1)</f>
        <v>#REF!</v>
      </c>
      <c r="J190" s="304" t="e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input'!$A$3:$A$230,$A$1)),IF(VLOOKUP($A190,[1]!Table1[#All],2,FALSE)="Resultat",SUMIF($F$1:$F189,$D190,J$1:J189)+SUMIF($F191:$F$490,$D190,J191:J$490),0))*'[1]Processer - data'!J190,"")*IF($C190&lt;&gt;"",IF($F190="Halm",Landbrug!E$16*Landbrug!E$17,IF(LEFT($D190,5)="Areal", IF($G190="Ton",Landbrug!E$18,1),1)),1)*IF($F190="Grøntsager",IF($A190="Grøntsager i drivhus",Landbrug!E$51,1-Landbrug!E$51),1)</f>
        <v>#REF!</v>
      </c>
    </row>
    <row r="191" spans="1:10" x14ac:dyDescent="0.25">
      <c r="A191" t="str">
        <f>IF('[1]Processer - data'!A191&lt;&gt;"",'[1]Processer - data'!A191,"")</f>
        <v>Græsmark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OC6</v>
      </c>
      <c r="D191" t="str">
        <f>IF('[1]Processer - data'!D191&lt;&gt;"",'[1]Processer - data'!D191,"")</f>
        <v>Areal-græs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2" t="e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input'!$A$3:$A$230,$A$1)),IF(VLOOKUP($A191,[1]!Table1[#All],2,FALSE)="Resultat",SUMIF($F$1:$F190,$D191,H$1:H190)+SUMIF($F192:$F$490,$D191,H192:H$490),0))*'[1]Processer - data'!H191,"")*IF($C191&lt;&gt;"",IF($F191="Halm",Landbrug!C$16*Landbrug!C$17,IF(LEFT($D191,5)="Areal", IF($G191="Ton",Landbrug!C$18,1),1)),1)*IF($F191="Grøntsager",IF($A191="Grøntsager i drivhus",Landbrug!C$51,1-Landbrug!C$51),1)</f>
        <v>#REF!</v>
      </c>
      <c r="I191" s="303" t="e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input'!$A$3:$A$230,$A$1)),IF(VLOOKUP($A191,[1]!Table1[#All],2,FALSE)="Resultat",SUMIF($F$1:$F190,$D191,I$1:I190)+SUMIF($F192:$F$490,$D191,I192:I$490),0))*'[1]Processer - data'!I191,"")*IF($C191&lt;&gt;"",IF($F191="Halm",Landbrug!D$16*Landbrug!D$17,IF(LEFT($D191,5)="Areal", IF($G191="Ton",Landbrug!D$18,1),1)),1)*IF($F191="Grøntsager",IF($A191="Grøntsager i drivhus",Landbrug!D$51,1-Landbrug!D$51),1)</f>
        <v>#REF!</v>
      </c>
      <c r="J191" s="304" t="e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input'!$A$3:$A$230,$A$1)),IF(VLOOKUP($A191,[1]!Table1[#All],2,FALSE)="Resultat",SUMIF($F$1:$F190,$D191,J$1:J190)+SUMIF($F192:$F$490,$D191,J192:J$490),0))*'[1]Processer - data'!J191,"")*IF($C191&lt;&gt;"",IF($F191="Halm",Landbrug!E$16*Landbrug!E$17,IF(LEFT($D191,5)="Areal", IF($G191="Ton",Landbrug!E$18,1),1)),1)*IF($F191="Grøntsager",IF($A191="Grøntsager i drivhus",Landbrug!E$51,1-Landbrug!E$51),1)</f>
        <v>#REF!</v>
      </c>
    </row>
    <row r="192" spans="1:10" x14ac:dyDescent="0.25">
      <c r="A192" t="str">
        <f>IF('[1]Processer - data'!A192&lt;&gt;"",'[1]Processer - data'!A192,"")</f>
        <v>Græsmark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OC12</v>
      </c>
      <c r="D192" t="str">
        <f>IF('[1]Processer - data'!D192&lt;&gt;"",'[1]Processer - data'!D192,"")</f>
        <v>Areal-græs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Græs</v>
      </c>
      <c r="G192" t="str">
        <f>IF('[1]Processer - data'!G192&lt;&gt;"",'[1]Processer - data'!G192,"")</f>
        <v>Ton</v>
      </c>
      <c r="H192" s="302" t="e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input'!$A$3:$A$230,$A$1)),IF(VLOOKUP($A192,[1]!Table1[#All],2,FALSE)="Resultat",SUMIF($F$1:$F191,$D192,H$1:H191)+SUMIF($F193:$F$490,$D192,H193:H$490),0))*'[1]Processer - data'!H192,"")*IF($C192&lt;&gt;"",IF($F192="Halm",Landbrug!C$16*Landbrug!C$17,IF(LEFT($D192,5)="Areal", IF($G192="Ton",Landbrug!C$18,1),1)),1)*IF($F192="Grøntsager",IF($A192="Grøntsager i drivhus",Landbrug!C$51,1-Landbrug!C$51),1)</f>
        <v>#REF!</v>
      </c>
      <c r="I192" s="303" t="e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input'!$A$3:$A$230,$A$1)),IF(VLOOKUP($A192,[1]!Table1[#All],2,FALSE)="Resultat",SUMIF($F$1:$F191,$D192,I$1:I191)+SUMIF($F193:$F$490,$D192,I193:I$490),0))*'[1]Processer - data'!I192,"")*IF($C192&lt;&gt;"",IF($F192="Halm",Landbrug!D$16*Landbrug!D$17,IF(LEFT($D192,5)="Areal", IF($G192="Ton",Landbrug!D$18,1),1)),1)*IF($F192="Grøntsager",IF($A192="Grøntsager i drivhus",Landbrug!D$51,1-Landbrug!D$51),1)</f>
        <v>#REF!</v>
      </c>
      <c r="J192" s="304" t="e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input'!$A$3:$A$230,$A$1)),IF(VLOOKUP($A192,[1]!Table1[#All],2,FALSE)="Resultat",SUMIF($F$1:$F191,$D192,J$1:J191)+SUMIF($F193:$F$490,$D192,J193:J$490),0))*'[1]Processer - data'!J192,"")*IF($C192&lt;&gt;"",IF($F192="Halm",Landbrug!E$16*Landbrug!E$17,IF(LEFT($D192,5)="Areal", IF($G192="Ton",Landbrug!E$18,1),1)),1)*IF($F192="Grøntsager",IF($A192="Grøntsager i drivhus",Landbrug!E$51,1-Landbrug!E$51),1)</f>
        <v>#REF!</v>
      </c>
    </row>
    <row r="193" spans="1:10" x14ac:dyDescent="0.25">
      <c r="A193" t="str">
        <f>IF('[1]Processer - data'!A193&lt;&gt;"",'[1]Processer - data'!A193,"")</f>
        <v>Græsmark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OC12</v>
      </c>
      <c r="D193" t="str">
        <f>IF('[1]Processer - data'!D193&lt;&gt;"",'[1]Processer - data'!D193,"")</f>
        <v>Areal-græs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2" t="e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input'!$A$3:$A$230,$A$1)),IF(VLOOKUP($A193,[1]!Table1[#All],2,FALSE)="Resultat",SUMIF($F$1:$F192,$D193,H$1:H192)+SUMIF($F194:$F$490,$D193,H194:H$490),0))*'[1]Processer - data'!H193,"")*IF($C193&lt;&gt;"",IF($F193="Halm",Landbrug!C$16*Landbrug!C$17,IF(LEFT($D193,5)="Areal", IF($G193="Ton",Landbrug!C$18,1),1)),1)*IF($F193="Grøntsager",IF($A193="Grøntsager i drivhus",Landbrug!C$51,1-Landbrug!C$51),1)</f>
        <v>#REF!</v>
      </c>
      <c r="I193" s="303" t="e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input'!$A$3:$A$230,$A$1)),IF(VLOOKUP($A193,[1]!Table1[#All],2,FALSE)="Resultat",SUMIF($F$1:$F192,$D193,I$1:I192)+SUMIF($F194:$F$490,$D193,I194:I$490),0))*'[1]Processer - data'!I193,"")*IF($C193&lt;&gt;"",IF($F193="Halm",Landbrug!D$16*Landbrug!D$17,IF(LEFT($D193,5)="Areal", IF($G193="Ton",Landbrug!D$18,1),1)),1)*IF($F193="Grøntsager",IF($A193="Grøntsager i drivhus",Landbrug!D$51,1-Landbrug!D$51),1)</f>
        <v>#REF!</v>
      </c>
      <c r="J193" s="304" t="e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input'!$A$3:$A$230,$A$1)),IF(VLOOKUP($A193,[1]!Table1[#All],2,FALSE)="Resultat",SUMIF($F$1:$F192,$D193,J$1:J192)+SUMIF($F194:$F$490,$D193,J194:J$490),0))*'[1]Processer - data'!J193,"")*IF($C193&lt;&gt;"",IF($F193="Halm",Landbrug!E$16*Landbrug!E$17,IF(LEFT($D193,5)="Areal", IF($G193="Ton",Landbrug!E$18,1),1)),1)*IF($F193="Grøntsager",IF($A193="Grøntsager i drivhus",Landbrug!E$51,1-Landbrug!E$51),1)</f>
        <v>#REF!</v>
      </c>
    </row>
    <row r="194" spans="1:10" x14ac:dyDescent="0.25">
      <c r="A194" t="str">
        <f>IF('[1]Processer - data'!A194&lt;&gt;"",'[1]Processer - data'!A194,"")</f>
        <v>Græsmark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OC12</v>
      </c>
      <c r="D194" t="str">
        <f>IF('[1]Processer - data'!D194&lt;&gt;"",'[1]Processer - data'!D194,"")</f>
        <v>Areal-græs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2" t="e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input'!$A$3:$A$230,$A$1)),IF(VLOOKUP($A194,[1]!Table1[#All],2,FALSE)="Resultat",SUMIF($F$1:$F193,$D194,H$1:H193)+SUMIF($F195:$F$490,$D194,H195:H$490),0))*'[1]Processer - data'!H194,"")*IF($C194&lt;&gt;"",IF($F194="Halm",Landbrug!C$16*Landbrug!C$17,IF(LEFT($D194,5)="Areal", IF($G194="Ton",Landbrug!C$18,1),1)),1)*IF($F194="Grøntsager",IF($A194="Grøntsager i drivhus",Landbrug!C$51,1-Landbrug!C$51),1)</f>
        <v>#REF!</v>
      </c>
      <c r="I194" s="303" t="e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input'!$A$3:$A$230,$A$1)),IF(VLOOKUP($A194,[1]!Table1[#All],2,FALSE)="Resultat",SUMIF($F$1:$F193,$D194,I$1:I193)+SUMIF($F195:$F$490,$D194,I195:I$490),0))*'[1]Processer - data'!I194,"")*IF($C194&lt;&gt;"",IF($F194="Halm",Landbrug!D$16*Landbrug!D$17,IF(LEFT($D194,5)="Areal", IF($G194="Ton",Landbrug!D$18,1),1)),1)*IF($F194="Grøntsager",IF($A194="Grøntsager i drivhus",Landbrug!D$51,1-Landbrug!D$51),1)</f>
        <v>#REF!</v>
      </c>
      <c r="J194" s="304" t="e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input'!$A$3:$A$230,$A$1)),IF(VLOOKUP($A194,[1]!Table1[#All],2,FALSE)="Resultat",SUMIF($F$1:$F193,$D194,J$1:J193)+SUMIF($F195:$F$490,$D194,J195:J$490),0))*'[1]Processer - data'!J194,"")*IF($C194&lt;&gt;"",IF($F194="Halm",Landbrug!E$16*Landbrug!E$17,IF(LEFT($D194,5)="Areal", IF($G194="Ton",Landbrug!E$18,1),1)),1)*IF($F194="Grøntsager",IF($A194="Grøntsager i drivhus",Landbrug!E$51,1-Landbrug!E$51),1)</f>
        <v>#REF!</v>
      </c>
    </row>
    <row r="195" spans="1:10" x14ac:dyDescent="0.25">
      <c r="A195" t="str">
        <f>IF('[1]Processer - data'!A195&lt;&gt;"",'[1]Processer - data'!A195,"")</f>
        <v>Græsmark</v>
      </c>
      <c r="B195" t="str">
        <f>IF('[1]Processer - data'!B195&lt;&gt;"",'[1]Processer - data'!B195,"")</f>
        <v>Økologisk</v>
      </c>
      <c r="C195" t="str">
        <f>IF('[1]Processer - data'!C195&lt;&gt;"",'[1]Processer - data'!C195,"")</f>
        <v>JB1-10</v>
      </c>
      <c r="D195" t="str">
        <f>IF('[1]Processer - data'!D195&lt;&gt;"",'[1]Processer - data'!D195,"")</f>
        <v>Areal-græs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Græs</v>
      </c>
      <c r="G195" t="str">
        <f>IF('[1]Processer - data'!G195&lt;&gt;"",'[1]Processer - data'!G195,"")</f>
        <v>Ton</v>
      </c>
      <c r="H195" s="302" t="e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input'!$A$3:$A$230,$A$1)),IF(VLOOKUP($A195,[1]!Table1[#All],2,FALSE)="Resultat",SUMIF($F$1:$F194,$D195,H$1:H194)+SUMIF($F196:$F$490,$D195,H196:H$490),0))*'[1]Processer - data'!H195,"")*IF($C195&lt;&gt;"",IF($F195="Halm",Landbrug!C$16*Landbrug!C$17,IF(LEFT($D195,5)="Areal", IF($G195="Ton",Landbrug!C$18,1),1)),1)*IF($F195="Grøntsager",IF($A195="Grøntsager i drivhus",Landbrug!C$51,1-Landbrug!C$51),1)</f>
        <v>#REF!</v>
      </c>
      <c r="I195" s="303" t="e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input'!$A$3:$A$230,$A$1)),IF(VLOOKUP($A195,[1]!Table1[#All],2,FALSE)="Resultat",SUMIF($F$1:$F194,$D195,I$1:I194)+SUMIF($F196:$F$490,$D195,I196:I$490),0))*'[1]Processer - data'!I195,"")*IF($C195&lt;&gt;"",IF($F195="Halm",Landbrug!D$16*Landbrug!D$17,IF(LEFT($D195,5)="Areal", IF($G195="Ton",Landbrug!D$18,1),1)),1)*IF($F195="Grøntsager",IF($A195="Grøntsager i drivhus",Landbrug!D$51,1-Landbrug!D$51),1)</f>
        <v>#REF!</v>
      </c>
      <c r="J195" s="304" t="e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input'!$A$3:$A$230,$A$1)),IF(VLOOKUP($A195,[1]!Table1[#All],2,FALSE)="Resultat",SUMIF($F$1:$F194,$D195,J$1:J194)+SUMIF($F196:$F$490,$D195,J196:J$490),0))*'[1]Processer - data'!J195,"")*IF($C195&lt;&gt;"",IF($F195="Halm",Landbrug!E$16*Landbrug!E$17,IF(LEFT($D195,5)="Areal", IF($G195="Ton",Landbrug!E$18,1),1)),1)*IF($F195="Grøntsager",IF($A195="Grøntsager i drivhus",Landbrug!E$51,1-Landbrug!E$51),1)</f>
        <v>#REF!</v>
      </c>
    </row>
    <row r="196" spans="1:10" x14ac:dyDescent="0.25">
      <c r="A196" t="str">
        <f>IF('[1]Processer - data'!A196&lt;&gt;"",'[1]Processer - data'!A196,"")</f>
        <v>Græsmark</v>
      </c>
      <c r="B196" t="str">
        <f>IF('[1]Processer - data'!B196&lt;&gt;"",'[1]Processer - data'!B196,"")</f>
        <v>Økologisk</v>
      </c>
      <c r="C196" t="str">
        <f>IF('[1]Processer - data'!C196&lt;&gt;"",'[1]Processer - data'!C196,"")</f>
        <v>JB1-10</v>
      </c>
      <c r="D196" t="str">
        <f>IF('[1]Processer - data'!D196&lt;&gt;"",'[1]Processer - data'!D196,"")</f>
        <v>Areal-græs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2" t="e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input'!$A$3:$A$230,$A$1)),IF(VLOOKUP($A196,[1]!Table1[#All],2,FALSE)="Resultat",SUMIF($F$1:$F195,$D196,H$1:H195)+SUMIF($F197:$F$490,$D196,H197:H$490),0))*'[1]Processer - data'!H196,"")*IF($C196&lt;&gt;"",IF($F196="Halm",Landbrug!C$16*Landbrug!C$17,IF(LEFT($D196,5)="Areal", IF($G196="Ton",Landbrug!C$18,1),1)),1)*IF($F196="Grøntsager",IF($A196="Grøntsager i drivhus",Landbrug!C$51,1-Landbrug!C$51),1)</f>
        <v>#REF!</v>
      </c>
      <c r="I196" s="303" t="e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input'!$A$3:$A$230,$A$1)),IF(VLOOKUP($A196,[1]!Table1[#All],2,FALSE)="Resultat",SUMIF($F$1:$F195,$D196,I$1:I195)+SUMIF($F197:$F$490,$D196,I197:I$490),0))*'[1]Processer - data'!I196,"")*IF($C196&lt;&gt;"",IF($F196="Halm",Landbrug!D$16*Landbrug!D$17,IF(LEFT($D196,5)="Areal", IF($G196="Ton",Landbrug!D$18,1),1)),1)*IF($F196="Grøntsager",IF($A196="Grøntsager i drivhus",Landbrug!D$51,1-Landbrug!D$51),1)</f>
        <v>#REF!</v>
      </c>
      <c r="J196" s="304" t="e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input'!$A$3:$A$230,$A$1)),IF(VLOOKUP($A196,[1]!Table1[#All],2,FALSE)="Resultat",SUMIF($F$1:$F195,$D196,J$1:J195)+SUMIF($F197:$F$490,$D196,J197:J$490),0))*'[1]Processer - data'!J196,"")*IF($C196&lt;&gt;"",IF($F196="Halm",Landbrug!E$16*Landbrug!E$17,IF(LEFT($D196,5)="Areal", IF($G196="Ton",Landbrug!E$18,1),1)),1)*IF($F196="Grøntsager",IF($A196="Grøntsager i drivhus",Landbrug!E$51,1-Landbrug!E$51),1)</f>
        <v>#REF!</v>
      </c>
    </row>
    <row r="197" spans="1:10" x14ac:dyDescent="0.25">
      <c r="A197" t="str">
        <f>IF('[1]Processer - data'!A197&lt;&gt;"",'[1]Processer - data'!A197,"")</f>
        <v>Græsmark</v>
      </c>
      <c r="B197" t="str">
        <f>IF('[1]Processer - data'!B197&lt;&gt;"",'[1]Processer - data'!B197,"")</f>
        <v>Økologisk</v>
      </c>
      <c r="C197" t="str">
        <f>IF('[1]Processer - data'!C197&lt;&gt;"",'[1]Processer - data'!C197,"")</f>
        <v>JB1-10</v>
      </c>
      <c r="D197" t="str">
        <f>IF('[1]Processer - data'!D197&lt;&gt;"",'[1]Processer - data'!D197,"")</f>
        <v>Areal-græs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2" t="e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input'!$A$3:$A$230,$A$1)),IF(VLOOKUP($A197,[1]!Table1[#All],2,FALSE)="Resultat",SUMIF($F$1:$F196,$D197,H$1:H196)+SUMIF($F198:$F$490,$D197,H198:H$490),0))*'[1]Processer - data'!H197,"")*IF($C197&lt;&gt;"",IF($F197="Halm",Landbrug!C$16*Landbrug!C$17,IF(LEFT($D197,5)="Areal", IF($G197="Ton",Landbrug!C$18,1),1)),1)*IF($F197="Grøntsager",IF($A197="Grøntsager i drivhus",Landbrug!C$51,1-Landbrug!C$51),1)</f>
        <v>#REF!</v>
      </c>
      <c r="I197" s="303" t="e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input'!$A$3:$A$230,$A$1)),IF(VLOOKUP($A197,[1]!Table1[#All],2,FALSE)="Resultat",SUMIF($F$1:$F196,$D197,I$1:I196)+SUMIF($F198:$F$490,$D197,I198:I$490),0))*'[1]Processer - data'!I197,"")*IF($C197&lt;&gt;"",IF($F197="Halm",Landbrug!D$16*Landbrug!D$17,IF(LEFT($D197,5)="Areal", IF($G197="Ton",Landbrug!D$18,1),1)),1)*IF($F197="Grøntsager",IF($A197="Grøntsager i drivhus",Landbrug!D$51,1-Landbrug!D$51),1)</f>
        <v>#REF!</v>
      </c>
      <c r="J197" s="304" t="e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input'!$A$3:$A$230,$A$1)),IF(VLOOKUP($A197,[1]!Table1[#All],2,FALSE)="Resultat",SUMIF($F$1:$F196,$D197,J$1:J196)+SUMIF($F198:$F$490,$D197,J198:J$490),0))*'[1]Processer - data'!J197,"")*IF($C197&lt;&gt;"",IF($F197="Halm",Landbrug!E$16*Landbrug!E$17,IF(LEFT($D197,5)="Areal", IF($G197="Ton",Landbrug!E$18,1),1)),1)*IF($F197="Grøntsager",IF($A197="Grøntsager i drivhus",Landbrug!E$51,1-Landbrug!E$51),1)</f>
        <v>#REF!</v>
      </c>
    </row>
    <row r="198" spans="1:10" x14ac:dyDescent="0.25">
      <c r="A198" t="str">
        <f>IF('[1]Processer - data'!A198&lt;&gt;"",'[1]Processer - data'!A198,"")</f>
        <v>Græsmark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OC6</v>
      </c>
      <c r="D198" t="str">
        <f>IF('[1]Processer - data'!D198&lt;&gt;"",'[1]Processer - data'!D198,"")</f>
        <v>Areal-græs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Græs</v>
      </c>
      <c r="G198" t="str">
        <f>IF('[1]Processer - data'!G198&lt;&gt;"",'[1]Processer - data'!G198,"")</f>
        <v>Ton</v>
      </c>
      <c r="H198" s="302" t="e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input'!$A$3:$A$230,$A$1)),IF(VLOOKUP($A198,[1]!Table1[#All],2,FALSE)="Resultat",SUMIF($F$1:$F197,$D198,H$1:H197)+SUMIF($F199:$F$490,$D198,H199:H$490),0))*'[1]Processer - data'!H198,"")*IF($C198&lt;&gt;"",IF($F198="Halm",Landbrug!C$16*Landbrug!C$17,IF(LEFT($D198,5)="Areal", IF($G198="Ton",Landbrug!C$18,1),1)),1)*IF($F198="Grøntsager",IF($A198="Grøntsager i drivhus",Landbrug!C$51,1-Landbrug!C$51),1)</f>
        <v>#REF!</v>
      </c>
      <c r="I198" s="303" t="e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input'!$A$3:$A$230,$A$1)),IF(VLOOKUP($A198,[1]!Table1[#All],2,FALSE)="Resultat",SUMIF($F$1:$F197,$D198,I$1:I197)+SUMIF($F199:$F$490,$D198,I199:I$490),0))*'[1]Processer - data'!I198,"")*IF($C198&lt;&gt;"",IF($F198="Halm",Landbrug!D$16*Landbrug!D$17,IF(LEFT($D198,5)="Areal", IF($G198="Ton",Landbrug!D$18,1),1)),1)*IF($F198="Grøntsager",IF($A198="Grøntsager i drivhus",Landbrug!D$51,1-Landbrug!D$51),1)</f>
        <v>#REF!</v>
      </c>
      <c r="J198" s="304" t="e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input'!$A$3:$A$230,$A$1)),IF(VLOOKUP($A198,[1]!Table1[#All],2,FALSE)="Resultat",SUMIF($F$1:$F197,$D198,J$1:J197)+SUMIF($F199:$F$490,$D198,J199:J$490),0))*'[1]Processer - data'!J198,"")*IF($C198&lt;&gt;"",IF($F198="Halm",Landbrug!E$16*Landbrug!E$17,IF(LEFT($D198,5)="Areal", IF($G198="Ton",Landbrug!E$18,1),1)),1)*IF($F198="Grøntsager",IF($A198="Grøntsager i drivhus",Landbrug!E$51,1-Landbrug!E$51),1)</f>
        <v>#REF!</v>
      </c>
    </row>
    <row r="199" spans="1:10" x14ac:dyDescent="0.25">
      <c r="A199" t="str">
        <f>IF('[1]Processer - data'!A199&lt;&gt;"",'[1]Processer - data'!A199,"")</f>
        <v>Græsmark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OC6</v>
      </c>
      <c r="D199" t="str">
        <f>IF('[1]Processer - data'!D199&lt;&gt;"",'[1]Processer - data'!D199,"")</f>
        <v>Areal-græs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2" t="e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input'!$A$3:$A$230,$A$1)),IF(VLOOKUP($A199,[1]!Table1[#All],2,FALSE)="Resultat",SUMIF($F$1:$F198,$D199,H$1:H198)+SUMIF($F200:$F$490,$D199,H200:H$490),0))*'[1]Processer - data'!H199,"")*IF($C199&lt;&gt;"",IF($F199="Halm",Landbrug!C$16*Landbrug!C$17,IF(LEFT($D199,5)="Areal", IF($G199="Ton",Landbrug!C$18,1),1)),1)*IF($F199="Grøntsager",IF($A199="Grøntsager i drivhus",Landbrug!C$51,1-Landbrug!C$51),1)</f>
        <v>#REF!</v>
      </c>
      <c r="I199" s="303" t="e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input'!$A$3:$A$230,$A$1)),IF(VLOOKUP($A199,[1]!Table1[#All],2,FALSE)="Resultat",SUMIF($F$1:$F198,$D199,I$1:I198)+SUMIF($F200:$F$490,$D199,I200:I$490),0))*'[1]Processer - data'!I199,"")*IF($C199&lt;&gt;"",IF($F199="Halm",Landbrug!D$16*Landbrug!D$17,IF(LEFT($D199,5)="Areal", IF($G199="Ton",Landbrug!D$18,1),1)),1)*IF($F199="Grøntsager",IF($A199="Grøntsager i drivhus",Landbrug!D$51,1-Landbrug!D$51),1)</f>
        <v>#REF!</v>
      </c>
      <c r="J199" s="304" t="e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input'!$A$3:$A$230,$A$1)),IF(VLOOKUP($A199,[1]!Table1[#All],2,FALSE)="Resultat",SUMIF($F$1:$F198,$D199,J$1:J198)+SUMIF($F200:$F$490,$D199,J200:J$490),0))*'[1]Processer - data'!J199,"")*IF($C199&lt;&gt;"",IF($F199="Halm",Landbrug!E$16*Landbrug!E$17,IF(LEFT($D199,5)="Areal", IF($G199="Ton",Landbrug!E$18,1),1)),1)*IF($F199="Grøntsager",IF($A199="Grøntsager i drivhus",Landbrug!E$51,1-Landbrug!E$51),1)</f>
        <v>#REF!</v>
      </c>
    </row>
    <row r="200" spans="1:10" x14ac:dyDescent="0.25">
      <c r="A200" t="str">
        <f>IF('[1]Processer - data'!A200&lt;&gt;"",'[1]Processer - data'!A200,"")</f>
        <v>Græsmark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OC6</v>
      </c>
      <c r="D200" t="str">
        <f>IF('[1]Processer - data'!D200&lt;&gt;"",'[1]Processer - data'!D200,"")</f>
        <v>Areal-græs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2" t="e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input'!$A$3:$A$230,$A$1)),IF(VLOOKUP($A200,[1]!Table1[#All],2,FALSE)="Resultat",SUMIF($F$1:$F199,$D200,H$1:H199)+SUMIF($F201:$F$490,$D200,H201:H$490),0))*'[1]Processer - data'!H200,"")*IF($C200&lt;&gt;"",IF($F200="Halm",Landbrug!C$16*Landbrug!C$17,IF(LEFT($D200,5)="Areal", IF($G200="Ton",Landbrug!C$18,1),1)),1)*IF($F200="Grøntsager",IF($A200="Grøntsager i drivhus",Landbrug!C$51,1-Landbrug!C$51),1)</f>
        <v>#REF!</v>
      </c>
      <c r="I200" s="303" t="e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input'!$A$3:$A$230,$A$1)),IF(VLOOKUP($A200,[1]!Table1[#All],2,FALSE)="Resultat",SUMIF($F$1:$F199,$D200,I$1:I199)+SUMIF($F201:$F$490,$D200,I201:I$490),0))*'[1]Processer - data'!I200,"")*IF($C200&lt;&gt;"",IF($F200="Halm",Landbrug!D$16*Landbrug!D$17,IF(LEFT($D200,5)="Areal", IF($G200="Ton",Landbrug!D$18,1),1)),1)*IF($F200="Grøntsager",IF($A200="Grøntsager i drivhus",Landbrug!D$51,1-Landbrug!D$51),1)</f>
        <v>#REF!</v>
      </c>
      <c r="J200" s="304" t="e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input'!$A$3:$A$230,$A$1)),IF(VLOOKUP($A200,[1]!Table1[#All],2,FALSE)="Resultat",SUMIF($F$1:$F199,$D200,J$1:J199)+SUMIF($F201:$F$490,$D200,J201:J$490),0))*'[1]Processer - data'!J200,"")*IF($C200&lt;&gt;"",IF($F200="Halm",Landbrug!E$16*Landbrug!E$17,IF(LEFT($D200,5)="Areal", IF($G200="Ton",Landbrug!E$18,1),1)),1)*IF($F200="Grøntsager",IF($A200="Grøntsager i drivhus",Landbrug!E$51,1-Landbrug!E$51),1)</f>
        <v>#REF!</v>
      </c>
    </row>
    <row r="201" spans="1:10" x14ac:dyDescent="0.25">
      <c r="A201" t="str">
        <f>IF('[1]Processer - data'!A201&lt;&gt;"",'[1]Processer - data'!A201,"")</f>
        <v>Græsmark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OC12</v>
      </c>
      <c r="D201" t="str">
        <f>IF('[1]Processer - data'!D201&lt;&gt;"",'[1]Processer - data'!D201,"")</f>
        <v>Areal-græs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Græs</v>
      </c>
      <c r="G201" t="str">
        <f>IF('[1]Processer - data'!G201&lt;&gt;"",'[1]Processer - data'!G201,"")</f>
        <v>Ton</v>
      </c>
      <c r="H201" s="302" t="e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input'!$A$3:$A$230,$A$1)),IF(VLOOKUP($A201,[1]!Table1[#All],2,FALSE)="Resultat",SUMIF($F$1:$F200,$D201,H$1:H200)+SUMIF($F202:$F$490,$D201,H202:H$490),0))*'[1]Processer - data'!H201,"")*IF($C201&lt;&gt;"",IF($F201="Halm",Landbrug!C$16*Landbrug!C$17,IF(LEFT($D201,5)="Areal", IF($G201="Ton",Landbrug!C$18,1),1)),1)*IF($F201="Grøntsager",IF($A201="Grøntsager i drivhus",Landbrug!C$51,1-Landbrug!C$51),1)</f>
        <v>#REF!</v>
      </c>
      <c r="I201" s="303" t="e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input'!$A$3:$A$230,$A$1)),IF(VLOOKUP($A201,[1]!Table1[#All],2,FALSE)="Resultat",SUMIF($F$1:$F200,$D201,I$1:I200)+SUMIF($F202:$F$490,$D201,I202:I$490),0))*'[1]Processer - data'!I201,"")*IF($C201&lt;&gt;"",IF($F201="Halm",Landbrug!D$16*Landbrug!D$17,IF(LEFT($D201,5)="Areal", IF($G201="Ton",Landbrug!D$18,1),1)),1)*IF($F201="Grøntsager",IF($A201="Grøntsager i drivhus",Landbrug!D$51,1-Landbrug!D$51),1)</f>
        <v>#REF!</v>
      </c>
      <c r="J201" s="304" t="e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input'!$A$3:$A$230,$A$1)),IF(VLOOKUP($A201,[1]!Table1[#All],2,FALSE)="Resultat",SUMIF($F$1:$F200,$D201,J$1:J200)+SUMIF($F202:$F$490,$D201,J202:J$490),0))*'[1]Processer - data'!J201,"")*IF($C201&lt;&gt;"",IF($F201="Halm",Landbrug!E$16*Landbrug!E$17,IF(LEFT($D201,5)="Areal", IF($G201="Ton",Landbrug!E$18,1),1)),1)*IF($F201="Grøntsager",IF($A201="Grøntsager i drivhus",Landbrug!E$51,1-Landbrug!E$51),1)</f>
        <v>#REF!</v>
      </c>
    </row>
    <row r="202" spans="1:10" x14ac:dyDescent="0.25">
      <c r="A202" t="str">
        <f>IF('[1]Processer - data'!A202&lt;&gt;"",'[1]Processer - data'!A202,"")</f>
        <v>Græsmark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OC12</v>
      </c>
      <c r="D202" t="str">
        <f>IF('[1]Processer - data'!D202&lt;&gt;"",'[1]Processer - data'!D202,"")</f>
        <v>Areal-græs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2" t="e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input'!$A$3:$A$230,$A$1)),IF(VLOOKUP($A202,[1]!Table1[#All],2,FALSE)="Resultat",SUMIF($F$1:$F201,$D202,H$1:H201)+SUMIF($F203:$F$490,$D202,H203:H$490),0))*'[1]Processer - data'!H202,"")*IF($C202&lt;&gt;"",IF($F202="Halm",Landbrug!C$16*Landbrug!C$17,IF(LEFT($D202,5)="Areal", IF($G202="Ton",Landbrug!C$18,1),1)),1)*IF($F202="Grøntsager",IF($A202="Grøntsager i drivhus",Landbrug!C$51,1-Landbrug!C$51),1)</f>
        <v>#REF!</v>
      </c>
      <c r="I202" s="303" t="e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input'!$A$3:$A$230,$A$1)),IF(VLOOKUP($A202,[1]!Table1[#All],2,FALSE)="Resultat",SUMIF($F$1:$F201,$D202,I$1:I201)+SUMIF($F203:$F$490,$D202,I203:I$490),0))*'[1]Processer - data'!I202,"")*IF($C202&lt;&gt;"",IF($F202="Halm",Landbrug!D$16*Landbrug!D$17,IF(LEFT($D202,5)="Areal", IF($G202="Ton",Landbrug!D$18,1),1)),1)*IF($F202="Grøntsager",IF($A202="Grøntsager i drivhus",Landbrug!D$51,1-Landbrug!D$51),1)</f>
        <v>#REF!</v>
      </c>
      <c r="J202" s="304" t="e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input'!$A$3:$A$230,$A$1)),IF(VLOOKUP($A202,[1]!Table1[#All],2,FALSE)="Resultat",SUMIF($F$1:$F201,$D202,J$1:J201)+SUMIF($F203:$F$490,$D202,J203:J$490),0))*'[1]Processer - data'!J202,"")*IF($C202&lt;&gt;"",IF($F202="Halm",Landbrug!E$16*Landbrug!E$17,IF(LEFT($D202,5)="Areal", IF($G202="Ton",Landbrug!E$18,1),1)),1)*IF($F202="Grøntsager",IF($A202="Grøntsager i drivhus",Landbrug!E$51,1-Landbrug!E$51),1)</f>
        <v>#REF!</v>
      </c>
    </row>
    <row r="203" spans="1:10" x14ac:dyDescent="0.25">
      <c r="A203" t="str">
        <f>IF('[1]Processer - data'!A203&lt;&gt;"",'[1]Processer - data'!A203,"")</f>
        <v>Græsmark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OC12</v>
      </c>
      <c r="D203" t="str">
        <f>IF('[1]Processer - data'!D203&lt;&gt;"",'[1]Processer - data'!D203,"")</f>
        <v>Areal-græs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2" t="e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input'!$A$3:$A$230,$A$1)),IF(VLOOKUP($A203,[1]!Table1[#All],2,FALSE)="Resultat",SUMIF($F$1:$F202,$D203,H$1:H202)+SUMIF($F204:$F$490,$D203,H204:H$490),0))*'[1]Processer - data'!H203,"")*IF($C203&lt;&gt;"",IF($F203="Halm",Landbrug!C$16*Landbrug!C$17,IF(LEFT($D203,5)="Areal", IF($G203="Ton",Landbrug!C$18,1),1)),1)*IF($F203="Grøntsager",IF($A203="Grøntsager i drivhus",Landbrug!C$51,1-Landbrug!C$51),1)</f>
        <v>#REF!</v>
      </c>
      <c r="I203" s="303" t="e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input'!$A$3:$A$230,$A$1)),IF(VLOOKUP($A203,[1]!Table1[#All],2,FALSE)="Resultat",SUMIF($F$1:$F202,$D203,I$1:I202)+SUMIF($F204:$F$490,$D203,I204:I$490),0))*'[1]Processer - data'!I203,"")*IF($C203&lt;&gt;"",IF($F203="Halm",Landbrug!D$16*Landbrug!D$17,IF(LEFT($D203,5)="Areal", IF($G203="Ton",Landbrug!D$18,1),1)),1)*IF($F203="Grøntsager",IF($A203="Grøntsager i drivhus",Landbrug!D$51,1-Landbrug!D$51),1)</f>
        <v>#REF!</v>
      </c>
      <c r="J203" s="304" t="e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input'!$A$3:$A$230,$A$1)),IF(VLOOKUP($A203,[1]!Table1[#All],2,FALSE)="Resultat",SUMIF($F$1:$F202,$D203,J$1:J202)+SUMIF($F204:$F$490,$D203,J204:J$490),0))*'[1]Processer - data'!J203,"")*IF($C203&lt;&gt;"",IF($F203="Halm",Landbrug!E$16*Landbrug!E$17,IF(LEFT($D203,5)="Areal", IF($G203="Ton",Landbrug!E$18,1),1)),1)*IF($F203="Grøntsager",IF($A203="Grøntsager i drivhus",Landbrug!E$51,1-Landbrug!E$51),1)</f>
        <v>#REF!</v>
      </c>
    </row>
    <row r="204" spans="1:10" x14ac:dyDescent="0.25">
      <c r="A204" t="str">
        <f>IF('[1]Processer - data'!A204&lt;&gt;"",'[1]Processer - data'!A204,"")</f>
        <v>Bælgsædsmark</v>
      </c>
      <c r="B204" t="str">
        <f>IF('[1]Processer - data'!B204&lt;&gt;"",'[1]Processer - data'!B204,"")</f>
        <v>Konventionel</v>
      </c>
      <c r="C204" t="str">
        <f>IF('[1]Processer - data'!C204&lt;&gt;"",'[1]Processer - data'!C204,"")</f>
        <v>JB1-10</v>
      </c>
      <c r="D204" t="str">
        <f>IF('[1]Processer - data'!D204&lt;&gt;"",'[1]Processer - data'!D204,"")</f>
        <v>Areal-bælgsæd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Bælgsæd</v>
      </c>
      <c r="G204" t="str">
        <f>IF('[1]Processer - data'!G204&lt;&gt;"",'[1]Processer - data'!G204,"")</f>
        <v>Ton</v>
      </c>
      <c r="H204" s="302" t="e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input'!$A$3:$A$230,$A$1)),IF(VLOOKUP($A204,[1]!Table1[#All],2,FALSE)="Resultat",SUMIF($F$1:$F203,$D204,H$1:H203)+SUMIF($F206:$F$490,$D204,H206:H$490),0))*'[1]Processer - data'!H204,"")*IF($C204&lt;&gt;"",IF($F204="Halm",Landbrug!C$16*Landbrug!C$17,IF(LEFT($D204,5)="Areal", IF($G204="Ton",Landbrug!C$18,1),1)),1)*IF($F204="Grøntsager",IF($A204="Grøntsager i drivhus",Landbrug!C$51,1-Landbrug!C$51),1)</f>
        <v>#REF!</v>
      </c>
      <c r="I204" s="303" t="e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input'!$A$3:$A$230,$A$1)),IF(VLOOKUP($A204,[1]!Table1[#All],2,FALSE)="Resultat",SUMIF($F$1:$F203,$D204,I$1:I203)+SUMIF($F206:$F$490,$D204,I206:I$490),0))*'[1]Processer - data'!I204,"")*IF($C204&lt;&gt;"",IF($F204="Halm",Landbrug!D$16*Landbrug!D$17,IF(LEFT($D204,5)="Areal", IF($G204="Ton",Landbrug!D$18,1),1)),1)*IF($F204="Grøntsager",IF($A204="Grøntsager i drivhus",Landbrug!D$51,1-Landbrug!D$51),1)</f>
        <v>#REF!</v>
      </c>
      <c r="J204" s="304" t="e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input'!$A$3:$A$230,$A$1)),IF(VLOOKUP($A204,[1]!Table1[#All],2,FALSE)="Resultat",SUMIF($F$1:$F203,$D204,J$1:J203)+SUMIF($F206:$F$490,$D204,J206:J$490),0))*'[1]Processer - data'!J204,"")*IF($C204&lt;&gt;"",IF($F204="Halm",Landbrug!E$16*Landbrug!E$17,IF(LEFT($D204,5)="Areal", IF($G204="Ton",Landbrug!E$18,1),1)),1)*IF($F204="Grøntsager",IF($A204="Grøntsager i drivhus",Landbrug!E$51,1-Landbrug!E$51),1)</f>
        <v>#REF!</v>
      </c>
    </row>
    <row r="205" spans="1:10" x14ac:dyDescent="0.25">
      <c r="A205" t="str">
        <f>IF('[1]Processer - data'!A205&lt;&gt;"",'[1]Processer - data'!A205,"")</f>
        <v>Bælgsædsmark</v>
      </c>
      <c r="B205" t="str">
        <f>IF('[1]Processer - data'!B205&lt;&gt;"",'[1]Processer - data'!B205,"")</f>
        <v>Konventionel</v>
      </c>
      <c r="C205" t="str">
        <f>IF('[1]Processer - data'!C205&lt;&gt;"",'[1]Processer - data'!C205,"")</f>
        <v>JB1-10</v>
      </c>
      <c r="D205" t="str">
        <f>IF('[1]Processer - data'!D205&lt;&gt;"",'[1]Processer - data'!D205,"")</f>
        <v>Areal-bælgsæd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Halm</v>
      </c>
      <c r="G205" t="str">
        <f>IF('[1]Processer - data'!G205&lt;&gt;"",'[1]Processer - data'!G205,"")</f>
        <v>Ton</v>
      </c>
      <c r="H205" s="302" t="e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input'!$A$3:$A$230,$A$1)),IF(VLOOKUP($A205,[1]!Table1[#All],2,FALSE)="Resultat",SUMIF($F$1:$F204,$D205,H$1:H204)+SUMIF($F207:$F$490,$D205,H207:H$490),0))*'[1]Processer - data'!H205,"")*IF($C205&lt;&gt;"",IF($F205="Halm",Landbrug!C$16*Landbrug!C$17,IF(LEFT($D205,5)="Areal", IF($G205="Ton",Landbrug!C$18,1),1)),1)*IF($F205="Grøntsager",IF($A205="Grøntsager i drivhus",Landbrug!C$51,1-Landbrug!C$51),1)</f>
        <v>#REF!</v>
      </c>
      <c r="I205" s="303" t="e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input'!$A$3:$A$230,$A$1)),IF(VLOOKUP($A205,[1]!Table1[#All],2,FALSE)="Resultat",SUMIF($F$1:$F204,$D205,I$1:I204)+SUMIF($F207:$F$490,$D205,I207:I$490),0))*'[1]Processer - data'!I205,"")*IF($C205&lt;&gt;"",IF($F205="Halm",Landbrug!D$16*Landbrug!D$17,IF(LEFT($D205,5)="Areal", IF($G205="Ton",Landbrug!D$18,1),1)),1)*IF($F205="Grøntsager",IF($A205="Grøntsager i drivhus",Landbrug!D$51,1-Landbrug!D$51),1)</f>
        <v>#REF!</v>
      </c>
      <c r="J205" s="304" t="e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input'!$A$3:$A$230,$A$1)),IF(VLOOKUP($A205,[1]!Table1[#All],2,FALSE)="Resultat",SUMIF($F$1:$F204,$D205,J$1:J204)+SUMIF($F207:$F$490,$D205,J207:J$490),0))*'[1]Processer - data'!J205,"")*IF($C205&lt;&gt;"",IF($F205="Halm",Landbrug!E$16*Landbrug!E$17,IF(LEFT($D205,5)="Areal", IF($G205="Ton",Landbrug!E$18,1),1)),1)*IF($F205="Grøntsager",IF($A205="Grøntsager i drivhus",Landbrug!E$51,1-Landbrug!E$51),1)</f>
        <v>#REF!</v>
      </c>
    </row>
    <row r="206" spans="1:10" x14ac:dyDescent="0.25">
      <c r="A206" t="str">
        <f>IF('[1]Processer - data'!A206&lt;&gt;"",'[1]Processer - data'!A206,"")</f>
        <v>Bælgsædsmark</v>
      </c>
      <c r="B206" t="str">
        <f>IF('[1]Processer - data'!B206&lt;&gt;"",'[1]Processer - data'!B206,"")</f>
        <v>Konventionel</v>
      </c>
      <c r="C206" t="str">
        <f>IF('[1]Processer - data'!C206&lt;&gt;"",'[1]Processer - data'!C206,"")</f>
        <v>JB1-10</v>
      </c>
      <c r="D206" t="str">
        <f>IF('[1]Processer - data'!D206&lt;&gt;"",'[1]Processer - data'!D206,"")</f>
        <v>Areal-bælgsæd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Gødning</v>
      </c>
      <c r="G206" t="str">
        <f>IF('[1]Processer - data'!G206&lt;&gt;"",'[1]Processer - data'!G206,"")</f>
        <v>kg N</v>
      </c>
      <c r="H206" s="302" t="e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input'!$A$3:$A$230,$A$1)),IF(VLOOKUP($A206,[1]!Table1[#All],2,FALSE)="Resultat",SUMIF($F$1:$F205,$D206,H$1:H205)+SUMIF($F208:$F$490,$D206,H208:H$490),0))*'[1]Processer - data'!H206,"")*IF($C206&lt;&gt;"",IF($F206="Halm",Landbrug!C$16*Landbrug!C$17,IF(LEFT($D206,5)="Areal", IF($G206="Ton",Landbrug!C$18,1),1)),1)*IF($F206="Grøntsager",IF($A206="Grøntsager i drivhus",Landbrug!C$51,1-Landbrug!C$51),1)</f>
        <v>#REF!</v>
      </c>
      <c r="I206" s="303" t="e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input'!$A$3:$A$230,$A$1)),IF(VLOOKUP($A206,[1]!Table1[#All],2,FALSE)="Resultat",SUMIF($F$1:$F205,$D206,I$1:I205)+SUMIF($F208:$F$490,$D206,I208:I$490),0))*'[1]Processer - data'!I206,"")*IF($C206&lt;&gt;"",IF($F206="Halm",Landbrug!D$16*Landbrug!D$17,IF(LEFT($D206,5)="Areal", IF($G206="Ton",Landbrug!D$18,1),1)),1)*IF($F206="Grøntsager",IF($A206="Grøntsager i drivhus",Landbrug!D$51,1-Landbrug!D$51),1)</f>
        <v>#REF!</v>
      </c>
      <c r="J206" s="304" t="e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input'!$A$3:$A$230,$A$1)),IF(VLOOKUP($A206,[1]!Table1[#All],2,FALSE)="Resultat",SUMIF($F$1:$F205,$D206,J$1:J205)+SUMIF($F208:$F$490,$D206,J208:J$490),0))*'[1]Processer - data'!J206,"")*IF($C206&lt;&gt;"",IF($F206="Halm",Landbrug!E$16*Landbrug!E$17,IF(LEFT($D206,5)="Areal", IF($G206="Ton",Landbrug!E$18,1),1)),1)*IF($F206="Grøntsager",IF($A206="Grøntsager i drivhus",Landbrug!E$51,1-Landbrug!E$51),1)</f>
        <v>#REF!</v>
      </c>
    </row>
    <row r="207" spans="1:10" x14ac:dyDescent="0.25">
      <c r="A207" t="str">
        <f>IF('[1]Processer - data'!A207&lt;&gt;"",'[1]Processer - data'!A207,"")</f>
        <v>Bælgsædsmark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Areal-bælgsæd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CO2 - atmosfære</v>
      </c>
      <c r="G207" t="str">
        <f>IF('[1]Processer - data'!G207&lt;&gt;"",'[1]Processer - data'!G207,"")</f>
        <v>t CO2-ækvivalenter</v>
      </c>
      <c r="H207" s="302" t="e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input'!$A$3:$A$230,$A$1)),IF(VLOOKUP($A207,[1]!Table1[#All],2,FALSE)="Resultat",SUMIF($F$1:$F206,$D207,H$1:H206)+SUMIF($F209:$F$490,$D207,H209:H$490),0))*'[1]Processer - data'!H207,"")*IF($C207&lt;&gt;"",IF($F207="Halm",Landbrug!C$16*Landbrug!C$17,IF(LEFT($D207,5)="Areal", IF($G207="Ton",Landbrug!C$18,1),1)),1)*IF($F207="Grøntsager",IF($A207="Grøntsager i drivhus",Landbrug!C$51,1-Landbrug!C$51),1)</f>
        <v>#REF!</v>
      </c>
      <c r="I207" s="303" t="e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input'!$A$3:$A$230,$A$1)),IF(VLOOKUP($A207,[1]!Table1[#All],2,FALSE)="Resultat",SUMIF($F$1:$F206,$D207,I$1:I206)+SUMIF($F209:$F$490,$D207,I209:I$490),0))*'[1]Processer - data'!I207,"")*IF($C207&lt;&gt;"",IF($F207="Halm",Landbrug!D$16*Landbrug!D$17,IF(LEFT($D207,5)="Areal", IF($G207="Ton",Landbrug!D$18,1),1)),1)*IF($F207="Grøntsager",IF($A207="Grøntsager i drivhus",Landbrug!D$51,1-Landbrug!D$51),1)</f>
        <v>#REF!</v>
      </c>
      <c r="J207" s="304" t="e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input'!$A$3:$A$230,$A$1)),IF(VLOOKUP($A207,[1]!Table1[#All],2,FALSE)="Resultat",SUMIF($F$1:$F206,$D207,J$1:J206)+SUMIF($F209:$F$490,$D207,J209:J$490),0))*'[1]Processer - data'!J207,"")*IF($C207&lt;&gt;"",IF($F207="Halm",Landbrug!E$16*Landbrug!E$17,IF(LEFT($D207,5)="Areal", IF($G207="Ton",Landbrug!E$18,1),1)),1)*IF($F207="Grøntsager",IF($A207="Grøntsager i drivhus",Landbrug!E$51,1-Landbrug!E$51),1)</f>
        <v>#REF!</v>
      </c>
    </row>
    <row r="208" spans="1:10" x14ac:dyDescent="0.25">
      <c r="A208" t="str">
        <f>IF('[1]Processer - data'!A208&lt;&gt;"",'[1]Processer - data'!A208,"")</f>
        <v>Bælgsædsmark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OC6</v>
      </c>
      <c r="D208" t="str">
        <f>IF('[1]Processer - data'!D208&lt;&gt;"",'[1]Processer - data'!D208,"")</f>
        <v>Areal-bælgsæd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Bælgsæd</v>
      </c>
      <c r="G208" t="str">
        <f>IF('[1]Processer - data'!G208&lt;&gt;"",'[1]Processer - data'!G208,"")</f>
        <v>Ton</v>
      </c>
      <c r="H208" s="302" t="e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input'!$A$3:$A$230,$A$1)),IF(VLOOKUP($A208,[1]!Table1[#All],2,FALSE)="Resultat",SUMIF($F$1:$F207,$D208,H$1:H207)+SUMIF($F210:$F$490,$D208,H210:H$490),0))*'[1]Processer - data'!H208,"")*IF($C208&lt;&gt;"",IF($F208="Halm",Landbrug!C$16*Landbrug!C$17,IF(LEFT($D208,5)="Areal", IF($G208="Ton",Landbrug!C$18,1),1)),1)*IF($F208="Grøntsager",IF($A208="Grøntsager i drivhus",Landbrug!C$51,1-Landbrug!C$51),1)</f>
        <v>#REF!</v>
      </c>
      <c r="I208" s="303" t="e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input'!$A$3:$A$230,$A$1)),IF(VLOOKUP($A208,[1]!Table1[#All],2,FALSE)="Resultat",SUMIF($F$1:$F207,$D208,I$1:I207)+SUMIF($F210:$F$490,$D208,I210:I$490),0))*'[1]Processer - data'!I208,"")*IF($C208&lt;&gt;"",IF($F208="Halm",Landbrug!D$16*Landbrug!D$17,IF(LEFT($D208,5)="Areal", IF($G208="Ton",Landbrug!D$18,1),1)),1)*IF($F208="Grøntsager",IF($A208="Grøntsager i drivhus",Landbrug!D$51,1-Landbrug!D$51),1)</f>
        <v>#REF!</v>
      </c>
      <c r="J208" s="304" t="e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input'!$A$3:$A$230,$A$1)),IF(VLOOKUP($A208,[1]!Table1[#All],2,FALSE)="Resultat",SUMIF($F$1:$F207,$D208,J$1:J207)+SUMIF($F210:$F$490,$D208,J210:J$490),0))*'[1]Processer - data'!J208,"")*IF($C208&lt;&gt;"",IF($F208="Halm",Landbrug!E$16*Landbrug!E$17,IF(LEFT($D208,5)="Areal", IF($G208="Ton",Landbrug!E$18,1),1)),1)*IF($F208="Grøntsager",IF($A208="Grøntsager i drivhus",Landbrug!E$51,1-Landbrug!E$51),1)</f>
        <v>#REF!</v>
      </c>
    </row>
    <row r="209" spans="1:10" x14ac:dyDescent="0.25">
      <c r="A209" t="str">
        <f>IF('[1]Processer - data'!A209&lt;&gt;"",'[1]Processer - data'!A209,"")</f>
        <v>Bælgsædsmark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OC6</v>
      </c>
      <c r="D209" t="str">
        <f>IF('[1]Processer - data'!D209&lt;&gt;"",'[1]Processer - data'!D209,"")</f>
        <v>Areal-bælgsæd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Halm</v>
      </c>
      <c r="G209" t="str">
        <f>IF('[1]Processer - data'!G209&lt;&gt;"",'[1]Processer - data'!G209,"")</f>
        <v>Ton</v>
      </c>
      <c r="H209" s="302" t="e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input'!$A$3:$A$230,$A$1)),IF(VLOOKUP($A209,[1]!Table1[#All],2,FALSE)="Resultat",SUMIF($F$1:$F208,$D209,H$1:H208)+SUMIF($F211:$F$490,$D209,H211:H$490),0))*'[1]Processer - data'!H209,"")*IF($C209&lt;&gt;"",IF($F209="Halm",Landbrug!C$16*Landbrug!C$17,IF(LEFT($D209,5)="Areal", IF($G209="Ton",Landbrug!C$18,1),1)),1)*IF($F209="Grøntsager",IF($A209="Grøntsager i drivhus",Landbrug!C$51,1-Landbrug!C$51),1)</f>
        <v>#REF!</v>
      </c>
      <c r="I209" s="303" t="e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input'!$A$3:$A$230,$A$1)),IF(VLOOKUP($A209,[1]!Table1[#All],2,FALSE)="Resultat",SUMIF($F$1:$F208,$D209,I$1:I208)+SUMIF($F211:$F$490,$D209,I211:I$490),0))*'[1]Processer - data'!I209,"")*IF($C209&lt;&gt;"",IF($F209="Halm",Landbrug!D$16*Landbrug!D$17,IF(LEFT($D209,5)="Areal", IF($G209="Ton",Landbrug!D$18,1),1)),1)*IF($F209="Grøntsager",IF($A209="Grøntsager i drivhus",Landbrug!D$51,1-Landbrug!D$51),1)</f>
        <v>#REF!</v>
      </c>
      <c r="J209" s="304" t="e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input'!$A$3:$A$230,$A$1)),IF(VLOOKUP($A209,[1]!Table1[#All],2,FALSE)="Resultat",SUMIF($F$1:$F208,$D209,J$1:J208)+SUMIF($F211:$F$490,$D209,J211:J$490),0))*'[1]Processer - data'!J209,"")*IF($C209&lt;&gt;"",IF($F209="Halm",Landbrug!E$16*Landbrug!E$17,IF(LEFT($D209,5)="Areal", IF($G209="Ton",Landbrug!E$18,1),1)),1)*IF($F209="Grøntsager",IF($A209="Grøntsager i drivhus",Landbrug!E$51,1-Landbrug!E$51),1)</f>
        <v>#REF!</v>
      </c>
    </row>
    <row r="210" spans="1:10" x14ac:dyDescent="0.25">
      <c r="A210" t="str">
        <f>IF('[1]Processer - data'!A210&lt;&gt;"",'[1]Processer - data'!A210,"")</f>
        <v>Bælgsædsmark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Areal-bælgsæd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Gødning</v>
      </c>
      <c r="G210" t="str">
        <f>IF('[1]Processer - data'!G210&lt;&gt;"",'[1]Processer - data'!G210,"")</f>
        <v>kg N</v>
      </c>
      <c r="H210" s="302" t="e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input'!$A$3:$A$230,$A$1)),IF(VLOOKUP($A210,[1]!Table1[#All],2,FALSE)="Resultat",SUMIF($F$1:$F209,$D210,H$1:H209)+SUMIF($F212:$F$490,$D210,H212:H$490),0))*'[1]Processer - data'!H210,"")*IF($C210&lt;&gt;"",IF($F210="Halm",Landbrug!C$16*Landbrug!C$17,IF(LEFT($D210,5)="Areal", IF($G210="Ton",Landbrug!C$18,1),1)),1)*IF($F210="Grøntsager",IF($A210="Grøntsager i drivhus",Landbrug!C$51,1-Landbrug!C$51),1)</f>
        <v>#REF!</v>
      </c>
      <c r="I210" s="303" t="e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input'!$A$3:$A$230,$A$1)),IF(VLOOKUP($A210,[1]!Table1[#All],2,FALSE)="Resultat",SUMIF($F$1:$F209,$D210,I$1:I209)+SUMIF($F212:$F$490,$D210,I212:I$490),0))*'[1]Processer - data'!I210,"")*IF($C210&lt;&gt;"",IF($F210="Halm",Landbrug!D$16*Landbrug!D$17,IF(LEFT($D210,5)="Areal", IF($G210="Ton",Landbrug!D$18,1),1)),1)*IF($F210="Grøntsager",IF($A210="Grøntsager i drivhus",Landbrug!D$51,1-Landbrug!D$51),1)</f>
        <v>#REF!</v>
      </c>
      <c r="J210" s="304" t="e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input'!$A$3:$A$230,$A$1)),IF(VLOOKUP($A210,[1]!Table1[#All],2,FALSE)="Resultat",SUMIF($F$1:$F209,$D210,J$1:J209)+SUMIF($F212:$F$490,$D210,J212:J$490),0))*'[1]Processer - data'!J210,"")*IF($C210&lt;&gt;"",IF($F210="Halm",Landbrug!E$16*Landbrug!E$17,IF(LEFT($D210,5)="Areal", IF($G210="Ton",Landbrug!E$18,1),1)),1)*IF($F210="Grøntsager",IF($A210="Grøntsager i drivhus",Landbrug!E$51,1-Landbrug!E$51),1)</f>
        <v>#REF!</v>
      </c>
    </row>
    <row r="211" spans="1:10" x14ac:dyDescent="0.25">
      <c r="A211" t="str">
        <f>IF('[1]Processer - data'!A211&lt;&gt;"",'[1]Processer - data'!A211,"")</f>
        <v>Bælgsædsmark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Areal-bælgsæd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CO2 - atmosfære</v>
      </c>
      <c r="G211" t="str">
        <f>IF('[1]Processer - data'!G211&lt;&gt;"",'[1]Processer - data'!G211,"")</f>
        <v>t CO2-ækvivalenter</v>
      </c>
      <c r="H211" s="302" t="e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input'!$A$3:$A$230,$A$1)),IF(VLOOKUP($A211,[1]!Table1[#All],2,FALSE)="Resultat",SUMIF($F$1:$F210,$D211,H$1:H210)+SUMIF($F213:$F$490,$D211,H213:H$490),0))*'[1]Processer - data'!H211,"")*IF($C211&lt;&gt;"",IF($F211="Halm",Landbrug!C$16*Landbrug!C$17,IF(LEFT($D211,5)="Areal", IF($G211="Ton",Landbrug!C$18,1),1)),1)*IF($F211="Grøntsager",IF($A211="Grøntsager i drivhus",Landbrug!C$51,1-Landbrug!C$51),1)</f>
        <v>#REF!</v>
      </c>
      <c r="I211" s="303" t="e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input'!$A$3:$A$230,$A$1)),IF(VLOOKUP($A211,[1]!Table1[#All],2,FALSE)="Resultat",SUMIF($F$1:$F210,$D211,I$1:I210)+SUMIF($F213:$F$490,$D211,I213:I$490),0))*'[1]Processer - data'!I211,"")*IF($C211&lt;&gt;"",IF($F211="Halm",Landbrug!D$16*Landbrug!D$17,IF(LEFT($D211,5)="Areal", IF($G211="Ton",Landbrug!D$18,1),1)),1)*IF($F211="Grøntsager",IF($A211="Grøntsager i drivhus",Landbrug!D$51,1-Landbrug!D$51),1)</f>
        <v>#REF!</v>
      </c>
      <c r="J211" s="304" t="e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input'!$A$3:$A$230,$A$1)),IF(VLOOKUP($A211,[1]!Table1[#All],2,FALSE)="Resultat",SUMIF($F$1:$F210,$D211,J$1:J210)+SUMIF($F213:$F$490,$D211,J213:J$490),0))*'[1]Processer - data'!J211,"")*IF($C211&lt;&gt;"",IF($F211="Halm",Landbrug!E$16*Landbrug!E$17,IF(LEFT($D211,5)="Areal", IF($G211="Ton",Landbrug!E$18,1),1)),1)*IF($F211="Grøntsager",IF($A211="Grøntsager i drivhus",Landbrug!E$51,1-Landbrug!E$51),1)</f>
        <v>#REF!</v>
      </c>
    </row>
    <row r="212" spans="1:10" x14ac:dyDescent="0.25">
      <c r="A212" t="str">
        <f>IF('[1]Processer - data'!A212&lt;&gt;"",'[1]Processer - data'!A212,"")</f>
        <v>Bælgsædsmark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OC12</v>
      </c>
      <c r="D212" t="str">
        <f>IF('[1]Processer - data'!D212&lt;&gt;"",'[1]Processer - data'!D212,"")</f>
        <v>Areal-bælgsæd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Bælgsæd</v>
      </c>
      <c r="G212" t="str">
        <f>IF('[1]Processer - data'!G212&lt;&gt;"",'[1]Processer - data'!G212,"")</f>
        <v>Ton</v>
      </c>
      <c r="H212" s="302" t="e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input'!$A$3:$A$230,$A$1)),IF(VLOOKUP($A212,[1]!Table1[#All],2,FALSE)="Resultat",SUMIF($F$1:$F211,$D212,H$1:H211)+SUMIF($F214:$F$490,$D212,H214:H$490),0))*'[1]Processer - data'!H212,"")*IF($C212&lt;&gt;"",IF($F212="Halm",Landbrug!C$16*Landbrug!C$17,IF(LEFT($D212,5)="Areal", IF($G212="Ton",Landbrug!C$18,1),1)),1)*IF($F212="Grøntsager",IF($A212="Grøntsager i drivhus",Landbrug!C$51,1-Landbrug!C$51),1)</f>
        <v>#REF!</v>
      </c>
      <c r="I212" s="303" t="e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input'!$A$3:$A$230,$A$1)),IF(VLOOKUP($A212,[1]!Table1[#All],2,FALSE)="Resultat",SUMIF($F$1:$F211,$D212,I$1:I211)+SUMIF($F214:$F$490,$D212,I214:I$490),0))*'[1]Processer - data'!I212,"")*IF($C212&lt;&gt;"",IF($F212="Halm",Landbrug!D$16*Landbrug!D$17,IF(LEFT($D212,5)="Areal", IF($G212="Ton",Landbrug!D$18,1),1)),1)*IF($F212="Grøntsager",IF($A212="Grøntsager i drivhus",Landbrug!D$51,1-Landbrug!D$51),1)</f>
        <v>#REF!</v>
      </c>
      <c r="J212" s="304" t="e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input'!$A$3:$A$230,$A$1)),IF(VLOOKUP($A212,[1]!Table1[#All],2,FALSE)="Resultat",SUMIF($F$1:$F211,$D212,J$1:J211)+SUMIF($F214:$F$490,$D212,J214:J$490),0))*'[1]Processer - data'!J212,"")*IF($C212&lt;&gt;"",IF($F212="Halm",Landbrug!E$16*Landbrug!E$17,IF(LEFT($D212,5)="Areal", IF($G212="Ton",Landbrug!E$18,1),1)),1)*IF($F212="Grøntsager",IF($A212="Grøntsager i drivhus",Landbrug!E$51,1-Landbrug!E$51),1)</f>
        <v>#REF!</v>
      </c>
    </row>
    <row r="213" spans="1:10" x14ac:dyDescent="0.25">
      <c r="A213" t="str">
        <f>IF('[1]Processer - data'!A213&lt;&gt;"",'[1]Processer - data'!A213,"")</f>
        <v>Bælgsædsmark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Areal-bælgsæd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Halm</v>
      </c>
      <c r="G213" t="str">
        <f>IF('[1]Processer - data'!G213&lt;&gt;"",'[1]Processer - data'!G213,"")</f>
        <v>Ton</v>
      </c>
      <c r="H213" s="302" t="e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input'!$A$3:$A$230,$A$1)),IF(VLOOKUP($A213,[1]!Table1[#All],2,FALSE)="Resultat",SUMIF($F$1:$F212,$D213,H$1:H212)+SUMIF($F215:$F$490,$D213,H215:H$490),0))*'[1]Processer - data'!H213,"")*IF($C213&lt;&gt;"",IF($F213="Halm",Landbrug!C$16*Landbrug!C$17,IF(LEFT($D213,5)="Areal", IF($G213="Ton",Landbrug!C$18,1),1)),1)*IF($F213="Grøntsager",IF($A213="Grøntsager i drivhus",Landbrug!C$51,1-Landbrug!C$51),1)</f>
        <v>#REF!</v>
      </c>
      <c r="I213" s="303" t="e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input'!$A$3:$A$230,$A$1)),IF(VLOOKUP($A213,[1]!Table1[#All],2,FALSE)="Resultat",SUMIF($F$1:$F212,$D213,I$1:I212)+SUMIF($F215:$F$490,$D213,I215:I$490),0))*'[1]Processer - data'!I213,"")*IF($C213&lt;&gt;"",IF($F213="Halm",Landbrug!D$16*Landbrug!D$17,IF(LEFT($D213,5)="Areal", IF($G213="Ton",Landbrug!D$18,1),1)),1)*IF($F213="Grøntsager",IF($A213="Grøntsager i drivhus",Landbrug!D$51,1-Landbrug!D$51),1)</f>
        <v>#REF!</v>
      </c>
      <c r="J213" s="304" t="e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input'!$A$3:$A$230,$A$1)),IF(VLOOKUP($A213,[1]!Table1[#All],2,FALSE)="Resultat",SUMIF($F$1:$F212,$D213,J$1:J212)+SUMIF($F215:$F$490,$D213,J215:J$490),0))*'[1]Processer - data'!J213,"")*IF($C213&lt;&gt;"",IF($F213="Halm",Landbrug!E$16*Landbrug!E$17,IF(LEFT($D213,5)="Areal", IF($G213="Ton",Landbrug!E$18,1),1)),1)*IF($F213="Grøntsager",IF($A213="Grøntsager i drivhus",Landbrug!E$51,1-Landbrug!E$51),1)</f>
        <v>#REF!</v>
      </c>
    </row>
    <row r="214" spans="1:10" x14ac:dyDescent="0.25">
      <c r="A214" t="str">
        <f>IF('[1]Processer - data'!A214&lt;&gt;"",'[1]Processer - data'!A214,"")</f>
        <v>Bælgsædsmark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Areal-bælgsæd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2" t="e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input'!$A$3:$A$230,$A$1)),IF(VLOOKUP($A214,[1]!Table1[#All],2,FALSE)="Resultat",SUMIF($F$1:$F213,$D214,H$1:H213)+SUMIF($F216:$F$490,$D214,H216:H$490),0))*'[1]Processer - data'!H214,"")*IF($C214&lt;&gt;"",IF($F214="Halm",Landbrug!C$16*Landbrug!C$17,IF(LEFT($D214,5)="Areal", IF($G214="Ton",Landbrug!C$18,1),1)),1)*IF($F214="Grøntsager",IF($A214="Grøntsager i drivhus",Landbrug!C$51,1-Landbrug!C$51),1)</f>
        <v>#REF!</v>
      </c>
      <c r="I214" s="303" t="e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input'!$A$3:$A$230,$A$1)),IF(VLOOKUP($A214,[1]!Table1[#All],2,FALSE)="Resultat",SUMIF($F$1:$F213,$D214,I$1:I213)+SUMIF($F216:$F$490,$D214,I216:I$490),0))*'[1]Processer - data'!I214,"")*IF($C214&lt;&gt;"",IF($F214="Halm",Landbrug!D$16*Landbrug!D$17,IF(LEFT($D214,5)="Areal", IF($G214="Ton",Landbrug!D$18,1),1)),1)*IF($F214="Grøntsager",IF($A214="Grøntsager i drivhus",Landbrug!D$51,1-Landbrug!D$51),1)</f>
        <v>#REF!</v>
      </c>
      <c r="J214" s="304" t="e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input'!$A$3:$A$230,$A$1)),IF(VLOOKUP($A214,[1]!Table1[#All],2,FALSE)="Resultat",SUMIF($F$1:$F213,$D214,J$1:J213)+SUMIF($F216:$F$490,$D214,J216:J$490),0))*'[1]Processer - data'!J214,"")*IF($C214&lt;&gt;"",IF($F214="Halm",Landbrug!E$16*Landbrug!E$17,IF(LEFT($D214,5)="Areal", IF($G214="Ton",Landbrug!E$18,1),1)),1)*IF($F214="Grøntsager",IF($A214="Grøntsager i drivhus",Landbrug!E$51,1-Landbrug!E$51),1)</f>
        <v>#REF!</v>
      </c>
    </row>
    <row r="215" spans="1:10" x14ac:dyDescent="0.25">
      <c r="A215" t="str">
        <f>IF('[1]Processer - data'!A215&lt;&gt;"",'[1]Processer - data'!A215,"")</f>
        <v>Bælgsædsmark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Areal-bælgsæd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2" t="e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input'!$A$3:$A$230,$A$1)),IF(VLOOKUP($A215,[1]!Table1[#All],2,FALSE)="Resultat",SUMIF($F$1:$F214,$D215,H$1:H214)+SUMIF($F217:$F$490,$D215,H217:H$490),0))*'[1]Processer - data'!H215,"")*IF($C215&lt;&gt;"",IF($F215="Halm",Landbrug!C$16*Landbrug!C$17,IF(LEFT($D215,5)="Areal", IF($G215="Ton",Landbrug!C$18,1),1)),1)*IF($F215="Grøntsager",IF($A215="Grøntsager i drivhus",Landbrug!C$51,1-Landbrug!C$51),1)</f>
        <v>#REF!</v>
      </c>
      <c r="I215" s="303" t="e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input'!$A$3:$A$230,$A$1)),IF(VLOOKUP($A215,[1]!Table1[#All],2,FALSE)="Resultat",SUMIF($F$1:$F214,$D215,I$1:I214)+SUMIF($F217:$F$490,$D215,I217:I$490),0))*'[1]Processer - data'!I215,"")*IF($C215&lt;&gt;"",IF($F215="Halm",Landbrug!D$16*Landbrug!D$17,IF(LEFT($D215,5)="Areal", IF($G215="Ton",Landbrug!D$18,1),1)),1)*IF($F215="Grøntsager",IF($A215="Grøntsager i drivhus",Landbrug!D$51,1-Landbrug!D$51),1)</f>
        <v>#REF!</v>
      </c>
      <c r="J215" s="304" t="e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input'!$A$3:$A$230,$A$1)),IF(VLOOKUP($A215,[1]!Table1[#All],2,FALSE)="Resultat",SUMIF($F$1:$F214,$D215,J$1:J214)+SUMIF($F217:$F$490,$D215,J217:J$490),0))*'[1]Processer - data'!J215,"")*IF($C215&lt;&gt;"",IF($F215="Halm",Landbrug!E$16*Landbrug!E$17,IF(LEFT($D215,5)="Areal", IF($G215="Ton",Landbrug!E$18,1),1)),1)*IF($F215="Grøntsager",IF($A215="Grøntsager i drivhus",Landbrug!E$51,1-Landbrug!E$51),1)</f>
        <v>#REF!</v>
      </c>
    </row>
    <row r="216" spans="1:10" x14ac:dyDescent="0.25">
      <c r="A216" t="str">
        <f>IF('[1]Processer - data'!A216&lt;&gt;"",'[1]Processer - data'!A216,"")</f>
        <v>Bælgsædsmark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Areal-bælgsæd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Bælgsæd</v>
      </c>
      <c r="G216" t="str">
        <f>IF('[1]Processer - data'!G216&lt;&gt;"",'[1]Processer - data'!G216,"")</f>
        <v>Ton</v>
      </c>
      <c r="H216" s="302" t="e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input'!$A$3:$A$230,$A$1)),IF(VLOOKUP($A216,[1]!Table1[#All],2,FALSE)="Resultat",SUMIF($F$1:$F215,$D216,H$1:H215)+SUMIF($F218:$F$490,$D216,H218:H$490),0))*'[1]Processer - data'!H216,"")*IF($C216&lt;&gt;"",IF($F216="Halm",Landbrug!C$16*Landbrug!C$17,IF(LEFT($D216,5)="Areal", IF($G216="Ton",Landbrug!C$18,1),1)),1)*IF($F216="Grøntsager",IF($A216="Grøntsager i drivhus",Landbrug!C$51,1-Landbrug!C$51),1)</f>
        <v>#REF!</v>
      </c>
      <c r="I216" s="303" t="e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input'!$A$3:$A$230,$A$1)),IF(VLOOKUP($A216,[1]!Table1[#All],2,FALSE)="Resultat",SUMIF($F$1:$F215,$D216,I$1:I215)+SUMIF($F218:$F$490,$D216,I218:I$490),0))*'[1]Processer - data'!I216,"")*IF($C216&lt;&gt;"",IF($F216="Halm",Landbrug!D$16*Landbrug!D$17,IF(LEFT($D216,5)="Areal", IF($G216="Ton",Landbrug!D$18,1),1)),1)*IF($F216="Grøntsager",IF($A216="Grøntsager i drivhus",Landbrug!D$51,1-Landbrug!D$51),1)</f>
        <v>#REF!</v>
      </c>
      <c r="J216" s="304" t="e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input'!$A$3:$A$230,$A$1)),IF(VLOOKUP($A216,[1]!Table1[#All],2,FALSE)="Resultat",SUMIF($F$1:$F215,$D216,J$1:J215)+SUMIF($F218:$F$490,$D216,J218:J$490),0))*'[1]Processer - data'!J216,"")*IF($C216&lt;&gt;"",IF($F216="Halm",Landbrug!E$16*Landbrug!E$17,IF(LEFT($D216,5)="Areal", IF($G216="Ton",Landbrug!E$18,1),1)),1)*IF($F216="Grøntsager",IF($A216="Grøntsager i drivhus",Landbrug!E$51,1-Landbrug!E$51),1)</f>
        <v>#REF!</v>
      </c>
    </row>
    <row r="217" spans="1:10" x14ac:dyDescent="0.25">
      <c r="A217" t="str">
        <f>IF('[1]Processer - data'!A217&lt;&gt;"",'[1]Processer - data'!A217,"")</f>
        <v>Bælgsædsmark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Areal-bælgsæd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Halm</v>
      </c>
      <c r="G217" t="str">
        <f>IF('[1]Processer - data'!G217&lt;&gt;"",'[1]Processer - data'!G217,"")</f>
        <v>Ton</v>
      </c>
      <c r="H217" s="302" t="e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input'!$A$3:$A$230,$A$1)),IF(VLOOKUP($A217,[1]!Table1[#All],2,FALSE)="Resultat",SUMIF($F$1:$F216,$D217,H$1:H216)+SUMIF($F219:$F$490,$D217,H219:H$490),0))*'[1]Processer - data'!H217,"")*IF($C217&lt;&gt;"",IF($F217="Halm",Landbrug!C$16*Landbrug!C$17,IF(LEFT($D217,5)="Areal", IF($G217="Ton",Landbrug!C$18,1),1)),1)*IF($F217="Grøntsager",IF($A217="Grøntsager i drivhus",Landbrug!C$51,1-Landbrug!C$51),1)</f>
        <v>#REF!</v>
      </c>
      <c r="I217" s="303" t="e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input'!$A$3:$A$230,$A$1)),IF(VLOOKUP($A217,[1]!Table1[#All],2,FALSE)="Resultat",SUMIF($F$1:$F216,$D217,I$1:I216)+SUMIF($F219:$F$490,$D217,I219:I$490),0))*'[1]Processer - data'!I217,"")*IF($C217&lt;&gt;"",IF($F217="Halm",Landbrug!D$16*Landbrug!D$17,IF(LEFT($D217,5)="Areal", IF($G217="Ton",Landbrug!D$18,1),1)),1)*IF($F217="Grøntsager",IF($A217="Grøntsager i drivhus",Landbrug!D$51,1-Landbrug!D$51),1)</f>
        <v>#REF!</v>
      </c>
      <c r="J217" s="304" t="e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input'!$A$3:$A$230,$A$1)),IF(VLOOKUP($A217,[1]!Table1[#All],2,FALSE)="Resultat",SUMIF($F$1:$F216,$D217,J$1:J216)+SUMIF($F219:$F$490,$D217,J219:J$490),0))*'[1]Processer - data'!J217,"")*IF($C217&lt;&gt;"",IF($F217="Halm",Landbrug!E$16*Landbrug!E$17,IF(LEFT($D217,5)="Areal", IF($G217="Ton",Landbrug!E$18,1),1)),1)*IF($F217="Grøntsager",IF($A217="Grøntsager i drivhus",Landbrug!E$51,1-Landbrug!E$51),1)</f>
        <v>#REF!</v>
      </c>
    </row>
    <row r="218" spans="1:10" x14ac:dyDescent="0.25">
      <c r="A218" t="str">
        <f>IF('[1]Processer - data'!A218&lt;&gt;"",'[1]Processer - data'!A218,"")</f>
        <v>Bælgsædsmark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Areal-bælgsæd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Gødning</v>
      </c>
      <c r="G218" t="str">
        <f>IF('[1]Processer - data'!G218&lt;&gt;"",'[1]Processer - data'!G218,"")</f>
        <v>kg N</v>
      </c>
      <c r="H218" s="302" t="e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input'!$A$3:$A$230,$A$1)),IF(VLOOKUP($A218,[1]!Table1[#All],2,FALSE)="Resultat",SUMIF($F$1:$F217,$D218,H$1:H217)+SUMIF($F220:$F$490,$D218,H220:H$490),0))*'[1]Processer - data'!H218,"")*IF($C218&lt;&gt;"",IF($F218="Halm",Landbrug!C$16*Landbrug!C$17,IF(LEFT($D218,5)="Areal", IF($G218="Ton",Landbrug!C$18,1),1)),1)*IF($F218="Grøntsager",IF($A218="Grøntsager i drivhus",Landbrug!C$51,1-Landbrug!C$51),1)</f>
        <v>#REF!</v>
      </c>
      <c r="I218" s="303" t="e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input'!$A$3:$A$230,$A$1)),IF(VLOOKUP($A218,[1]!Table1[#All],2,FALSE)="Resultat",SUMIF($F$1:$F217,$D218,I$1:I217)+SUMIF($F220:$F$490,$D218,I220:I$490),0))*'[1]Processer - data'!I218,"")*IF($C218&lt;&gt;"",IF($F218="Halm",Landbrug!D$16*Landbrug!D$17,IF(LEFT($D218,5)="Areal", IF($G218="Ton",Landbrug!D$18,1),1)),1)*IF($F218="Grøntsager",IF($A218="Grøntsager i drivhus",Landbrug!D$51,1-Landbrug!D$51),1)</f>
        <v>#REF!</v>
      </c>
      <c r="J218" s="304" t="e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input'!$A$3:$A$230,$A$1)),IF(VLOOKUP($A218,[1]!Table1[#All],2,FALSE)="Resultat",SUMIF($F$1:$F217,$D218,J$1:J217)+SUMIF($F220:$F$490,$D218,J220:J$490),0))*'[1]Processer - data'!J218,"")*IF($C218&lt;&gt;"",IF($F218="Halm",Landbrug!E$16*Landbrug!E$17,IF(LEFT($D218,5)="Areal", IF($G218="Ton",Landbrug!E$18,1),1)),1)*IF($F218="Grøntsager",IF($A218="Grøntsager i drivhus",Landbrug!E$51,1-Landbrug!E$51),1)</f>
        <v>#REF!</v>
      </c>
    </row>
    <row r="219" spans="1:10" x14ac:dyDescent="0.25">
      <c r="A219" t="str">
        <f>IF('[1]Processer - data'!A219&lt;&gt;"",'[1]Processer - data'!A219,"")</f>
        <v>Bælgsædsmark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JB1-10</v>
      </c>
      <c r="D219" t="str">
        <f>IF('[1]Processer - data'!D219&lt;&gt;"",'[1]Processer - data'!D219,"")</f>
        <v>Areal-bælgsæd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CO2 - atmosfære</v>
      </c>
      <c r="G219" t="str">
        <f>IF('[1]Processer - data'!G219&lt;&gt;"",'[1]Processer - data'!G219,"")</f>
        <v>t CO2-ækvivalenter</v>
      </c>
      <c r="H219" s="302" t="e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input'!$A$3:$A$230,$A$1)),IF(VLOOKUP($A219,[1]!Table1[#All],2,FALSE)="Resultat",SUMIF($F$1:$F218,$D219,H$1:H218)+SUMIF($F221:$F$490,$D219,H221:H$490),0))*'[1]Processer - data'!H219,"")*IF($C219&lt;&gt;"",IF($F219="Halm",Landbrug!C$16*Landbrug!C$17,IF(LEFT($D219,5)="Areal", IF($G219="Ton",Landbrug!C$18,1),1)),1)*IF($F219="Grøntsager",IF($A219="Grøntsager i drivhus",Landbrug!C$51,1-Landbrug!C$51),1)</f>
        <v>#REF!</v>
      </c>
      <c r="I219" s="303" t="e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input'!$A$3:$A$230,$A$1)),IF(VLOOKUP($A219,[1]!Table1[#All],2,FALSE)="Resultat",SUMIF($F$1:$F218,$D219,I$1:I218)+SUMIF($F221:$F$490,$D219,I221:I$490),0))*'[1]Processer - data'!I219,"")*IF($C219&lt;&gt;"",IF($F219="Halm",Landbrug!D$16*Landbrug!D$17,IF(LEFT($D219,5)="Areal", IF($G219="Ton",Landbrug!D$18,1),1)),1)*IF($F219="Grøntsager",IF($A219="Grøntsager i drivhus",Landbrug!D$51,1-Landbrug!D$51),1)</f>
        <v>#REF!</v>
      </c>
      <c r="J219" s="304" t="e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input'!$A$3:$A$230,$A$1)),IF(VLOOKUP($A219,[1]!Table1[#All],2,FALSE)="Resultat",SUMIF($F$1:$F218,$D219,J$1:J218)+SUMIF($F221:$F$490,$D219,J221:J$490),0))*'[1]Processer - data'!J219,"")*IF($C219&lt;&gt;"",IF($F219="Halm",Landbrug!E$16*Landbrug!E$17,IF(LEFT($D219,5)="Areal", IF($G219="Ton",Landbrug!E$18,1),1)),1)*IF($F219="Grøntsager",IF($A219="Grøntsager i drivhus",Landbrug!E$51,1-Landbrug!E$51),1)</f>
        <v>#REF!</v>
      </c>
    </row>
    <row r="220" spans="1:10" x14ac:dyDescent="0.25">
      <c r="A220" t="str">
        <f>IF('[1]Processer - data'!A220&lt;&gt;"",'[1]Processer - data'!A220,"")</f>
        <v>Bælgsædsmark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Areal-bælgsæd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Bælgsæd</v>
      </c>
      <c r="G220" t="str">
        <f>IF('[1]Processer - data'!G220&lt;&gt;"",'[1]Processer - data'!G220,"")</f>
        <v>Ton</v>
      </c>
      <c r="H220" s="302" t="e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input'!$A$3:$A$230,$A$1)),IF(VLOOKUP($A220,[1]!Table1[#All],2,FALSE)="Resultat",SUMIF($F$1:$F219,$D220,H$1:H219)+SUMIF($F222:$F$490,$D220,H222:H$490),0))*'[1]Processer - data'!H220,"")*IF($C220&lt;&gt;"",IF($F220="Halm",Landbrug!C$16*Landbrug!C$17,IF(LEFT($D220,5)="Areal", IF($G220="Ton",Landbrug!C$18,1),1)),1)*IF($F220="Grøntsager",IF($A220="Grøntsager i drivhus",Landbrug!C$51,1-Landbrug!C$51),1)</f>
        <v>#REF!</v>
      </c>
      <c r="I220" s="303" t="e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input'!$A$3:$A$230,$A$1)),IF(VLOOKUP($A220,[1]!Table1[#All],2,FALSE)="Resultat",SUMIF($F$1:$F219,$D220,I$1:I219)+SUMIF($F222:$F$490,$D220,I222:I$490),0))*'[1]Processer - data'!I220,"")*IF($C220&lt;&gt;"",IF($F220="Halm",Landbrug!D$16*Landbrug!D$17,IF(LEFT($D220,5)="Areal", IF($G220="Ton",Landbrug!D$18,1),1)),1)*IF($F220="Grøntsager",IF($A220="Grøntsager i drivhus",Landbrug!D$51,1-Landbrug!D$51),1)</f>
        <v>#REF!</v>
      </c>
      <c r="J220" s="304" t="e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input'!$A$3:$A$230,$A$1)),IF(VLOOKUP($A220,[1]!Table1[#All],2,FALSE)="Resultat",SUMIF($F$1:$F219,$D220,J$1:J219)+SUMIF($F222:$F$490,$D220,J222:J$490),0))*'[1]Processer - data'!J220,"")*IF($C220&lt;&gt;"",IF($F220="Halm",Landbrug!E$16*Landbrug!E$17,IF(LEFT($D220,5)="Areal", IF($G220="Ton",Landbrug!E$18,1),1)),1)*IF($F220="Grøntsager",IF($A220="Grøntsager i drivhus",Landbrug!E$51,1-Landbrug!E$51),1)</f>
        <v>#REF!</v>
      </c>
    </row>
    <row r="221" spans="1:10" x14ac:dyDescent="0.25">
      <c r="A221" t="str">
        <f>IF('[1]Processer - data'!A221&lt;&gt;"",'[1]Processer - data'!A221,"")</f>
        <v>Bælgsædsmark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Areal-bælgsæd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Halm</v>
      </c>
      <c r="G221" t="str">
        <f>IF('[1]Processer - data'!G221&lt;&gt;"",'[1]Processer - data'!G221,"")</f>
        <v>Ton</v>
      </c>
      <c r="H221" s="302" t="e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input'!$A$3:$A$230,$A$1)),IF(VLOOKUP($A221,[1]!Table1[#All],2,FALSE)="Resultat",SUMIF($F$1:$F220,$D221,H$1:H220)+SUMIF($F223:$F$490,$D221,H223:H$490),0))*'[1]Processer - data'!H221,"")*IF($C221&lt;&gt;"",IF($F221="Halm",Landbrug!C$16*Landbrug!C$17,IF(LEFT($D221,5)="Areal", IF($G221="Ton",Landbrug!C$18,1),1)),1)*IF($F221="Grøntsager",IF($A221="Grøntsager i drivhus",Landbrug!C$51,1-Landbrug!C$51),1)</f>
        <v>#REF!</v>
      </c>
      <c r="I221" s="303" t="e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input'!$A$3:$A$230,$A$1)),IF(VLOOKUP($A221,[1]!Table1[#All],2,FALSE)="Resultat",SUMIF($F$1:$F220,$D221,I$1:I220)+SUMIF($F223:$F$490,$D221,I223:I$490),0))*'[1]Processer - data'!I221,"")*IF($C221&lt;&gt;"",IF($F221="Halm",Landbrug!D$16*Landbrug!D$17,IF(LEFT($D221,5)="Areal", IF($G221="Ton",Landbrug!D$18,1),1)),1)*IF($F221="Grøntsager",IF($A221="Grøntsager i drivhus",Landbrug!D$51,1-Landbrug!D$51),1)</f>
        <v>#REF!</v>
      </c>
      <c r="J221" s="304" t="e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input'!$A$3:$A$230,$A$1)),IF(VLOOKUP($A221,[1]!Table1[#All],2,FALSE)="Resultat",SUMIF($F$1:$F220,$D221,J$1:J220)+SUMIF($F223:$F$490,$D221,J223:J$490),0))*'[1]Processer - data'!J221,"")*IF($C221&lt;&gt;"",IF($F221="Halm",Landbrug!E$16*Landbrug!E$17,IF(LEFT($D221,5)="Areal", IF($G221="Ton",Landbrug!E$18,1),1)),1)*IF($F221="Grøntsager",IF($A221="Grøntsager i drivhus",Landbrug!E$51,1-Landbrug!E$51),1)</f>
        <v>#REF!</v>
      </c>
    </row>
    <row r="222" spans="1:10" x14ac:dyDescent="0.25">
      <c r="A222" t="str">
        <f>IF('[1]Processer - data'!A222&lt;&gt;"",'[1]Processer - data'!A222,"")</f>
        <v>Bælgsædsmark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OC6</v>
      </c>
      <c r="D222" t="str">
        <f>IF('[1]Processer - data'!D222&lt;&gt;"",'[1]Processer - data'!D222,"")</f>
        <v>Areal-bælgsæd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Gødning</v>
      </c>
      <c r="G222" t="str">
        <f>IF('[1]Processer - data'!G222&lt;&gt;"",'[1]Processer - data'!G222,"")</f>
        <v>kg N</v>
      </c>
      <c r="H222" s="302" t="e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input'!$A$3:$A$230,$A$1)),IF(VLOOKUP($A222,[1]!Table1[#All],2,FALSE)="Resultat",SUMIF($F$1:$F221,$D222,H$1:H221)+SUMIF($F224:$F$490,$D222,H224:H$490),0))*'[1]Processer - data'!H222,"")*IF($C222&lt;&gt;"",IF($F222="Halm",Landbrug!C$16*Landbrug!C$17,IF(LEFT($D222,5)="Areal", IF($G222="Ton",Landbrug!C$18,1),1)),1)*IF($F222="Grøntsager",IF($A222="Grøntsager i drivhus",Landbrug!C$51,1-Landbrug!C$51),1)</f>
        <v>#REF!</v>
      </c>
      <c r="I222" s="303" t="e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input'!$A$3:$A$230,$A$1)),IF(VLOOKUP($A222,[1]!Table1[#All],2,FALSE)="Resultat",SUMIF($F$1:$F221,$D222,I$1:I221)+SUMIF($F224:$F$490,$D222,I224:I$490),0))*'[1]Processer - data'!I222,"")*IF($C222&lt;&gt;"",IF($F222="Halm",Landbrug!D$16*Landbrug!D$17,IF(LEFT($D222,5)="Areal", IF($G222="Ton",Landbrug!D$18,1),1)),1)*IF($F222="Grøntsager",IF($A222="Grøntsager i drivhus",Landbrug!D$51,1-Landbrug!D$51),1)</f>
        <v>#REF!</v>
      </c>
      <c r="J222" s="304" t="e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input'!$A$3:$A$230,$A$1)),IF(VLOOKUP($A222,[1]!Table1[#All],2,FALSE)="Resultat",SUMIF($F$1:$F221,$D222,J$1:J221)+SUMIF($F224:$F$490,$D222,J224:J$490),0))*'[1]Processer - data'!J222,"")*IF($C222&lt;&gt;"",IF($F222="Halm",Landbrug!E$16*Landbrug!E$17,IF(LEFT($D222,5)="Areal", IF($G222="Ton",Landbrug!E$18,1),1)),1)*IF($F222="Grøntsager",IF($A222="Grøntsager i drivhus",Landbrug!E$51,1-Landbrug!E$51),1)</f>
        <v>#REF!</v>
      </c>
    </row>
    <row r="223" spans="1:10" x14ac:dyDescent="0.25">
      <c r="A223" t="str">
        <f>IF('[1]Processer - data'!A223&lt;&gt;"",'[1]Processer - data'!A223,"")</f>
        <v>Bælgsædsmark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OC6</v>
      </c>
      <c r="D223" t="str">
        <f>IF('[1]Processer - data'!D223&lt;&gt;"",'[1]Processer - data'!D223,"")</f>
        <v>Areal-bælgsæd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CO2 - atmosfære</v>
      </c>
      <c r="G223" t="str">
        <f>IF('[1]Processer - data'!G223&lt;&gt;"",'[1]Processer - data'!G223,"")</f>
        <v>t CO2-ækvivalenter</v>
      </c>
      <c r="H223" s="302" t="e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input'!$A$3:$A$230,$A$1)),IF(VLOOKUP($A223,[1]!Table1[#All],2,FALSE)="Resultat",SUMIF($F$1:$F222,$D223,H$1:H222)+SUMIF($F225:$F$490,$D223,H225:H$490),0))*'[1]Processer - data'!H223,"")*IF($C223&lt;&gt;"",IF($F223="Halm",Landbrug!C$16*Landbrug!C$17,IF(LEFT($D223,5)="Areal", IF($G223="Ton",Landbrug!C$18,1),1)),1)*IF($F223="Grøntsager",IF($A223="Grøntsager i drivhus",Landbrug!C$51,1-Landbrug!C$51),1)</f>
        <v>#REF!</v>
      </c>
      <c r="I223" s="303" t="e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input'!$A$3:$A$230,$A$1)),IF(VLOOKUP($A223,[1]!Table1[#All],2,FALSE)="Resultat",SUMIF($F$1:$F222,$D223,I$1:I222)+SUMIF($F225:$F$490,$D223,I225:I$490),0))*'[1]Processer - data'!I223,"")*IF($C223&lt;&gt;"",IF($F223="Halm",Landbrug!D$16*Landbrug!D$17,IF(LEFT($D223,5)="Areal", IF($G223="Ton",Landbrug!D$18,1),1)),1)*IF($F223="Grøntsager",IF($A223="Grøntsager i drivhus",Landbrug!D$51,1-Landbrug!D$51),1)</f>
        <v>#REF!</v>
      </c>
      <c r="J223" s="304" t="e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input'!$A$3:$A$230,$A$1)),IF(VLOOKUP($A223,[1]!Table1[#All],2,FALSE)="Resultat",SUMIF($F$1:$F222,$D223,J$1:J222)+SUMIF($F225:$F$490,$D223,J225:J$490),0))*'[1]Processer - data'!J223,"")*IF($C223&lt;&gt;"",IF($F223="Halm",Landbrug!E$16*Landbrug!E$17,IF(LEFT($D223,5)="Areal", IF($G223="Ton",Landbrug!E$18,1),1)),1)*IF($F223="Grøntsager",IF($A223="Grøntsager i drivhus",Landbrug!E$51,1-Landbrug!E$51),1)</f>
        <v>#REF!</v>
      </c>
    </row>
    <row r="224" spans="1:10" x14ac:dyDescent="0.25">
      <c r="A224" t="str">
        <f>IF('[1]Processer - data'!A224&lt;&gt;"",'[1]Processer - data'!A224,"")</f>
        <v>Bælgsædsmark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Areal-bælgsæd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Bælgsæd</v>
      </c>
      <c r="G224" t="str">
        <f>IF('[1]Processer - data'!G224&lt;&gt;"",'[1]Processer - data'!G224,"")</f>
        <v>Ton</v>
      </c>
      <c r="H224" s="302" t="e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input'!$A$3:$A$230,$A$1)),IF(VLOOKUP($A224,[1]!Table1[#All],2,FALSE)="Resultat",SUMIF($F$1:$F223,$D224,H$1:H223)+SUMIF($F226:$F$490,$D224,H226:H$490),0))*'[1]Processer - data'!H224,"")*IF($C224&lt;&gt;"",IF($F224="Halm",Landbrug!C$16*Landbrug!C$17,IF(LEFT($D224,5)="Areal", IF($G224="Ton",Landbrug!C$18,1),1)),1)*IF($F224="Grøntsager",IF($A224="Grøntsager i drivhus",Landbrug!C$51,1-Landbrug!C$51),1)</f>
        <v>#REF!</v>
      </c>
      <c r="I224" s="303" t="e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input'!$A$3:$A$230,$A$1)),IF(VLOOKUP($A224,[1]!Table1[#All],2,FALSE)="Resultat",SUMIF($F$1:$F223,$D224,I$1:I223)+SUMIF($F226:$F$490,$D224,I226:I$490),0))*'[1]Processer - data'!I224,"")*IF($C224&lt;&gt;"",IF($F224="Halm",Landbrug!D$16*Landbrug!D$17,IF(LEFT($D224,5)="Areal", IF($G224="Ton",Landbrug!D$18,1),1)),1)*IF($F224="Grøntsager",IF($A224="Grøntsager i drivhus",Landbrug!D$51,1-Landbrug!D$51),1)</f>
        <v>#REF!</v>
      </c>
      <c r="J224" s="304" t="e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input'!$A$3:$A$230,$A$1)),IF(VLOOKUP($A224,[1]!Table1[#All],2,FALSE)="Resultat",SUMIF($F$1:$F223,$D224,J$1:J223)+SUMIF($F226:$F$490,$D224,J226:J$490),0))*'[1]Processer - data'!J224,"")*IF($C224&lt;&gt;"",IF($F224="Halm",Landbrug!E$16*Landbrug!E$17,IF(LEFT($D224,5)="Areal", IF($G224="Ton",Landbrug!E$18,1),1)),1)*IF($F224="Grøntsager",IF($A224="Grøntsager i drivhus",Landbrug!E$51,1-Landbrug!E$51),1)</f>
        <v>#REF!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Økologisk</v>
      </c>
      <c r="C225" t="str">
        <f>IF('[1]Processer - data'!C225&lt;&gt;"",'[1]Processer - data'!C225,"")</f>
        <v>OC12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Halm</v>
      </c>
      <c r="G225" t="str">
        <f>IF('[1]Processer - data'!G225&lt;&gt;"",'[1]Processer - data'!G225,"")</f>
        <v>Ton</v>
      </c>
      <c r="H225" s="302" t="e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input'!$A$3:$A$230,$A$1)),IF(VLOOKUP($A225,[1]!Table1[#All],2,FALSE)="Resultat",SUMIF($F$1:$F224,$D225,H$1:H224)+SUMIF($F227:$F$490,$D225,H227:H$490),0))*'[1]Processer - data'!H225,"")*IF($C225&lt;&gt;"",IF($F225="Halm",Landbrug!C$16*Landbrug!C$17,IF(LEFT($D225,5)="Areal", IF($G225="Ton",Landbrug!C$18,1),1)),1)*IF($F225="Grøntsager",IF($A225="Grøntsager i drivhus",Landbrug!C$51,1-Landbrug!C$51),1)</f>
        <v>#REF!</v>
      </c>
      <c r="I225" s="303" t="e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input'!$A$3:$A$230,$A$1)),IF(VLOOKUP($A225,[1]!Table1[#All],2,FALSE)="Resultat",SUMIF($F$1:$F224,$D225,I$1:I224)+SUMIF($F227:$F$490,$D225,I227:I$490),0))*'[1]Processer - data'!I225,"")*IF($C225&lt;&gt;"",IF($F225="Halm",Landbrug!D$16*Landbrug!D$17,IF(LEFT($D225,5)="Areal", IF($G225="Ton",Landbrug!D$18,1),1)),1)*IF($F225="Grøntsager",IF($A225="Grøntsager i drivhus",Landbrug!D$51,1-Landbrug!D$51),1)</f>
        <v>#REF!</v>
      </c>
      <c r="J225" s="304" t="e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input'!$A$3:$A$230,$A$1)),IF(VLOOKUP($A225,[1]!Table1[#All],2,FALSE)="Resultat",SUMIF($F$1:$F224,$D225,J$1:J224)+SUMIF($F227:$F$490,$D225,J227:J$490),0))*'[1]Processer - data'!J225,"")*IF($C225&lt;&gt;"",IF($F225="Halm",Landbrug!E$16*Landbrug!E$17,IF(LEFT($D225,5)="Areal", IF($G225="Ton",Landbrug!E$18,1),1)),1)*IF($F225="Grøntsager",IF($A225="Grøntsager i drivhus",Landbrug!E$51,1-Landbrug!E$51),1)</f>
        <v>#REF!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Økologisk</v>
      </c>
      <c r="C226" t="str">
        <f>IF('[1]Processer - data'!C226&lt;&gt;"",'[1]Processer - data'!C226,"")</f>
        <v>OC12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Gødning</v>
      </c>
      <c r="G226" t="str">
        <f>IF('[1]Processer - data'!G226&lt;&gt;"",'[1]Processer - data'!G226,"")</f>
        <v>kg N</v>
      </c>
      <c r="H226" s="302" t="e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input'!$A$3:$A$230,$A$1)),IF(VLOOKUP($A226,[1]!Table1[#All],2,FALSE)="Resultat",SUMIF($F$1:$F224,$D226,H$1:H224)+SUMIF($F227:$F$490,$D226,H227:H$490),0))*'[1]Processer - data'!H226,"")*IF($C226&lt;&gt;"",IF($F226="Halm",Landbrug!C$16*Landbrug!C$17,IF(LEFT($D226,5)="Areal", IF($G226="Ton",Landbrug!C$18,1),1)),1)*IF($F226="Grøntsager",IF($A226="Grøntsager i drivhus",Landbrug!C$51,1-Landbrug!C$51),1)</f>
        <v>#REF!</v>
      </c>
      <c r="I226" s="303" t="e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input'!$A$3:$A$230,$A$1)),IF(VLOOKUP($A226,[1]!Table1[#All],2,FALSE)="Resultat",SUMIF($F$1:$F224,$D226,I$1:I224)+SUMIF($F227:$F$490,$D226,I227:I$490),0))*'[1]Processer - data'!I226,"")*IF($C226&lt;&gt;"",IF($F226="Halm",Landbrug!D$16*Landbrug!D$17,IF(LEFT($D226,5)="Areal", IF($G226="Ton",Landbrug!D$18,1),1)),1)*IF($F226="Grøntsager",IF($A226="Grøntsager i drivhus",Landbrug!D$51,1-Landbrug!D$51),1)</f>
        <v>#REF!</v>
      </c>
      <c r="J226" s="304" t="e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input'!$A$3:$A$230,$A$1)),IF(VLOOKUP($A226,[1]!Table1[#All],2,FALSE)="Resultat",SUMIF($F$1:$F224,$D226,J$1:J224)+SUMIF($F227:$F$490,$D226,J227:J$490),0))*'[1]Processer - data'!J226,"")*IF($C226&lt;&gt;"",IF($F226="Halm",Landbrug!E$16*Landbrug!E$17,IF(LEFT($D226,5)="Areal", IF($G226="Ton",Landbrug!E$18,1),1)),1)*IF($F226="Grøntsager",IF($A226="Grøntsager i drivhus",Landbrug!E$51,1-Landbrug!E$51),1)</f>
        <v>#REF!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Økologisk</v>
      </c>
      <c r="C227" t="str">
        <f>IF('[1]Processer - data'!C227&lt;&gt;"",'[1]Processer - data'!C227,"")</f>
        <v>OC12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CO2 - atmosfære</v>
      </c>
      <c r="G227" t="str">
        <f>IF('[1]Processer - data'!G227&lt;&gt;"",'[1]Processer - data'!G227,"")</f>
        <v>t CO2-ækvivalenter</v>
      </c>
      <c r="H227" s="302" t="e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input'!$A$3:$A$230,$A$1)),IF(VLOOKUP($A227,[1]!Table1[#All],2,FALSE)="Resultat",SUMIF($F$1:$F226,$D227,H$1:H226)+SUMIF($F228:$F$490,$D227,H228:H$490),0))*'[1]Processer - data'!H227,"")*IF($C227&lt;&gt;"",IF($F227="Halm",Landbrug!C$16*Landbrug!C$17,IF(LEFT($D227,5)="Areal", IF($G227="Ton",Landbrug!C$18,1),1)),1)*IF($F227="Grøntsager",IF($A227="Grøntsager i drivhus",Landbrug!C$51,1-Landbrug!C$51),1)</f>
        <v>#REF!</v>
      </c>
      <c r="I227" s="303" t="e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input'!$A$3:$A$230,$A$1)),IF(VLOOKUP($A227,[1]!Table1[#All],2,FALSE)="Resultat",SUMIF($F$1:$F226,$D227,I$1:I226)+SUMIF($F228:$F$490,$D227,I228:I$490),0))*'[1]Processer - data'!I227,"")*IF($C227&lt;&gt;"",IF($F227="Halm",Landbrug!D$16*Landbrug!D$17,IF(LEFT($D227,5)="Areal", IF($G227="Ton",Landbrug!D$18,1),1)),1)*IF($F227="Grøntsager",IF($A227="Grøntsager i drivhus",Landbrug!D$51,1-Landbrug!D$51),1)</f>
        <v>#REF!</v>
      </c>
      <c r="J227" s="304" t="e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input'!$A$3:$A$230,$A$1)),IF(VLOOKUP($A227,[1]!Table1[#All],2,FALSE)="Resultat",SUMIF($F$1:$F226,$D227,J$1:J226)+SUMIF($F228:$F$490,$D227,J228:J$490),0))*'[1]Processer - data'!J227,"")*IF($C227&lt;&gt;"",IF($F227="Halm",Landbrug!E$16*Landbrug!E$17,IF(LEFT($D227,5)="Areal", IF($G227="Ton",Landbrug!E$18,1),1)),1)*IF($F227="Grøntsager",IF($A227="Grøntsager i drivhus",Landbrug!E$51,1-Landbrug!E$51),1)</f>
        <v>#REF!</v>
      </c>
    </row>
    <row r="228" spans="1:10" x14ac:dyDescent="0.25">
      <c r="A228" t="str">
        <f>IF('[1]Processer - data'!A228&lt;&gt;"",'[1]Processer - data'!A228,"")</f>
        <v>Roemark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Areal-roer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Roer</v>
      </c>
      <c r="G228" t="str">
        <f>IF('[1]Processer - data'!G228&lt;&gt;"",'[1]Processer - data'!G228,"")</f>
        <v>Ton</v>
      </c>
      <c r="H228" s="302" t="e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input'!$A$3:$A$230,$A$1)),IF(VLOOKUP($A228,[1]!Table1[#All],2,FALSE)="Resultat",SUMIF($F$1:$F227,$D228,H$1:H227)+SUMIF($F229:$F$490,$D228,H229:H$490),0))*'[1]Processer - data'!H228,"")*IF($C228&lt;&gt;"",IF($F228="Halm",Landbrug!C$16*Landbrug!C$17,IF(LEFT($D228,5)="Areal", IF($G228="Ton",Landbrug!C$18,1),1)),1)*IF($F228="Grøntsager",IF($A228="Grøntsager i drivhus",Landbrug!C$51,1-Landbrug!C$51),1)</f>
        <v>#REF!</v>
      </c>
      <c r="I228" s="303" t="e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input'!$A$3:$A$230,$A$1)),IF(VLOOKUP($A228,[1]!Table1[#All],2,FALSE)="Resultat",SUMIF($F$1:$F227,$D228,I$1:I227)+SUMIF($F229:$F$490,$D228,I229:I$490),0))*'[1]Processer - data'!I228,"")*IF($C228&lt;&gt;"",IF($F228="Halm",Landbrug!D$16*Landbrug!D$17,IF(LEFT($D228,5)="Areal", IF($G228="Ton",Landbrug!D$18,1),1)),1)*IF($F228="Grøntsager",IF($A228="Grøntsager i drivhus",Landbrug!D$51,1-Landbrug!D$51),1)</f>
        <v>#REF!</v>
      </c>
      <c r="J228" s="304" t="e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input'!$A$3:$A$230,$A$1)),IF(VLOOKUP($A228,[1]!Table1[#All],2,FALSE)="Resultat",SUMIF($F$1:$F227,$D228,J$1:J227)+SUMIF($F229:$F$490,$D228,J229:J$490),0))*'[1]Processer - data'!J228,"")*IF($C228&lt;&gt;"",IF($F228="Halm",Landbrug!E$16*Landbrug!E$17,IF(LEFT($D228,5)="Areal", IF($G228="Ton",Landbrug!E$18,1),1)),1)*IF($F228="Grøntsager",IF($A228="Grøntsager i drivhus",Landbrug!E$51,1-Landbrug!E$51),1)</f>
        <v>#REF!</v>
      </c>
    </row>
    <row r="229" spans="1:10" x14ac:dyDescent="0.25">
      <c r="A229" t="str">
        <f>IF('[1]Processer - data'!A229&lt;&gt;"",'[1]Processer - data'!A229,"")</f>
        <v>Roemark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JB1-10</v>
      </c>
      <c r="D229" t="str">
        <f>IF('[1]Processer - data'!D229&lt;&gt;"",'[1]Processer - data'!D229,"")</f>
        <v>Areal-roer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Gødning</v>
      </c>
      <c r="G229" t="str">
        <f>IF('[1]Processer - data'!G229&lt;&gt;"",'[1]Processer - data'!G229,"")</f>
        <v>kg N</v>
      </c>
      <c r="H229" s="302" t="e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input'!$A$3:$A$230,$A$1)),IF(VLOOKUP($A229,[1]!Table1[#All],2,FALSE)="Resultat",SUMIF($F$1:$F228,$D229,H$1:H228)+SUMIF($F230:$F$490,$D229,H230:H$490),0))*'[1]Processer - data'!H229,"")*IF($C229&lt;&gt;"",IF($F229="Halm",Landbrug!C$16*Landbrug!C$17,IF(LEFT($D229,5)="Areal", IF($G229="Ton",Landbrug!C$18,1),1)),1)*IF($F229="Grøntsager",IF($A229="Grøntsager i drivhus",Landbrug!C$51,1-Landbrug!C$51),1)</f>
        <v>#REF!</v>
      </c>
      <c r="I229" s="303" t="e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input'!$A$3:$A$230,$A$1)),IF(VLOOKUP($A229,[1]!Table1[#All],2,FALSE)="Resultat",SUMIF($F$1:$F228,$D229,I$1:I228)+SUMIF($F230:$F$490,$D229,I230:I$490),0))*'[1]Processer - data'!I229,"")*IF($C229&lt;&gt;"",IF($F229="Halm",Landbrug!D$16*Landbrug!D$17,IF(LEFT($D229,5)="Areal", IF($G229="Ton",Landbrug!D$18,1),1)),1)*IF($F229="Grøntsager",IF($A229="Grøntsager i drivhus",Landbrug!D$51,1-Landbrug!D$51),1)</f>
        <v>#REF!</v>
      </c>
      <c r="J229" s="304" t="e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input'!$A$3:$A$230,$A$1)),IF(VLOOKUP($A229,[1]!Table1[#All],2,FALSE)="Resultat",SUMIF($F$1:$F228,$D229,J$1:J228)+SUMIF($F230:$F$490,$D229,J230:J$490),0))*'[1]Processer - data'!J229,"")*IF($C229&lt;&gt;"",IF($F229="Halm",Landbrug!E$16*Landbrug!E$17,IF(LEFT($D229,5)="Areal", IF($G229="Ton",Landbrug!E$18,1),1)),1)*IF($F229="Grøntsager",IF($A229="Grøntsager i drivhus",Landbrug!E$51,1-Landbrug!E$51),1)</f>
        <v>#REF!</v>
      </c>
    </row>
    <row r="230" spans="1:10" x14ac:dyDescent="0.25">
      <c r="A230" t="str">
        <f>IF('[1]Processer - data'!A230&lt;&gt;"",'[1]Processer - data'!A230,"")</f>
        <v>Roemark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JB1-10</v>
      </c>
      <c r="D230" t="str">
        <f>IF('[1]Processer - data'!D230&lt;&gt;"",'[1]Processer - data'!D230,"")</f>
        <v>Areal-roer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CO2 - atmosfære</v>
      </c>
      <c r="G230" t="str">
        <f>IF('[1]Processer - data'!G230&lt;&gt;"",'[1]Processer - data'!G230,"")</f>
        <v>t CO2-ækvivalenter</v>
      </c>
      <c r="H230" s="302" t="e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input'!$A$3:$A$230,$A$1)),IF(VLOOKUP($A230,[1]!Table1[#All],2,FALSE)="Resultat",SUMIF($F$1:$F229,$D230,H$1:H229)+SUMIF($F231:$F$490,$D230,H231:H$490),0))*'[1]Processer - data'!H230,"")*IF($C230&lt;&gt;"",IF($F230="Halm",Landbrug!C$16*Landbrug!C$17,IF(LEFT($D230,5)="Areal", IF($G230="Ton",Landbrug!C$18,1),1)),1)*IF($F230="Grøntsager",IF($A230="Grøntsager i drivhus",Landbrug!C$51,1-Landbrug!C$51),1)</f>
        <v>#REF!</v>
      </c>
      <c r="I230" s="303" t="e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input'!$A$3:$A$230,$A$1)),IF(VLOOKUP($A230,[1]!Table1[#All],2,FALSE)="Resultat",SUMIF($F$1:$F229,$D230,I$1:I229)+SUMIF($F231:$F$490,$D230,I231:I$490),0))*'[1]Processer - data'!I230,"")*IF($C230&lt;&gt;"",IF($F230="Halm",Landbrug!D$16*Landbrug!D$17,IF(LEFT($D230,5)="Areal", IF($G230="Ton",Landbrug!D$18,1),1)),1)*IF($F230="Grøntsager",IF($A230="Grøntsager i drivhus",Landbrug!D$51,1-Landbrug!D$51),1)</f>
        <v>#REF!</v>
      </c>
      <c r="J230" s="304" t="e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input'!$A$3:$A$230,$A$1)),IF(VLOOKUP($A230,[1]!Table1[#All],2,FALSE)="Resultat",SUMIF($F$1:$F229,$D230,J$1:J229)+SUMIF($F231:$F$490,$D230,J231:J$490),0))*'[1]Processer - data'!J230,"")*IF($C230&lt;&gt;"",IF($F230="Halm",Landbrug!E$16*Landbrug!E$17,IF(LEFT($D230,5)="Areal", IF($G230="Ton",Landbrug!E$18,1),1)),1)*IF($F230="Grøntsager",IF($A230="Grøntsager i drivhus",Landbrug!E$51,1-Landbrug!E$51),1)</f>
        <v>#REF!</v>
      </c>
    </row>
    <row r="231" spans="1:10" x14ac:dyDescent="0.25">
      <c r="A231" t="str">
        <f>IF('[1]Processer - data'!A231&lt;&gt;"",'[1]Processer - data'!A231,"")</f>
        <v>Roemark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Areal-roer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Roer</v>
      </c>
      <c r="G231" t="str">
        <f>IF('[1]Processer - data'!G231&lt;&gt;"",'[1]Processer - data'!G231,"")</f>
        <v>Ton</v>
      </c>
      <c r="H231" s="302" t="e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input'!$A$3:$A$230,$A$1)),IF(VLOOKUP($A231,[1]!Table1[#All],2,FALSE)="Resultat",SUMIF($F$1:$F230,$D231,H$1:H230)+SUMIF($F232:$F$490,$D231,H232:H$490),0))*'[1]Processer - data'!H231,"")*IF($C231&lt;&gt;"",IF($F231="Halm",Landbrug!C$16*Landbrug!C$17,IF(LEFT($D231,5)="Areal", IF($G231="Ton",Landbrug!C$18,1),1)),1)*IF($F231="Grøntsager",IF($A231="Grøntsager i drivhus",Landbrug!C$51,1-Landbrug!C$51),1)</f>
        <v>#REF!</v>
      </c>
      <c r="I231" s="303" t="e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input'!$A$3:$A$230,$A$1)),IF(VLOOKUP($A231,[1]!Table1[#All],2,FALSE)="Resultat",SUMIF($F$1:$F230,$D231,I$1:I230)+SUMIF($F232:$F$490,$D231,I232:I$490),0))*'[1]Processer - data'!I231,"")*IF($C231&lt;&gt;"",IF($F231="Halm",Landbrug!D$16*Landbrug!D$17,IF(LEFT($D231,5)="Areal", IF($G231="Ton",Landbrug!D$18,1),1)),1)*IF($F231="Grøntsager",IF($A231="Grøntsager i drivhus",Landbrug!D$51,1-Landbrug!D$51),1)</f>
        <v>#REF!</v>
      </c>
      <c r="J231" s="304" t="e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input'!$A$3:$A$230,$A$1)),IF(VLOOKUP($A231,[1]!Table1[#All],2,FALSE)="Resultat",SUMIF($F$1:$F230,$D231,J$1:J230)+SUMIF($F232:$F$490,$D231,J232:J$490),0))*'[1]Processer - data'!J231,"")*IF($C231&lt;&gt;"",IF($F231="Halm",Landbrug!E$16*Landbrug!E$17,IF(LEFT($D231,5)="Areal", IF($G231="Ton",Landbrug!E$18,1),1)),1)*IF($F231="Grøntsager",IF($A231="Grøntsager i drivhus",Landbrug!E$51,1-Landbrug!E$51),1)</f>
        <v>#REF!</v>
      </c>
    </row>
    <row r="232" spans="1:10" x14ac:dyDescent="0.25">
      <c r="A232" t="str">
        <f>IF('[1]Processer - data'!A232&lt;&gt;"",'[1]Processer - data'!A232,"")</f>
        <v>Roemark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Areal-roer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Gødning</v>
      </c>
      <c r="G232" t="str">
        <f>IF('[1]Processer - data'!G232&lt;&gt;"",'[1]Processer - data'!G232,"")</f>
        <v>kg N</v>
      </c>
      <c r="H232" s="302" t="e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input'!$A$3:$A$230,$A$1)),IF(VLOOKUP($A232,[1]!Table1[#All],2,FALSE)="Resultat",SUMIF($F$1:$F231,$D232,H$1:H231)+SUMIF($F233:$F$490,$D232,H233:H$490),0))*'[1]Processer - data'!H232,"")*IF($C232&lt;&gt;"",IF($F232="Halm",Landbrug!C$16*Landbrug!C$17,IF(LEFT($D232,5)="Areal", IF($G232="Ton",Landbrug!C$18,1),1)),1)*IF($F232="Grøntsager",IF($A232="Grøntsager i drivhus",Landbrug!C$51,1-Landbrug!C$51),1)</f>
        <v>#REF!</v>
      </c>
      <c r="I232" s="303" t="e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input'!$A$3:$A$230,$A$1)),IF(VLOOKUP($A232,[1]!Table1[#All],2,FALSE)="Resultat",SUMIF($F$1:$F231,$D232,I$1:I231)+SUMIF($F233:$F$490,$D232,I233:I$490),0))*'[1]Processer - data'!I232,"")*IF($C232&lt;&gt;"",IF($F232="Halm",Landbrug!D$16*Landbrug!D$17,IF(LEFT($D232,5)="Areal", IF($G232="Ton",Landbrug!D$18,1),1)),1)*IF($F232="Grøntsager",IF($A232="Grøntsager i drivhus",Landbrug!D$51,1-Landbrug!D$51),1)</f>
        <v>#REF!</v>
      </c>
      <c r="J232" s="304" t="e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input'!$A$3:$A$230,$A$1)),IF(VLOOKUP($A232,[1]!Table1[#All],2,FALSE)="Resultat",SUMIF($F$1:$F231,$D232,J$1:J231)+SUMIF($F233:$F$490,$D232,J233:J$490),0))*'[1]Processer - data'!J232,"")*IF($C232&lt;&gt;"",IF($F232="Halm",Landbrug!E$16*Landbrug!E$17,IF(LEFT($D232,5)="Areal", IF($G232="Ton",Landbrug!E$18,1),1)),1)*IF($F232="Grøntsager",IF($A232="Grøntsager i drivhus",Landbrug!E$51,1-Landbrug!E$51),1)</f>
        <v>#REF!</v>
      </c>
    </row>
    <row r="233" spans="1:10" x14ac:dyDescent="0.25">
      <c r="A233" t="str">
        <f>IF('[1]Processer - data'!A233&lt;&gt;"",'[1]Processer - data'!A233,"")</f>
        <v>Roemark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OC6</v>
      </c>
      <c r="D233" t="str">
        <f>IF('[1]Processer - data'!D233&lt;&gt;"",'[1]Processer - data'!D233,"")</f>
        <v>Areal-roer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CO2 - atmosfære</v>
      </c>
      <c r="G233" t="str">
        <f>IF('[1]Processer - data'!G233&lt;&gt;"",'[1]Processer - data'!G233,"")</f>
        <v>t CO2-ækvivalenter</v>
      </c>
      <c r="H233" s="302" t="e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input'!$A$3:$A$230,$A$1)),IF(VLOOKUP($A233,[1]!Table1[#All],2,FALSE)="Resultat",SUMIF($F$1:$F232,$D233,H$1:H232)+SUMIF($F234:$F$490,$D233,H234:H$490),0))*'[1]Processer - data'!H233,"")*IF($C233&lt;&gt;"",IF($F233="Halm",Landbrug!C$16*Landbrug!C$17,IF(LEFT($D233,5)="Areal", IF($G233="Ton",Landbrug!C$18,1),1)),1)*IF($F233="Grøntsager",IF($A233="Grøntsager i drivhus",Landbrug!C$51,1-Landbrug!C$51),1)</f>
        <v>#REF!</v>
      </c>
      <c r="I233" s="303" t="e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input'!$A$3:$A$230,$A$1)),IF(VLOOKUP($A233,[1]!Table1[#All],2,FALSE)="Resultat",SUMIF($F$1:$F232,$D233,I$1:I232)+SUMIF($F234:$F$490,$D233,I234:I$490),0))*'[1]Processer - data'!I233,"")*IF($C233&lt;&gt;"",IF($F233="Halm",Landbrug!D$16*Landbrug!D$17,IF(LEFT($D233,5)="Areal", IF($G233="Ton",Landbrug!D$18,1),1)),1)*IF($F233="Grøntsager",IF($A233="Grøntsager i drivhus",Landbrug!D$51,1-Landbrug!D$51),1)</f>
        <v>#REF!</v>
      </c>
      <c r="J233" s="304" t="e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input'!$A$3:$A$230,$A$1)),IF(VLOOKUP($A233,[1]!Table1[#All],2,FALSE)="Resultat",SUMIF($F$1:$F232,$D233,J$1:J232)+SUMIF($F234:$F$490,$D233,J234:J$490),0))*'[1]Processer - data'!J233,"")*IF($C233&lt;&gt;"",IF($F233="Halm",Landbrug!E$16*Landbrug!E$17,IF(LEFT($D233,5)="Areal", IF($G233="Ton",Landbrug!E$18,1),1)),1)*IF($F233="Grøntsager",IF($A233="Grøntsager i drivhus",Landbrug!E$51,1-Landbrug!E$51),1)</f>
        <v>#REF!</v>
      </c>
    </row>
    <row r="234" spans="1:10" x14ac:dyDescent="0.25">
      <c r="A234" t="str">
        <f>IF('[1]Processer - data'!A234&lt;&gt;"",'[1]Processer - data'!A234,"")</f>
        <v>Roemark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Areal-roer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Roer</v>
      </c>
      <c r="G234" t="str">
        <f>IF('[1]Processer - data'!G234&lt;&gt;"",'[1]Processer - data'!G234,"")</f>
        <v>Ton</v>
      </c>
      <c r="H234" s="302" t="e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input'!$A$3:$A$230,$A$1)),IF(VLOOKUP($A234,[1]!Table1[#All],2,FALSE)="Resultat",SUMIF($F$1:$F233,$D234,H$1:H233)+SUMIF($F235:$F$490,$D234,H235:H$490),0))*'[1]Processer - data'!H234,"")*IF($C234&lt;&gt;"",IF($F234="Halm",Landbrug!C$16*Landbrug!C$17,IF(LEFT($D234,5)="Areal", IF($G234="Ton",Landbrug!C$18,1),1)),1)*IF($F234="Grøntsager",IF($A234="Grøntsager i drivhus",Landbrug!C$51,1-Landbrug!C$51),1)</f>
        <v>#REF!</v>
      </c>
      <c r="I234" s="303" t="e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input'!$A$3:$A$230,$A$1)),IF(VLOOKUP($A234,[1]!Table1[#All],2,FALSE)="Resultat",SUMIF($F$1:$F233,$D234,I$1:I233)+SUMIF($F235:$F$490,$D234,I235:I$490),0))*'[1]Processer - data'!I234,"")*IF($C234&lt;&gt;"",IF($F234="Halm",Landbrug!D$16*Landbrug!D$17,IF(LEFT($D234,5)="Areal", IF($G234="Ton",Landbrug!D$18,1),1)),1)*IF($F234="Grøntsager",IF($A234="Grøntsager i drivhus",Landbrug!D$51,1-Landbrug!D$51),1)</f>
        <v>#REF!</v>
      </c>
      <c r="J234" s="304" t="e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input'!$A$3:$A$230,$A$1)),IF(VLOOKUP($A234,[1]!Table1[#All],2,FALSE)="Resultat",SUMIF($F$1:$F233,$D234,J$1:J233)+SUMIF($F235:$F$490,$D234,J235:J$490),0))*'[1]Processer - data'!J234,"")*IF($C234&lt;&gt;"",IF($F234="Halm",Landbrug!E$16*Landbrug!E$17,IF(LEFT($D234,5)="Areal", IF($G234="Ton",Landbrug!E$18,1),1)),1)*IF($F234="Grøntsager",IF($A234="Grøntsager i drivhus",Landbrug!E$51,1-Landbrug!E$51),1)</f>
        <v>#REF!</v>
      </c>
    </row>
    <row r="235" spans="1:10" x14ac:dyDescent="0.25">
      <c r="A235" t="str">
        <f>IF('[1]Processer - data'!A235&lt;&gt;"",'[1]Processer - data'!A235,"")</f>
        <v>Roemark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Areal-roer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2" t="e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input'!$A$3:$A$230,$A$1)),IF(VLOOKUP($A235,[1]!Table1[#All],2,FALSE)="Resultat",SUMIF($F$1:$F234,$D235,H$1:H234)+SUMIF($F236:$F$490,$D235,H236:H$490),0))*'[1]Processer - data'!H235,"")*IF($C235&lt;&gt;"",IF($F235="Halm",Landbrug!C$16*Landbrug!C$17,IF(LEFT($D235,5)="Areal", IF($G235="Ton",Landbrug!C$18,1),1)),1)*IF($F235="Grøntsager",IF($A235="Grøntsager i drivhus",Landbrug!C$51,1-Landbrug!C$51),1)</f>
        <v>#REF!</v>
      </c>
      <c r="I235" s="303" t="e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input'!$A$3:$A$230,$A$1)),IF(VLOOKUP($A235,[1]!Table1[#All],2,FALSE)="Resultat",SUMIF($F$1:$F234,$D235,I$1:I234)+SUMIF($F236:$F$490,$D235,I236:I$490),0))*'[1]Processer - data'!I235,"")*IF($C235&lt;&gt;"",IF($F235="Halm",Landbrug!D$16*Landbrug!D$17,IF(LEFT($D235,5)="Areal", IF($G235="Ton",Landbrug!D$18,1),1)),1)*IF($F235="Grøntsager",IF($A235="Grøntsager i drivhus",Landbrug!D$51,1-Landbrug!D$51),1)</f>
        <v>#REF!</v>
      </c>
      <c r="J235" s="304" t="e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input'!$A$3:$A$230,$A$1)),IF(VLOOKUP($A235,[1]!Table1[#All],2,FALSE)="Resultat",SUMIF($F$1:$F234,$D235,J$1:J234)+SUMIF($F236:$F$490,$D235,J236:J$490),0))*'[1]Processer - data'!J235,"")*IF($C235&lt;&gt;"",IF($F235="Halm",Landbrug!E$16*Landbrug!E$17,IF(LEFT($D235,5)="Areal", IF($G235="Ton",Landbrug!E$18,1),1)),1)*IF($F235="Grøntsager",IF($A235="Grøntsager i drivhus",Landbrug!E$51,1-Landbrug!E$51),1)</f>
        <v>#REF!</v>
      </c>
    </row>
    <row r="236" spans="1:10" x14ac:dyDescent="0.25">
      <c r="A236" t="str">
        <f>IF('[1]Processer - data'!A236&lt;&gt;"",'[1]Processer - data'!A236,"")</f>
        <v>Roemark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Areal-roer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2" t="e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input'!$A$3:$A$230,$A$1)),IF(VLOOKUP($A236,[1]!Table1[#All],2,FALSE)="Resultat",SUMIF($F$1:$F235,$D236,H$1:H235)+SUMIF($F237:$F$490,$D236,H237:H$490),0))*'[1]Processer - data'!H236,"")*IF($C236&lt;&gt;"",IF($F236="Halm",Landbrug!C$16*Landbrug!C$17,IF(LEFT($D236,5)="Areal", IF($G236="Ton",Landbrug!C$18,1),1)),1)*IF($F236="Grøntsager",IF($A236="Grøntsager i drivhus",Landbrug!C$51,1-Landbrug!C$51),1)</f>
        <v>#REF!</v>
      </c>
      <c r="I236" s="303" t="e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input'!$A$3:$A$230,$A$1)),IF(VLOOKUP($A236,[1]!Table1[#All],2,FALSE)="Resultat",SUMIF($F$1:$F235,$D236,I$1:I235)+SUMIF($F237:$F$490,$D236,I237:I$490),0))*'[1]Processer - data'!I236,"")*IF($C236&lt;&gt;"",IF($F236="Halm",Landbrug!D$16*Landbrug!D$17,IF(LEFT($D236,5)="Areal", IF($G236="Ton",Landbrug!D$18,1),1)),1)*IF($F236="Grøntsager",IF($A236="Grøntsager i drivhus",Landbrug!D$51,1-Landbrug!D$51),1)</f>
        <v>#REF!</v>
      </c>
      <c r="J236" s="304" t="e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input'!$A$3:$A$230,$A$1)),IF(VLOOKUP($A236,[1]!Table1[#All],2,FALSE)="Resultat",SUMIF($F$1:$F235,$D236,J$1:J235)+SUMIF($F237:$F$490,$D236,J237:J$490),0))*'[1]Processer - data'!J236,"")*IF($C236&lt;&gt;"",IF($F236="Halm",Landbrug!E$16*Landbrug!E$17,IF(LEFT($D236,5)="Areal", IF($G236="Ton",Landbrug!E$18,1),1)),1)*IF($F236="Grøntsager",IF($A236="Grøntsager i drivhus",Landbrug!E$51,1-Landbrug!E$51),1)</f>
        <v>#REF!</v>
      </c>
    </row>
    <row r="237" spans="1:10" x14ac:dyDescent="0.25">
      <c r="A237" t="str">
        <f>IF('[1]Processer - data'!A237&lt;&gt;"",'[1]Processer - data'!A237,"")</f>
        <v>Roemark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Areal-roer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Roer</v>
      </c>
      <c r="G237" t="str">
        <f>IF('[1]Processer - data'!G237&lt;&gt;"",'[1]Processer - data'!G237,"")</f>
        <v>Ton</v>
      </c>
      <c r="H237" s="302" t="e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input'!$A$3:$A$230,$A$1)),IF(VLOOKUP($A237,[1]!Table1[#All],2,FALSE)="Resultat",SUMIF($F$1:$F236,$D237,H$1:H236)+SUMIF($F238:$F$490,$D237,H238:H$490),0))*'[1]Processer - data'!H237,"")*IF($C237&lt;&gt;"",IF($F237="Halm",Landbrug!C$16*Landbrug!C$17,IF(LEFT($D237,5)="Areal", IF($G237="Ton",Landbrug!C$18,1),1)),1)*IF($F237="Grøntsager",IF($A237="Grøntsager i drivhus",Landbrug!C$51,1-Landbrug!C$51),1)</f>
        <v>#REF!</v>
      </c>
      <c r="I237" s="303" t="e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input'!$A$3:$A$230,$A$1)),IF(VLOOKUP($A237,[1]!Table1[#All],2,FALSE)="Resultat",SUMIF($F$1:$F236,$D237,I$1:I236)+SUMIF($F238:$F$490,$D237,I238:I$490),0))*'[1]Processer - data'!I237,"")*IF($C237&lt;&gt;"",IF($F237="Halm",Landbrug!D$16*Landbrug!D$17,IF(LEFT($D237,5)="Areal", IF($G237="Ton",Landbrug!D$18,1),1)),1)*IF($F237="Grøntsager",IF($A237="Grøntsager i drivhus",Landbrug!D$51,1-Landbrug!D$51),1)</f>
        <v>#REF!</v>
      </c>
      <c r="J237" s="304" t="e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input'!$A$3:$A$230,$A$1)),IF(VLOOKUP($A237,[1]!Table1[#All],2,FALSE)="Resultat",SUMIF($F$1:$F236,$D237,J$1:J236)+SUMIF($F238:$F$490,$D237,J238:J$490),0))*'[1]Processer - data'!J237,"")*IF($C237&lt;&gt;"",IF($F237="Halm",Landbrug!E$16*Landbrug!E$17,IF(LEFT($D237,5)="Areal", IF($G237="Ton",Landbrug!E$18,1),1)),1)*IF($F237="Grøntsager",IF($A237="Grøntsager i drivhus",Landbrug!E$51,1-Landbrug!E$51),1)</f>
        <v>#REF!</v>
      </c>
    </row>
    <row r="238" spans="1:10" x14ac:dyDescent="0.25">
      <c r="A238" t="str">
        <f>IF('[1]Processer - data'!A238&lt;&gt;"",'[1]Processer - data'!A238,"")</f>
        <v>Roemark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Areal-roer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Gødning</v>
      </c>
      <c r="G238" t="str">
        <f>IF('[1]Processer - data'!G238&lt;&gt;"",'[1]Processer - data'!G238,"")</f>
        <v>kg N</v>
      </c>
      <c r="H238" s="302" t="e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input'!$A$3:$A$230,$A$1)),IF(VLOOKUP($A238,[1]!Table1[#All],2,FALSE)="Resultat",SUMIF($F$1:$F237,$D238,H$1:H237)+SUMIF($F239:$F$490,$D238,H239:H$490),0))*'[1]Processer - data'!H238,"")*IF($C238&lt;&gt;"",IF($F238="Halm",Landbrug!C$16*Landbrug!C$17,IF(LEFT($D238,5)="Areal", IF($G238="Ton",Landbrug!C$18,1),1)),1)*IF($F238="Grøntsager",IF($A238="Grøntsager i drivhus",Landbrug!C$51,1-Landbrug!C$51),1)</f>
        <v>#REF!</v>
      </c>
      <c r="I238" s="303" t="e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input'!$A$3:$A$230,$A$1)),IF(VLOOKUP($A238,[1]!Table1[#All],2,FALSE)="Resultat",SUMIF($F$1:$F237,$D238,I$1:I237)+SUMIF($F239:$F$490,$D238,I239:I$490),0))*'[1]Processer - data'!I238,"")*IF($C238&lt;&gt;"",IF($F238="Halm",Landbrug!D$16*Landbrug!D$17,IF(LEFT($D238,5)="Areal", IF($G238="Ton",Landbrug!D$18,1),1)),1)*IF($F238="Grøntsager",IF($A238="Grøntsager i drivhus",Landbrug!D$51,1-Landbrug!D$51),1)</f>
        <v>#REF!</v>
      </c>
      <c r="J238" s="304" t="e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input'!$A$3:$A$230,$A$1)),IF(VLOOKUP($A238,[1]!Table1[#All],2,FALSE)="Resultat",SUMIF($F$1:$F237,$D238,J$1:J237)+SUMIF($F239:$F$490,$D238,J239:J$490),0))*'[1]Processer - data'!J238,"")*IF($C238&lt;&gt;"",IF($F238="Halm",Landbrug!E$16*Landbrug!E$17,IF(LEFT($D238,5)="Areal", IF($G238="Ton",Landbrug!E$18,1),1)),1)*IF($F238="Grøntsager",IF($A238="Grøntsager i drivhus",Landbrug!E$51,1-Landbrug!E$51),1)</f>
        <v>#REF!</v>
      </c>
    </row>
    <row r="239" spans="1:10" x14ac:dyDescent="0.25">
      <c r="A239" t="str">
        <f>IF('[1]Processer - data'!A239&lt;&gt;"",'[1]Processer - data'!A239,"")</f>
        <v>Roemark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Areal-roer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CO2 - atmosfære</v>
      </c>
      <c r="G239" t="str">
        <f>IF('[1]Processer - data'!G239&lt;&gt;"",'[1]Processer - data'!G239,"")</f>
        <v>t CO2-ækvivalenter</v>
      </c>
      <c r="H239" s="302" t="e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input'!$A$3:$A$230,$A$1)),IF(VLOOKUP($A239,[1]!Table1[#All],2,FALSE)="Resultat",SUMIF($F$1:$F238,$D239,H$1:H238)+SUMIF($F240:$F$490,$D239,H240:H$490),0))*'[1]Processer - data'!H239,"")*IF($C239&lt;&gt;"",IF($F239="Halm",Landbrug!C$16*Landbrug!C$17,IF(LEFT($D239,5)="Areal", IF($G239="Ton",Landbrug!C$18,1),1)),1)*IF($F239="Grøntsager",IF($A239="Grøntsager i drivhus",Landbrug!C$51,1-Landbrug!C$51),1)</f>
        <v>#REF!</v>
      </c>
      <c r="I239" s="303" t="e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input'!$A$3:$A$230,$A$1)),IF(VLOOKUP($A239,[1]!Table1[#All],2,FALSE)="Resultat",SUMIF($F$1:$F238,$D239,I$1:I238)+SUMIF($F240:$F$490,$D239,I240:I$490),0))*'[1]Processer - data'!I239,"")*IF($C239&lt;&gt;"",IF($F239="Halm",Landbrug!D$16*Landbrug!D$17,IF(LEFT($D239,5)="Areal", IF($G239="Ton",Landbrug!D$18,1),1)),1)*IF($F239="Grøntsager",IF($A239="Grøntsager i drivhus",Landbrug!D$51,1-Landbrug!D$51),1)</f>
        <v>#REF!</v>
      </c>
      <c r="J239" s="304" t="e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input'!$A$3:$A$230,$A$1)),IF(VLOOKUP($A239,[1]!Table1[#All],2,FALSE)="Resultat",SUMIF($F$1:$F238,$D239,J$1:J238)+SUMIF($F240:$F$490,$D239,J240:J$490),0))*'[1]Processer - data'!J239,"")*IF($C239&lt;&gt;"",IF($F239="Halm",Landbrug!E$16*Landbrug!E$17,IF(LEFT($D239,5)="Areal", IF($G239="Ton",Landbrug!E$18,1),1)),1)*IF($F239="Grøntsager",IF($A239="Grøntsager i drivhus",Landbrug!E$51,1-Landbrug!E$51),1)</f>
        <v>#REF!</v>
      </c>
    </row>
    <row r="240" spans="1:10" x14ac:dyDescent="0.25">
      <c r="A240" t="str">
        <f>IF('[1]Processer - data'!A240&lt;&gt;"",'[1]Processer - data'!A240,"")</f>
        <v>Roemark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OC6</v>
      </c>
      <c r="D240" t="str">
        <f>IF('[1]Processer - data'!D240&lt;&gt;"",'[1]Processer - data'!D240,"")</f>
        <v>Areal-roer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Roer</v>
      </c>
      <c r="G240" t="str">
        <f>IF('[1]Processer - data'!G240&lt;&gt;"",'[1]Processer - data'!G240,"")</f>
        <v>Ton</v>
      </c>
      <c r="H240" s="302" t="e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input'!$A$3:$A$230,$A$1)),IF(VLOOKUP($A240,[1]!Table1[#All],2,FALSE)="Resultat",SUMIF($F$1:$F239,$D240,H$1:H239)+SUMIF($F241:$F$490,$D240,H241:H$490),0))*'[1]Processer - data'!H240,"")*IF($C240&lt;&gt;"",IF($F240="Halm",Landbrug!C$16*Landbrug!C$17,IF(LEFT($D240,5)="Areal", IF($G240="Ton",Landbrug!C$18,1),1)),1)*IF($F240="Grøntsager",IF($A240="Grøntsager i drivhus",Landbrug!C$51,1-Landbrug!C$51),1)</f>
        <v>#REF!</v>
      </c>
      <c r="I240" s="303" t="e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input'!$A$3:$A$230,$A$1)),IF(VLOOKUP($A240,[1]!Table1[#All],2,FALSE)="Resultat",SUMIF($F$1:$F239,$D240,I$1:I239)+SUMIF($F241:$F$490,$D240,I241:I$490),0))*'[1]Processer - data'!I240,"")*IF($C240&lt;&gt;"",IF($F240="Halm",Landbrug!D$16*Landbrug!D$17,IF(LEFT($D240,5)="Areal", IF($G240="Ton",Landbrug!D$18,1),1)),1)*IF($F240="Grøntsager",IF($A240="Grøntsager i drivhus",Landbrug!D$51,1-Landbrug!D$51),1)</f>
        <v>#REF!</v>
      </c>
      <c r="J240" s="304" t="e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input'!$A$3:$A$230,$A$1)),IF(VLOOKUP($A240,[1]!Table1[#All],2,FALSE)="Resultat",SUMIF($F$1:$F239,$D240,J$1:J239)+SUMIF($F241:$F$490,$D240,J241:J$490),0))*'[1]Processer - data'!J240,"")*IF($C240&lt;&gt;"",IF($F240="Halm",Landbrug!E$16*Landbrug!E$17,IF(LEFT($D240,5)="Areal", IF($G240="Ton",Landbrug!E$18,1),1)),1)*IF($F240="Grøntsager",IF($A240="Grøntsager i drivhus",Landbrug!E$51,1-Landbrug!E$51),1)</f>
        <v>#REF!</v>
      </c>
    </row>
    <row r="241" spans="1:10" x14ac:dyDescent="0.25">
      <c r="A241" t="str">
        <f>IF('[1]Processer - data'!A241&lt;&gt;"",'[1]Processer - data'!A241,"")</f>
        <v>Roemark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Areal-roer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Gødning</v>
      </c>
      <c r="G241" t="str">
        <f>IF('[1]Processer - data'!G241&lt;&gt;"",'[1]Processer - data'!G241,"")</f>
        <v>kg N</v>
      </c>
      <c r="H241" s="302" t="e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input'!$A$3:$A$230,$A$1)),IF(VLOOKUP($A241,[1]!Table1[#All],2,FALSE)="Resultat",SUMIF($F$1:$F240,$D241,H$1:H240)+SUMIF($F242:$F$490,$D241,H242:H$490),0))*'[1]Processer - data'!H241,"")*IF($C241&lt;&gt;"",IF($F241="Halm",Landbrug!C$16*Landbrug!C$17,IF(LEFT($D241,5)="Areal", IF($G241="Ton",Landbrug!C$18,1),1)),1)*IF($F241="Grøntsager",IF($A241="Grøntsager i drivhus",Landbrug!C$51,1-Landbrug!C$51),1)</f>
        <v>#REF!</v>
      </c>
      <c r="I241" s="303" t="e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input'!$A$3:$A$230,$A$1)),IF(VLOOKUP($A241,[1]!Table1[#All],2,FALSE)="Resultat",SUMIF($F$1:$F240,$D241,I$1:I240)+SUMIF($F242:$F$490,$D241,I242:I$490),0))*'[1]Processer - data'!I241,"")*IF($C241&lt;&gt;"",IF($F241="Halm",Landbrug!D$16*Landbrug!D$17,IF(LEFT($D241,5)="Areal", IF($G241="Ton",Landbrug!D$18,1),1)),1)*IF($F241="Grøntsager",IF($A241="Grøntsager i drivhus",Landbrug!D$51,1-Landbrug!D$51),1)</f>
        <v>#REF!</v>
      </c>
      <c r="J241" s="304" t="e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input'!$A$3:$A$230,$A$1)),IF(VLOOKUP($A241,[1]!Table1[#All],2,FALSE)="Resultat",SUMIF($F$1:$F240,$D241,J$1:J240)+SUMIF($F242:$F$490,$D241,J242:J$490),0))*'[1]Processer - data'!J241,"")*IF($C241&lt;&gt;"",IF($F241="Halm",Landbrug!E$16*Landbrug!E$17,IF(LEFT($D241,5)="Areal", IF($G241="Ton",Landbrug!E$18,1),1)),1)*IF($F241="Grøntsager",IF($A241="Grøntsager i drivhus",Landbrug!E$51,1-Landbrug!E$51),1)</f>
        <v>#REF!</v>
      </c>
    </row>
    <row r="242" spans="1:10" x14ac:dyDescent="0.25">
      <c r="A242" t="str">
        <f>IF('[1]Processer - data'!A242&lt;&gt;"",'[1]Processer - data'!A242,"")</f>
        <v>Roemark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Areal-roer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CO2 - atmosfære</v>
      </c>
      <c r="G242" t="str">
        <f>IF('[1]Processer - data'!G242&lt;&gt;"",'[1]Processer - data'!G242,"")</f>
        <v>t CO2-ækvivalenter</v>
      </c>
      <c r="H242" s="302" t="e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input'!$A$3:$A$230,$A$1)),IF(VLOOKUP($A242,[1]!Table1[#All],2,FALSE)="Resultat",SUMIF($F$1:$F241,$D242,H$1:H241)+SUMIF($F243:$F$490,$D242,H243:H$490),0))*'[1]Processer - data'!H242,"")*IF($C242&lt;&gt;"",IF($F242="Halm",Landbrug!C$16*Landbrug!C$17,IF(LEFT($D242,5)="Areal", IF($G242="Ton",Landbrug!C$18,1),1)),1)*IF($F242="Grøntsager",IF($A242="Grøntsager i drivhus",Landbrug!C$51,1-Landbrug!C$51),1)</f>
        <v>#REF!</v>
      </c>
      <c r="I242" s="303" t="e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input'!$A$3:$A$230,$A$1)),IF(VLOOKUP($A242,[1]!Table1[#All],2,FALSE)="Resultat",SUMIF($F$1:$F241,$D242,I$1:I241)+SUMIF($F243:$F$490,$D242,I243:I$490),0))*'[1]Processer - data'!I242,"")*IF($C242&lt;&gt;"",IF($F242="Halm",Landbrug!D$16*Landbrug!D$17,IF(LEFT($D242,5)="Areal", IF($G242="Ton",Landbrug!D$18,1),1)),1)*IF($F242="Grøntsager",IF($A242="Grøntsager i drivhus",Landbrug!D$51,1-Landbrug!D$51),1)</f>
        <v>#REF!</v>
      </c>
      <c r="J242" s="304" t="e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input'!$A$3:$A$230,$A$1)),IF(VLOOKUP($A242,[1]!Table1[#All],2,FALSE)="Resultat",SUMIF($F$1:$F241,$D242,J$1:J241)+SUMIF($F243:$F$490,$D242,J243:J$490),0))*'[1]Processer - data'!J242,"")*IF($C242&lt;&gt;"",IF($F242="Halm",Landbrug!E$16*Landbrug!E$17,IF(LEFT($D242,5)="Areal", IF($G242="Ton",Landbrug!E$18,1),1)),1)*IF($F242="Grøntsager",IF($A242="Grøntsager i drivhus",Landbrug!E$51,1-Landbrug!E$51),1)</f>
        <v>#REF!</v>
      </c>
    </row>
    <row r="243" spans="1:10" x14ac:dyDescent="0.25">
      <c r="A243" t="str">
        <f>IF('[1]Processer - data'!A243&lt;&gt;"",'[1]Processer - data'!A243,"")</f>
        <v>Roemark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OC12</v>
      </c>
      <c r="D243" t="str">
        <f>IF('[1]Processer - data'!D243&lt;&gt;"",'[1]Processer - data'!D243,"")</f>
        <v>Areal-roer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Roer</v>
      </c>
      <c r="G243" t="str">
        <f>IF('[1]Processer - data'!G243&lt;&gt;"",'[1]Processer - data'!G243,"")</f>
        <v>Ton</v>
      </c>
      <c r="H243" s="302" t="e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input'!$A$3:$A$230,$A$1)),IF(VLOOKUP($A243,[1]!Table1[#All],2,FALSE)="Resultat",SUMIF($F$1:$F242,$D243,H$1:H242)+SUMIF($F244:$F$490,$D243,H244:H$490),0))*'[1]Processer - data'!H243,"")*IF($C243&lt;&gt;"",IF($F243="Halm",Landbrug!C$16*Landbrug!C$17,IF(LEFT($D243,5)="Areal", IF($G243="Ton",Landbrug!C$18,1),1)),1)*IF($F243="Grøntsager",IF($A243="Grøntsager i drivhus",Landbrug!C$51,1-Landbrug!C$51),1)</f>
        <v>#REF!</v>
      </c>
      <c r="I243" s="303" t="e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input'!$A$3:$A$230,$A$1)),IF(VLOOKUP($A243,[1]!Table1[#All],2,FALSE)="Resultat",SUMIF($F$1:$F242,$D243,I$1:I242)+SUMIF($F244:$F$490,$D243,I244:I$490),0))*'[1]Processer - data'!I243,"")*IF($C243&lt;&gt;"",IF($F243="Halm",Landbrug!D$16*Landbrug!D$17,IF(LEFT($D243,5)="Areal", IF($G243="Ton",Landbrug!D$18,1),1)),1)*IF($F243="Grøntsager",IF($A243="Grøntsager i drivhus",Landbrug!D$51,1-Landbrug!D$51),1)</f>
        <v>#REF!</v>
      </c>
      <c r="J243" s="304" t="e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input'!$A$3:$A$230,$A$1)),IF(VLOOKUP($A243,[1]!Table1[#All],2,FALSE)="Resultat",SUMIF($F$1:$F242,$D243,J$1:J242)+SUMIF($F244:$F$490,$D243,J244:J$490),0))*'[1]Processer - data'!J243,"")*IF($C243&lt;&gt;"",IF($F243="Halm",Landbrug!E$16*Landbrug!E$17,IF(LEFT($D243,5)="Areal", IF($G243="Ton",Landbrug!E$18,1),1)),1)*IF($F243="Grøntsager",IF($A243="Grøntsager i drivhus",Landbrug!E$51,1-Landbrug!E$51),1)</f>
        <v>#REF!</v>
      </c>
    </row>
    <row r="244" spans="1:10" x14ac:dyDescent="0.25">
      <c r="A244" t="str">
        <f>IF('[1]Processer - data'!A244&lt;&gt;"",'[1]Processer - data'!A244,"")</f>
        <v>Roemark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OC12</v>
      </c>
      <c r="D244" t="str">
        <f>IF('[1]Processer - data'!D244&lt;&gt;"",'[1]Processer - data'!D244,"")</f>
        <v>Areal-roer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Gødning</v>
      </c>
      <c r="G244" t="str">
        <f>IF('[1]Processer - data'!G244&lt;&gt;"",'[1]Processer - data'!G244,"")</f>
        <v>kg N</v>
      </c>
      <c r="H244" s="302" t="e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input'!$A$3:$A$230,$A$1)),IF(VLOOKUP($A244,[1]!Table1[#All],2,FALSE)="Resultat",SUMIF($F$1:$F243,$D244,H$1:H243)+SUMIF($F245:$F$490,$D244,H245:H$490),0))*'[1]Processer - data'!H244,"")*IF($C244&lt;&gt;"",IF($F244="Halm",Landbrug!C$16*Landbrug!C$17,IF(LEFT($D244,5)="Areal", IF($G244="Ton",Landbrug!C$18,1),1)),1)*IF($F244="Grøntsager",IF($A244="Grøntsager i drivhus",Landbrug!C$51,1-Landbrug!C$51),1)</f>
        <v>#REF!</v>
      </c>
      <c r="I244" s="303" t="e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input'!$A$3:$A$230,$A$1)),IF(VLOOKUP($A244,[1]!Table1[#All],2,FALSE)="Resultat",SUMIF($F$1:$F243,$D244,I$1:I243)+SUMIF($F245:$F$490,$D244,I245:I$490),0))*'[1]Processer - data'!I244,"")*IF($C244&lt;&gt;"",IF($F244="Halm",Landbrug!D$16*Landbrug!D$17,IF(LEFT($D244,5)="Areal", IF($G244="Ton",Landbrug!D$18,1),1)),1)*IF($F244="Grøntsager",IF($A244="Grøntsager i drivhus",Landbrug!D$51,1-Landbrug!D$51),1)</f>
        <v>#REF!</v>
      </c>
      <c r="J244" s="304" t="e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input'!$A$3:$A$230,$A$1)),IF(VLOOKUP($A244,[1]!Table1[#All],2,FALSE)="Resultat",SUMIF($F$1:$F243,$D244,J$1:J243)+SUMIF($F245:$F$490,$D244,J245:J$490),0))*'[1]Processer - data'!J244,"")*IF($C244&lt;&gt;"",IF($F244="Halm",Landbrug!E$16*Landbrug!E$17,IF(LEFT($D244,5)="Areal", IF($G244="Ton",Landbrug!E$18,1),1)),1)*IF($F244="Grøntsager",IF($A244="Grøntsager i drivhus",Landbrug!E$51,1-Landbrug!E$51),1)</f>
        <v>#REF!</v>
      </c>
    </row>
    <row r="245" spans="1:10" x14ac:dyDescent="0.25">
      <c r="A245" t="str">
        <f>IF('[1]Processer - data'!A245&lt;&gt;"",'[1]Processer - data'!A245,"")</f>
        <v>Roemark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Areal-roer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CO2 - atmosfære</v>
      </c>
      <c r="G245" t="str">
        <f>IF('[1]Processer - data'!G245&lt;&gt;"",'[1]Processer - data'!G245,"")</f>
        <v>t CO2-ækvivalenter</v>
      </c>
      <c r="H245" s="302" t="e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input'!$A$3:$A$230,$A$1)),IF(VLOOKUP($A245,[1]!Table1[#All],2,FALSE)="Resultat",SUMIF($F$1:$F244,$D245,H$1:H244)+SUMIF($F246:$F$490,$D245,H246:H$490),0))*'[1]Processer - data'!H245,"")*IF($C245&lt;&gt;"",IF($F245="Halm",Landbrug!C$16*Landbrug!C$17,IF(LEFT($D245,5)="Areal", IF($G245="Ton",Landbrug!C$18,1),1)),1)*IF($F245="Grøntsager",IF($A245="Grøntsager i drivhus",Landbrug!C$51,1-Landbrug!C$51),1)</f>
        <v>#REF!</v>
      </c>
      <c r="I245" s="303" t="e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input'!$A$3:$A$230,$A$1)),IF(VLOOKUP($A245,[1]!Table1[#All],2,FALSE)="Resultat",SUMIF($F$1:$F244,$D245,I$1:I244)+SUMIF($F246:$F$490,$D245,I246:I$490),0))*'[1]Processer - data'!I245,"")*IF($C245&lt;&gt;"",IF($F245="Halm",Landbrug!D$16*Landbrug!D$17,IF(LEFT($D245,5)="Areal", IF($G245="Ton",Landbrug!D$18,1),1)),1)*IF($F245="Grøntsager",IF($A245="Grøntsager i drivhus",Landbrug!D$51,1-Landbrug!D$51),1)</f>
        <v>#REF!</v>
      </c>
      <c r="J245" s="304" t="e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input'!$A$3:$A$230,$A$1)),IF(VLOOKUP($A245,[1]!Table1[#All],2,FALSE)="Resultat",SUMIF($F$1:$F244,$D245,J$1:J244)+SUMIF($F246:$F$490,$D245,J246:J$490),0))*'[1]Processer - data'!J245,"")*IF($C245&lt;&gt;"",IF($F245="Halm",Landbrug!E$16*Landbrug!E$17,IF(LEFT($D245,5)="Areal", IF($G245="Ton",Landbrug!E$18,1),1)),1)*IF($F245="Grøntsager",IF($A245="Grøntsager i drivhus",Landbrug!E$51,1-Landbrug!E$51),1)</f>
        <v>#REF!</v>
      </c>
    </row>
    <row r="246" spans="1:10" x14ac:dyDescent="0.25">
      <c r="A246" t="str">
        <f>IF('[1]Processer - data'!A246&lt;&gt;"",'[1]Processer - data'!A246,"")</f>
        <v>Frugtmark</v>
      </c>
      <c r="B246" t="str">
        <f>IF('[1]Processer - data'!B246&lt;&gt;"",'[1]Processer - data'!B246,"")</f>
        <v>Konventionel</v>
      </c>
      <c r="C246" t="str">
        <f>IF('[1]Processer - data'!C246&lt;&gt;"",'[1]Processer - data'!C246,"")</f>
        <v>JB1-10</v>
      </c>
      <c r="D246" t="str">
        <f>IF('[1]Processer - data'!D246&lt;&gt;"",'[1]Processer - data'!D246,"")</f>
        <v>Areal-frugt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Frugt</v>
      </c>
      <c r="G246" t="str">
        <f>IF('[1]Processer - data'!G246&lt;&gt;"",'[1]Processer - data'!G246,"")</f>
        <v>Ton</v>
      </c>
      <c r="H246" s="302" t="e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input'!$A$3:$A$230,$A$1)),IF(VLOOKUP($A246,[1]!Table1[#All],2,FALSE)="Resultat",SUMIF($F$1:$F245,$D246,H$1:H245)+SUMIF($F247:$F$490,$D246,H247:H$490),0))*'[1]Processer - data'!H246,"")*IF($C246&lt;&gt;"",IF($F246="Halm",Landbrug!C$16*Landbrug!C$17,IF(LEFT($D246,5)="Areal", IF($G246="Ton",Landbrug!C$18,1),1)),1)*IF($F246="Grøntsager",IF($A246="Grøntsager i drivhus",Landbrug!C$51,1-Landbrug!C$51),1)</f>
        <v>#REF!</v>
      </c>
      <c r="I246" s="303" t="e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input'!$A$3:$A$230,$A$1)),IF(VLOOKUP($A246,[1]!Table1[#All],2,FALSE)="Resultat",SUMIF($F$1:$F245,$D246,I$1:I245)+SUMIF($F247:$F$490,$D246,I247:I$490),0))*'[1]Processer - data'!I246,"")*IF($C246&lt;&gt;"",IF($F246="Halm",Landbrug!D$16*Landbrug!D$17,IF(LEFT($D246,5)="Areal", IF($G246="Ton",Landbrug!D$18,1),1)),1)*IF($F246="Grøntsager",IF($A246="Grøntsager i drivhus",Landbrug!D$51,1-Landbrug!D$51),1)</f>
        <v>#REF!</v>
      </c>
      <c r="J246" s="304" t="e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input'!$A$3:$A$230,$A$1)),IF(VLOOKUP($A246,[1]!Table1[#All],2,FALSE)="Resultat",SUMIF($F$1:$F245,$D246,J$1:J245)+SUMIF($F247:$F$490,$D246,J247:J$490),0))*'[1]Processer - data'!J246,"")*IF($C246&lt;&gt;"",IF($F246="Halm",Landbrug!E$16*Landbrug!E$17,IF(LEFT($D246,5)="Areal", IF($G246="Ton",Landbrug!E$18,1),1)),1)*IF($F246="Grøntsager",IF($A246="Grøntsager i drivhus",Landbrug!E$51,1-Landbrug!E$51),1)</f>
        <v>#REF!</v>
      </c>
    </row>
    <row r="247" spans="1:10" x14ac:dyDescent="0.25">
      <c r="A247" t="str">
        <f>IF('[1]Processer - data'!A247&lt;&gt;"",'[1]Processer - data'!A247,"")</f>
        <v>Frugtmark</v>
      </c>
      <c r="B247" t="str">
        <f>IF('[1]Processer - data'!B247&lt;&gt;"",'[1]Processer - data'!B247,"")</f>
        <v>Konventionel</v>
      </c>
      <c r="C247" t="str">
        <f>IF('[1]Processer - data'!C247&lt;&gt;"",'[1]Processer - data'!C247,"")</f>
        <v>JB1-10</v>
      </c>
      <c r="D247" t="str">
        <f>IF('[1]Processer - data'!D247&lt;&gt;"",'[1]Processer - data'!D247,"")</f>
        <v>Areal-frugt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2" t="e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input'!$A$3:$A$230,$A$1)),IF(VLOOKUP($A247,[1]!Table1[#All],2,FALSE)="Resultat",SUMIF($F$1:$F246,$D247,H$1:H246)+SUMIF($F248:$F$490,$D247,H248:H$490),0))*'[1]Processer - data'!H247,"")*IF($C247&lt;&gt;"",IF($F247="Halm",Landbrug!C$16*Landbrug!C$17,IF(LEFT($D247,5)="Areal", IF($G247="Ton",Landbrug!C$18,1),1)),1)*IF($F247="Grøntsager",IF($A247="Grøntsager i drivhus",Landbrug!C$51,1-Landbrug!C$51),1)</f>
        <v>#REF!</v>
      </c>
      <c r="I247" s="303" t="e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input'!$A$3:$A$230,$A$1)),IF(VLOOKUP($A247,[1]!Table1[#All],2,FALSE)="Resultat",SUMIF($F$1:$F246,$D247,I$1:I246)+SUMIF($F248:$F$490,$D247,I248:I$490),0))*'[1]Processer - data'!I247,"")*IF($C247&lt;&gt;"",IF($F247="Halm",Landbrug!D$16*Landbrug!D$17,IF(LEFT($D247,5)="Areal", IF($G247="Ton",Landbrug!D$18,1),1)),1)*IF($F247="Grøntsager",IF($A247="Grøntsager i drivhus",Landbrug!D$51,1-Landbrug!D$51),1)</f>
        <v>#REF!</v>
      </c>
      <c r="J247" s="304" t="e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input'!$A$3:$A$230,$A$1)),IF(VLOOKUP($A247,[1]!Table1[#All],2,FALSE)="Resultat",SUMIF($F$1:$F246,$D247,J$1:J246)+SUMIF($F248:$F$490,$D247,J248:J$490),0))*'[1]Processer - data'!J247,"")*IF($C247&lt;&gt;"",IF($F247="Halm",Landbrug!E$16*Landbrug!E$17,IF(LEFT($D247,5)="Areal", IF($G247="Ton",Landbrug!E$18,1),1)),1)*IF($F247="Grøntsager",IF($A247="Grøntsager i drivhus",Landbrug!E$51,1-Landbrug!E$51),1)</f>
        <v>#REF!</v>
      </c>
    </row>
    <row r="248" spans="1:10" x14ac:dyDescent="0.25">
      <c r="A248" t="str">
        <f>IF('[1]Processer - data'!A248&lt;&gt;"",'[1]Processer - data'!A248,"")</f>
        <v>Frugtmark</v>
      </c>
      <c r="B248" t="str">
        <f>IF('[1]Processer - data'!B248&lt;&gt;"",'[1]Processer - data'!B248,"")</f>
        <v>Konventionel</v>
      </c>
      <c r="C248" t="str">
        <f>IF('[1]Processer - data'!C248&lt;&gt;"",'[1]Processer - data'!C248,"")</f>
        <v>JB1-10</v>
      </c>
      <c r="D248" t="str">
        <f>IF('[1]Processer - data'!D248&lt;&gt;"",'[1]Processer - data'!D248,"")</f>
        <v>Areal-frugt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2" t="e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input'!$A$3:$A$230,$A$1)),IF(VLOOKUP($A248,[1]!Table1[#All],2,FALSE)="Resultat",SUMIF($F$1:$F247,$D248,H$1:H247)+SUMIF($F249:$F$490,$D248,H249:H$490),0))*'[1]Processer - data'!H248,"")*IF($C248&lt;&gt;"",IF($F248="Halm",Landbrug!C$16*Landbrug!C$17,IF(LEFT($D248,5)="Areal", IF($G248="Ton",Landbrug!C$18,1),1)),1)*IF($F248="Grøntsager",IF($A248="Grøntsager i drivhus",Landbrug!C$51,1-Landbrug!C$51),1)</f>
        <v>#REF!</v>
      </c>
      <c r="I248" s="303" t="e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input'!$A$3:$A$230,$A$1)),IF(VLOOKUP($A248,[1]!Table1[#All],2,FALSE)="Resultat",SUMIF($F$1:$F247,$D248,I$1:I247)+SUMIF($F249:$F$490,$D248,I249:I$490),0))*'[1]Processer - data'!I248,"")*IF($C248&lt;&gt;"",IF($F248="Halm",Landbrug!D$16*Landbrug!D$17,IF(LEFT($D248,5)="Areal", IF($G248="Ton",Landbrug!D$18,1),1)),1)*IF($F248="Grøntsager",IF($A248="Grøntsager i drivhus",Landbrug!D$51,1-Landbrug!D$51),1)</f>
        <v>#REF!</v>
      </c>
      <c r="J248" s="304" t="e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input'!$A$3:$A$230,$A$1)),IF(VLOOKUP($A248,[1]!Table1[#All],2,FALSE)="Resultat",SUMIF($F$1:$F247,$D248,J$1:J247)+SUMIF($F249:$F$490,$D248,J249:J$490),0))*'[1]Processer - data'!J248,"")*IF($C248&lt;&gt;"",IF($F248="Halm",Landbrug!E$16*Landbrug!E$17,IF(LEFT($D248,5)="Areal", IF($G248="Ton",Landbrug!E$18,1),1)),1)*IF($F248="Grøntsager",IF($A248="Grøntsager i drivhus",Landbrug!E$51,1-Landbrug!E$51),1)</f>
        <v>#REF!</v>
      </c>
    </row>
    <row r="249" spans="1:10" x14ac:dyDescent="0.25">
      <c r="A249" t="str">
        <f>IF('[1]Processer - data'!A249&lt;&gt;"",'[1]Processer - data'!A249,"")</f>
        <v>Frugtmark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OC6</v>
      </c>
      <c r="D249" t="str">
        <f>IF('[1]Processer - data'!D249&lt;&gt;"",'[1]Processer - data'!D249,"")</f>
        <v>Areal-frugt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Frugt</v>
      </c>
      <c r="G249" t="str">
        <f>IF('[1]Processer - data'!G249&lt;&gt;"",'[1]Processer - data'!G249,"")</f>
        <v>Ton</v>
      </c>
      <c r="H249" s="302" t="e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input'!$A$3:$A$230,$A$1)),IF(VLOOKUP($A249,[1]!Table1[#All],2,FALSE)="Resultat",SUMIF($F$1:$F248,$D249,H$1:H248)+SUMIF($F250:$F$490,$D249,H250:H$490),0))*'[1]Processer - data'!H249,"")*IF($C249&lt;&gt;"",IF($F249="Halm",Landbrug!C$16*Landbrug!C$17,IF(LEFT($D249,5)="Areal", IF($G249="Ton",Landbrug!C$18,1),1)),1)*IF($F249="Grøntsager",IF($A249="Grøntsager i drivhus",Landbrug!C$51,1-Landbrug!C$51),1)</f>
        <v>#REF!</v>
      </c>
      <c r="I249" s="303" t="e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input'!$A$3:$A$230,$A$1)),IF(VLOOKUP($A249,[1]!Table1[#All],2,FALSE)="Resultat",SUMIF($F$1:$F248,$D249,I$1:I248)+SUMIF($F250:$F$490,$D249,I250:I$490),0))*'[1]Processer - data'!I249,"")*IF($C249&lt;&gt;"",IF($F249="Halm",Landbrug!D$16*Landbrug!D$17,IF(LEFT($D249,5)="Areal", IF($G249="Ton",Landbrug!D$18,1),1)),1)*IF($F249="Grøntsager",IF($A249="Grøntsager i drivhus",Landbrug!D$51,1-Landbrug!D$51),1)</f>
        <v>#REF!</v>
      </c>
      <c r="J249" s="304" t="e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input'!$A$3:$A$230,$A$1)),IF(VLOOKUP($A249,[1]!Table1[#All],2,FALSE)="Resultat",SUMIF($F$1:$F248,$D249,J$1:J248)+SUMIF($F250:$F$490,$D249,J250:J$490),0))*'[1]Processer - data'!J249,"")*IF($C249&lt;&gt;"",IF($F249="Halm",Landbrug!E$16*Landbrug!E$17,IF(LEFT($D249,5)="Areal", IF($G249="Ton",Landbrug!E$18,1),1)),1)*IF($F249="Grøntsager",IF($A249="Grøntsager i drivhus",Landbrug!E$51,1-Landbrug!E$51),1)</f>
        <v>#REF!</v>
      </c>
    </row>
    <row r="250" spans="1:10" x14ac:dyDescent="0.25">
      <c r="A250" t="str">
        <f>IF('[1]Processer - data'!A250&lt;&gt;"",'[1]Processer - data'!A250,"")</f>
        <v>Frugtmark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OC6</v>
      </c>
      <c r="D250" t="str">
        <f>IF('[1]Processer - data'!D250&lt;&gt;"",'[1]Processer - data'!D250,"")</f>
        <v>Areal-frugt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2" t="e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input'!$A$3:$A$230,$A$1)),IF(VLOOKUP($A250,[1]!Table1[#All],2,FALSE)="Resultat",SUMIF($F$1:$F249,$D250,H$1:H249)+SUMIF($F251:$F$490,$D250,H251:H$490),0))*'[1]Processer - data'!H250,"")*IF($C250&lt;&gt;"",IF($F250="Halm",Landbrug!C$16*Landbrug!C$17,IF(LEFT($D250,5)="Areal", IF($G250="Ton",Landbrug!C$18,1),1)),1)*IF($F250="Grøntsager",IF($A250="Grøntsager i drivhus",Landbrug!C$51,1-Landbrug!C$51),1)</f>
        <v>#REF!</v>
      </c>
      <c r="I250" s="303" t="e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input'!$A$3:$A$230,$A$1)),IF(VLOOKUP($A250,[1]!Table1[#All],2,FALSE)="Resultat",SUMIF($F$1:$F249,$D250,I$1:I249)+SUMIF($F251:$F$490,$D250,I251:I$490),0))*'[1]Processer - data'!I250,"")*IF($C250&lt;&gt;"",IF($F250="Halm",Landbrug!D$16*Landbrug!D$17,IF(LEFT($D250,5)="Areal", IF($G250="Ton",Landbrug!D$18,1),1)),1)*IF($F250="Grøntsager",IF($A250="Grøntsager i drivhus",Landbrug!D$51,1-Landbrug!D$51),1)</f>
        <v>#REF!</v>
      </c>
      <c r="J250" s="304" t="e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input'!$A$3:$A$230,$A$1)),IF(VLOOKUP($A250,[1]!Table1[#All],2,FALSE)="Resultat",SUMIF($F$1:$F249,$D250,J$1:J249)+SUMIF($F251:$F$490,$D250,J251:J$490),0))*'[1]Processer - data'!J250,"")*IF($C250&lt;&gt;"",IF($F250="Halm",Landbrug!E$16*Landbrug!E$17,IF(LEFT($D250,5)="Areal", IF($G250="Ton",Landbrug!E$18,1),1)),1)*IF($F250="Grøntsager",IF($A250="Grøntsager i drivhus",Landbrug!E$51,1-Landbrug!E$51),1)</f>
        <v>#REF!</v>
      </c>
    </row>
    <row r="251" spans="1:10" x14ac:dyDescent="0.25">
      <c r="A251" t="str">
        <f>IF('[1]Processer - data'!A251&lt;&gt;"",'[1]Processer - data'!A251,"")</f>
        <v>Frugtmark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OC6</v>
      </c>
      <c r="D251" t="str">
        <f>IF('[1]Processer - data'!D251&lt;&gt;"",'[1]Processer - data'!D251,"")</f>
        <v>Areal-frugt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2" t="e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input'!$A$3:$A$230,$A$1)),IF(VLOOKUP($A251,[1]!Table1[#All],2,FALSE)="Resultat",SUMIF($F$1:$F250,$D251,H$1:H250)+SUMIF($F252:$F$490,$D251,H252:H$490),0))*'[1]Processer - data'!H251,"")*IF($C251&lt;&gt;"",IF($F251="Halm",Landbrug!C$16*Landbrug!C$17,IF(LEFT($D251,5)="Areal", IF($G251="Ton",Landbrug!C$18,1),1)),1)*IF($F251="Grøntsager",IF($A251="Grøntsager i drivhus",Landbrug!C$51,1-Landbrug!C$51),1)</f>
        <v>#REF!</v>
      </c>
      <c r="I251" s="303" t="e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input'!$A$3:$A$230,$A$1)),IF(VLOOKUP($A251,[1]!Table1[#All],2,FALSE)="Resultat",SUMIF($F$1:$F250,$D251,I$1:I250)+SUMIF($F252:$F$490,$D251,I252:I$490),0))*'[1]Processer - data'!I251,"")*IF($C251&lt;&gt;"",IF($F251="Halm",Landbrug!D$16*Landbrug!D$17,IF(LEFT($D251,5)="Areal", IF($G251="Ton",Landbrug!D$18,1),1)),1)*IF($F251="Grøntsager",IF($A251="Grøntsager i drivhus",Landbrug!D$51,1-Landbrug!D$51),1)</f>
        <v>#REF!</v>
      </c>
      <c r="J251" s="304" t="e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input'!$A$3:$A$230,$A$1)),IF(VLOOKUP($A251,[1]!Table1[#All],2,FALSE)="Resultat",SUMIF($F$1:$F250,$D251,J$1:J250)+SUMIF($F252:$F$490,$D251,J252:J$490),0))*'[1]Processer - data'!J251,"")*IF($C251&lt;&gt;"",IF($F251="Halm",Landbrug!E$16*Landbrug!E$17,IF(LEFT($D251,5)="Areal", IF($G251="Ton",Landbrug!E$18,1),1)),1)*IF($F251="Grøntsager",IF($A251="Grøntsager i drivhus",Landbrug!E$51,1-Landbrug!E$51),1)</f>
        <v>#REF!</v>
      </c>
    </row>
    <row r="252" spans="1:10" x14ac:dyDescent="0.25">
      <c r="A252" t="str">
        <f>IF('[1]Processer - data'!A252&lt;&gt;"",'[1]Processer - data'!A252,"")</f>
        <v>Frugtmark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OC12</v>
      </c>
      <c r="D252" t="str">
        <f>IF('[1]Processer - data'!D252&lt;&gt;"",'[1]Processer - data'!D252,"")</f>
        <v>Areal-frugt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Frugt</v>
      </c>
      <c r="G252" t="str">
        <f>IF('[1]Processer - data'!G252&lt;&gt;"",'[1]Processer - data'!G252,"")</f>
        <v>Ton</v>
      </c>
      <c r="H252" s="302" t="e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input'!$A$3:$A$230,$A$1)),IF(VLOOKUP($A252,[1]!Table1[#All],2,FALSE)="Resultat",SUMIF($F$1:$F251,$D252,H$1:H251)+SUMIF($F253:$F$490,$D252,H253:H$490),0))*'[1]Processer - data'!H252,"")*IF($C252&lt;&gt;"",IF($F252="Halm",Landbrug!C$16*Landbrug!C$17,IF(LEFT($D252,5)="Areal", IF($G252="Ton",Landbrug!C$18,1),1)),1)*IF($F252="Grøntsager",IF($A252="Grøntsager i drivhus",Landbrug!C$51,1-Landbrug!C$51),1)</f>
        <v>#REF!</v>
      </c>
      <c r="I252" s="303" t="e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input'!$A$3:$A$230,$A$1)),IF(VLOOKUP($A252,[1]!Table1[#All],2,FALSE)="Resultat",SUMIF($F$1:$F251,$D252,I$1:I251)+SUMIF($F253:$F$490,$D252,I253:I$490),0))*'[1]Processer - data'!I252,"")*IF($C252&lt;&gt;"",IF($F252="Halm",Landbrug!D$16*Landbrug!D$17,IF(LEFT($D252,5)="Areal", IF($G252="Ton",Landbrug!D$18,1),1)),1)*IF($F252="Grøntsager",IF($A252="Grøntsager i drivhus",Landbrug!D$51,1-Landbrug!D$51),1)</f>
        <v>#REF!</v>
      </c>
      <c r="J252" s="304" t="e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input'!$A$3:$A$230,$A$1)),IF(VLOOKUP($A252,[1]!Table1[#All],2,FALSE)="Resultat",SUMIF($F$1:$F251,$D252,J$1:J251)+SUMIF($F253:$F$490,$D252,J253:J$490),0))*'[1]Processer - data'!J252,"")*IF($C252&lt;&gt;"",IF($F252="Halm",Landbrug!E$16*Landbrug!E$17,IF(LEFT($D252,5)="Areal", IF($G252="Ton",Landbrug!E$18,1),1)),1)*IF($F252="Grøntsager",IF($A252="Grøntsager i drivhus",Landbrug!E$51,1-Landbrug!E$51),1)</f>
        <v>#REF!</v>
      </c>
    </row>
    <row r="253" spans="1:10" x14ac:dyDescent="0.25">
      <c r="A253" t="str">
        <f>IF('[1]Processer - data'!A253&lt;&gt;"",'[1]Processer - data'!A253,"")</f>
        <v>Frugtmark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OC12</v>
      </c>
      <c r="D253" t="str">
        <f>IF('[1]Processer - data'!D253&lt;&gt;"",'[1]Processer - data'!D253,"")</f>
        <v>Areal-frugt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2" t="e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input'!$A$3:$A$230,$A$1)),IF(VLOOKUP($A253,[1]!Table1[#All],2,FALSE)="Resultat",SUMIF($F$1:$F252,$D253,H$1:H252)+SUMIF($F254:$F$490,$D253,H254:H$490),0))*'[1]Processer - data'!H253,"")*IF($C253&lt;&gt;"",IF($F253="Halm",Landbrug!C$16*Landbrug!C$17,IF(LEFT($D253,5)="Areal", IF($G253="Ton",Landbrug!C$18,1),1)),1)*IF($F253="Grøntsager",IF($A253="Grøntsager i drivhus",Landbrug!C$51,1-Landbrug!C$51),1)</f>
        <v>#REF!</v>
      </c>
      <c r="I253" s="303" t="e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input'!$A$3:$A$230,$A$1)),IF(VLOOKUP($A253,[1]!Table1[#All],2,FALSE)="Resultat",SUMIF($F$1:$F252,$D253,I$1:I252)+SUMIF($F254:$F$490,$D253,I254:I$490),0))*'[1]Processer - data'!I253,"")*IF($C253&lt;&gt;"",IF($F253="Halm",Landbrug!D$16*Landbrug!D$17,IF(LEFT($D253,5)="Areal", IF($G253="Ton",Landbrug!D$18,1),1)),1)*IF($F253="Grøntsager",IF($A253="Grøntsager i drivhus",Landbrug!D$51,1-Landbrug!D$51),1)</f>
        <v>#REF!</v>
      </c>
      <c r="J253" s="304" t="e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input'!$A$3:$A$230,$A$1)),IF(VLOOKUP($A253,[1]!Table1[#All],2,FALSE)="Resultat",SUMIF($F$1:$F252,$D253,J$1:J252)+SUMIF($F254:$F$490,$D253,J254:J$490),0))*'[1]Processer - data'!J253,"")*IF($C253&lt;&gt;"",IF($F253="Halm",Landbrug!E$16*Landbrug!E$17,IF(LEFT($D253,5)="Areal", IF($G253="Ton",Landbrug!E$18,1),1)),1)*IF($F253="Grøntsager",IF($A253="Grøntsager i drivhus",Landbrug!E$51,1-Landbrug!E$51),1)</f>
        <v>#REF!</v>
      </c>
    </row>
    <row r="254" spans="1:10" x14ac:dyDescent="0.25">
      <c r="A254" t="str">
        <f>IF('[1]Processer - data'!A254&lt;&gt;"",'[1]Processer - data'!A254,"")</f>
        <v>Frugtmark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OC12</v>
      </c>
      <c r="D254" t="str">
        <f>IF('[1]Processer - data'!D254&lt;&gt;"",'[1]Processer - data'!D254,"")</f>
        <v>Areal-frugt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2" t="e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input'!$A$3:$A$230,$A$1)),IF(VLOOKUP($A254,[1]!Table1[#All],2,FALSE)="Resultat",SUMIF($F$1:$F253,$D254,H$1:H253)+SUMIF($F255:$F$490,$D254,H255:H$490),0))*'[1]Processer - data'!H254,"")*IF($C254&lt;&gt;"",IF($F254="Halm",Landbrug!C$16*Landbrug!C$17,IF(LEFT($D254,5)="Areal", IF($G254="Ton",Landbrug!C$18,1),1)),1)*IF($F254="Grøntsager",IF($A254="Grøntsager i drivhus",Landbrug!C$51,1-Landbrug!C$51),1)</f>
        <v>#REF!</v>
      </c>
      <c r="I254" s="303" t="e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input'!$A$3:$A$230,$A$1)),IF(VLOOKUP($A254,[1]!Table1[#All],2,FALSE)="Resultat",SUMIF($F$1:$F253,$D254,I$1:I253)+SUMIF($F255:$F$490,$D254,I255:I$490),0))*'[1]Processer - data'!I254,"")*IF($C254&lt;&gt;"",IF($F254="Halm",Landbrug!D$16*Landbrug!D$17,IF(LEFT($D254,5)="Areal", IF($G254="Ton",Landbrug!D$18,1),1)),1)*IF($F254="Grøntsager",IF($A254="Grøntsager i drivhus",Landbrug!D$51,1-Landbrug!D$51),1)</f>
        <v>#REF!</v>
      </c>
      <c r="J254" s="304" t="e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input'!$A$3:$A$230,$A$1)),IF(VLOOKUP($A254,[1]!Table1[#All],2,FALSE)="Resultat",SUMIF($F$1:$F253,$D254,J$1:J253)+SUMIF($F255:$F$490,$D254,J255:J$490),0))*'[1]Processer - data'!J254,"")*IF($C254&lt;&gt;"",IF($F254="Halm",Landbrug!E$16*Landbrug!E$17,IF(LEFT($D254,5)="Areal", IF($G254="Ton",Landbrug!E$18,1),1)),1)*IF($F254="Grøntsager",IF($A254="Grøntsager i drivhus",Landbrug!E$51,1-Landbrug!E$51),1)</f>
        <v>#REF!</v>
      </c>
    </row>
    <row r="255" spans="1:10" x14ac:dyDescent="0.25">
      <c r="A255" t="str">
        <f>IF('[1]Processer - data'!A255&lt;&gt;"",'[1]Processer - data'!A255,"")</f>
        <v>Frugtmark</v>
      </c>
      <c r="B255" t="str">
        <f>IF('[1]Processer - data'!B255&lt;&gt;"",'[1]Processer - data'!B255,"")</f>
        <v>Økologisk</v>
      </c>
      <c r="C255" t="str">
        <f>IF('[1]Processer - data'!C255&lt;&gt;"",'[1]Processer - data'!C255,"")</f>
        <v>JB1-10</v>
      </c>
      <c r="D255" t="str">
        <f>IF('[1]Processer - data'!D255&lt;&gt;"",'[1]Processer - data'!D255,"")</f>
        <v>Areal-frugt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Frugt</v>
      </c>
      <c r="G255" t="str">
        <f>IF('[1]Processer - data'!G255&lt;&gt;"",'[1]Processer - data'!G255,"")</f>
        <v>Ton</v>
      </c>
      <c r="H255" s="302" t="e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input'!$A$3:$A$230,$A$1)),IF(VLOOKUP($A255,[1]!Table1[#All],2,FALSE)="Resultat",SUMIF($F$1:$F254,$D255,H$1:H254)+SUMIF($F256:$F$490,$D255,H256:H$490),0))*'[1]Processer - data'!H255,"")*IF($C255&lt;&gt;"",IF($F255="Halm",Landbrug!C$16*Landbrug!C$17,IF(LEFT($D255,5)="Areal", IF($G255="Ton",Landbrug!C$18,1),1)),1)*IF($F255="Grøntsager",IF($A255="Grøntsager i drivhus",Landbrug!C$51,1-Landbrug!C$51),1)</f>
        <v>#REF!</v>
      </c>
      <c r="I255" s="303" t="e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input'!$A$3:$A$230,$A$1)),IF(VLOOKUP($A255,[1]!Table1[#All],2,FALSE)="Resultat",SUMIF($F$1:$F254,$D255,I$1:I254)+SUMIF($F256:$F$490,$D255,I256:I$490),0))*'[1]Processer - data'!I255,"")*IF($C255&lt;&gt;"",IF($F255="Halm",Landbrug!D$16*Landbrug!D$17,IF(LEFT($D255,5)="Areal", IF($G255="Ton",Landbrug!D$18,1),1)),1)*IF($F255="Grøntsager",IF($A255="Grøntsager i drivhus",Landbrug!D$51,1-Landbrug!D$51),1)</f>
        <v>#REF!</v>
      </c>
      <c r="J255" s="304" t="e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input'!$A$3:$A$230,$A$1)),IF(VLOOKUP($A255,[1]!Table1[#All],2,FALSE)="Resultat",SUMIF($F$1:$F254,$D255,J$1:J254)+SUMIF($F256:$F$490,$D255,J256:J$490),0))*'[1]Processer - data'!J255,"")*IF($C255&lt;&gt;"",IF($F255="Halm",Landbrug!E$16*Landbrug!E$17,IF(LEFT($D255,5)="Areal", IF($G255="Ton",Landbrug!E$18,1),1)),1)*IF($F255="Grøntsager",IF($A255="Grøntsager i drivhus",Landbrug!E$51,1-Landbrug!E$51),1)</f>
        <v>#REF!</v>
      </c>
    </row>
    <row r="256" spans="1:10" x14ac:dyDescent="0.25">
      <c r="A256" t="str">
        <f>IF('[1]Processer - data'!A256&lt;&gt;"",'[1]Processer - data'!A256,"")</f>
        <v>Frugtmark</v>
      </c>
      <c r="B256" t="str">
        <f>IF('[1]Processer - data'!B256&lt;&gt;"",'[1]Processer - data'!B256,"")</f>
        <v>Økologisk</v>
      </c>
      <c r="C256" t="str">
        <f>IF('[1]Processer - data'!C256&lt;&gt;"",'[1]Processer - data'!C256,"")</f>
        <v>JB1-10</v>
      </c>
      <c r="D256" t="str">
        <f>IF('[1]Processer - data'!D256&lt;&gt;"",'[1]Processer - data'!D256,"")</f>
        <v>Areal-frugt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2" t="e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input'!$A$3:$A$230,$A$1)),IF(VLOOKUP($A256,[1]!Table1[#All],2,FALSE)="Resultat",SUMIF($F$1:$F255,$D256,H$1:H255)+SUMIF($F257:$F$490,$D256,H257:H$490),0))*'[1]Processer - data'!H256,"")*IF($C256&lt;&gt;"",IF($F256="Halm",Landbrug!C$16*Landbrug!C$17,IF(LEFT($D256,5)="Areal", IF($G256="Ton",Landbrug!C$18,1),1)),1)*IF($F256="Grøntsager",IF($A256="Grøntsager i drivhus",Landbrug!C$51,1-Landbrug!C$51),1)</f>
        <v>#REF!</v>
      </c>
      <c r="I256" s="303" t="e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input'!$A$3:$A$230,$A$1)),IF(VLOOKUP($A256,[1]!Table1[#All],2,FALSE)="Resultat",SUMIF($F$1:$F255,$D256,I$1:I255)+SUMIF($F257:$F$490,$D256,I257:I$490),0))*'[1]Processer - data'!I256,"")*IF($C256&lt;&gt;"",IF($F256="Halm",Landbrug!D$16*Landbrug!D$17,IF(LEFT($D256,5)="Areal", IF($G256="Ton",Landbrug!D$18,1),1)),1)*IF($F256="Grøntsager",IF($A256="Grøntsager i drivhus",Landbrug!D$51,1-Landbrug!D$51),1)</f>
        <v>#REF!</v>
      </c>
      <c r="J256" s="304" t="e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input'!$A$3:$A$230,$A$1)),IF(VLOOKUP($A256,[1]!Table1[#All],2,FALSE)="Resultat",SUMIF($F$1:$F255,$D256,J$1:J255)+SUMIF($F257:$F$490,$D256,J257:J$490),0))*'[1]Processer - data'!J256,"")*IF($C256&lt;&gt;"",IF($F256="Halm",Landbrug!E$16*Landbrug!E$17,IF(LEFT($D256,5)="Areal", IF($G256="Ton",Landbrug!E$18,1),1)),1)*IF($F256="Grøntsager",IF($A256="Grøntsager i drivhus",Landbrug!E$51,1-Landbrug!E$51),1)</f>
        <v>#REF!</v>
      </c>
    </row>
    <row r="257" spans="1:10" x14ac:dyDescent="0.25">
      <c r="A257" t="str">
        <f>IF('[1]Processer - data'!A257&lt;&gt;"",'[1]Processer - data'!A257,"")</f>
        <v>Frugtmark</v>
      </c>
      <c r="B257" t="str">
        <f>IF('[1]Processer - data'!B257&lt;&gt;"",'[1]Processer - data'!B257,"")</f>
        <v>Økologisk</v>
      </c>
      <c r="C257" t="str">
        <f>IF('[1]Processer - data'!C257&lt;&gt;"",'[1]Processer - data'!C257,"")</f>
        <v>JB1-10</v>
      </c>
      <c r="D257" t="str">
        <f>IF('[1]Processer - data'!D257&lt;&gt;"",'[1]Processer - data'!D257,"")</f>
        <v>Areal-frugt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2" t="e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input'!$A$3:$A$230,$A$1)),IF(VLOOKUP($A257,[1]!Table1[#All],2,FALSE)="Resultat",SUMIF($F$1:$F256,$D257,H$1:H256)+SUMIF($F258:$F$490,$D257,H258:H$490),0))*'[1]Processer - data'!H257,"")*IF($C257&lt;&gt;"",IF($F257="Halm",Landbrug!C$16*Landbrug!C$17,IF(LEFT($D257,5)="Areal", IF($G257="Ton",Landbrug!C$18,1),1)),1)*IF($F257="Grøntsager",IF($A257="Grøntsager i drivhus",Landbrug!C$51,1-Landbrug!C$51),1)</f>
        <v>#REF!</v>
      </c>
      <c r="I257" s="303" t="e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input'!$A$3:$A$230,$A$1)),IF(VLOOKUP($A257,[1]!Table1[#All],2,FALSE)="Resultat",SUMIF($F$1:$F256,$D257,I$1:I256)+SUMIF($F258:$F$490,$D257,I258:I$490),0))*'[1]Processer - data'!I257,"")*IF($C257&lt;&gt;"",IF($F257="Halm",Landbrug!D$16*Landbrug!D$17,IF(LEFT($D257,5)="Areal", IF($G257="Ton",Landbrug!D$18,1),1)),1)*IF($F257="Grøntsager",IF($A257="Grøntsager i drivhus",Landbrug!D$51,1-Landbrug!D$51),1)</f>
        <v>#REF!</v>
      </c>
      <c r="J257" s="304" t="e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input'!$A$3:$A$230,$A$1)),IF(VLOOKUP($A257,[1]!Table1[#All],2,FALSE)="Resultat",SUMIF($F$1:$F256,$D257,J$1:J256)+SUMIF($F258:$F$490,$D257,J258:J$490),0))*'[1]Processer - data'!J257,"")*IF($C257&lt;&gt;"",IF($F257="Halm",Landbrug!E$16*Landbrug!E$17,IF(LEFT($D257,5)="Areal", IF($G257="Ton",Landbrug!E$18,1),1)),1)*IF($F257="Grøntsager",IF($A257="Grøntsager i drivhus",Landbrug!E$51,1-Landbrug!E$51),1)</f>
        <v>#REF!</v>
      </c>
    </row>
    <row r="258" spans="1:10" x14ac:dyDescent="0.25">
      <c r="A258" t="str">
        <f>IF('[1]Processer - data'!A258&lt;&gt;"",'[1]Processer - data'!A258,"")</f>
        <v>Frugtmark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OC6</v>
      </c>
      <c r="D258" t="str">
        <f>IF('[1]Processer - data'!D258&lt;&gt;"",'[1]Processer - data'!D258,"")</f>
        <v>Areal-frugt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Frugt</v>
      </c>
      <c r="G258" t="str">
        <f>IF('[1]Processer - data'!G258&lt;&gt;"",'[1]Processer - data'!G258,"")</f>
        <v>Ton</v>
      </c>
      <c r="H258" s="302" t="e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input'!$A$3:$A$230,$A$1)),IF(VLOOKUP($A258,[1]!Table1[#All],2,FALSE)="Resultat",SUMIF($F$1:$F257,$D258,H$1:H257)+SUMIF($F259:$F$490,$D258,H259:H$490),0))*'[1]Processer - data'!H258,"")*IF($C258&lt;&gt;"",IF($F258="Halm",Landbrug!C$16*Landbrug!C$17,IF(LEFT($D258,5)="Areal", IF($G258="Ton",Landbrug!C$18,1),1)),1)*IF($F258="Grøntsager",IF($A258="Grøntsager i drivhus",Landbrug!C$51,1-Landbrug!C$51),1)</f>
        <v>#REF!</v>
      </c>
      <c r="I258" s="303" t="e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input'!$A$3:$A$230,$A$1)),IF(VLOOKUP($A258,[1]!Table1[#All],2,FALSE)="Resultat",SUMIF($F$1:$F257,$D258,I$1:I257)+SUMIF($F259:$F$490,$D258,I259:I$490),0))*'[1]Processer - data'!I258,"")*IF($C258&lt;&gt;"",IF($F258="Halm",Landbrug!D$16*Landbrug!D$17,IF(LEFT($D258,5)="Areal", IF($G258="Ton",Landbrug!D$18,1),1)),1)*IF($F258="Grøntsager",IF($A258="Grøntsager i drivhus",Landbrug!D$51,1-Landbrug!D$51),1)</f>
        <v>#REF!</v>
      </c>
      <c r="J258" s="304" t="e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input'!$A$3:$A$230,$A$1)),IF(VLOOKUP($A258,[1]!Table1[#All],2,FALSE)="Resultat",SUMIF($F$1:$F257,$D258,J$1:J257)+SUMIF($F259:$F$490,$D258,J259:J$490),0))*'[1]Processer - data'!J258,"")*IF($C258&lt;&gt;"",IF($F258="Halm",Landbrug!E$16*Landbrug!E$17,IF(LEFT($D258,5)="Areal", IF($G258="Ton",Landbrug!E$18,1),1)),1)*IF($F258="Grøntsager",IF($A258="Grøntsager i drivhus",Landbrug!E$51,1-Landbrug!E$51),1)</f>
        <v>#REF!</v>
      </c>
    </row>
    <row r="259" spans="1:10" x14ac:dyDescent="0.25">
      <c r="A259" t="str">
        <f>IF('[1]Processer - data'!A259&lt;&gt;"",'[1]Processer - data'!A259,"")</f>
        <v>Frugtmark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OC6</v>
      </c>
      <c r="D259" t="str">
        <f>IF('[1]Processer - data'!D259&lt;&gt;"",'[1]Processer - data'!D259,"")</f>
        <v>Areal-frugt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2" t="e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input'!$A$3:$A$230,$A$1)),IF(VLOOKUP($A259,[1]!Table1[#All],2,FALSE)="Resultat",SUMIF($F$1:$F258,$D259,H$1:H258)+SUMIF($F260:$F$490,$D259,H260:H$490),0))*'[1]Processer - data'!H259,"")*IF($C259&lt;&gt;"",IF($F259="Halm",Landbrug!C$16*Landbrug!C$17,IF(LEFT($D259,5)="Areal", IF($G259="Ton",Landbrug!C$18,1),1)),1)*IF($F259="Grøntsager",IF($A259="Grøntsager i drivhus",Landbrug!C$51,1-Landbrug!C$51),1)</f>
        <v>#REF!</v>
      </c>
      <c r="I259" s="303" t="e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input'!$A$3:$A$230,$A$1)),IF(VLOOKUP($A259,[1]!Table1[#All],2,FALSE)="Resultat",SUMIF($F$1:$F258,$D259,I$1:I258)+SUMIF($F260:$F$490,$D259,I260:I$490),0))*'[1]Processer - data'!I259,"")*IF($C259&lt;&gt;"",IF($F259="Halm",Landbrug!D$16*Landbrug!D$17,IF(LEFT($D259,5)="Areal", IF($G259="Ton",Landbrug!D$18,1),1)),1)*IF($F259="Grøntsager",IF($A259="Grøntsager i drivhus",Landbrug!D$51,1-Landbrug!D$51),1)</f>
        <v>#REF!</v>
      </c>
      <c r="J259" s="304" t="e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input'!$A$3:$A$230,$A$1)),IF(VLOOKUP($A259,[1]!Table1[#All],2,FALSE)="Resultat",SUMIF($F$1:$F258,$D259,J$1:J258)+SUMIF($F260:$F$490,$D259,J260:J$490),0))*'[1]Processer - data'!J259,"")*IF($C259&lt;&gt;"",IF($F259="Halm",Landbrug!E$16*Landbrug!E$17,IF(LEFT($D259,5)="Areal", IF($G259="Ton",Landbrug!E$18,1),1)),1)*IF($F259="Grøntsager",IF($A259="Grøntsager i drivhus",Landbrug!E$51,1-Landbrug!E$51),1)</f>
        <v>#REF!</v>
      </c>
    </row>
    <row r="260" spans="1:10" x14ac:dyDescent="0.25">
      <c r="A260" t="str">
        <f>IF('[1]Processer - data'!A260&lt;&gt;"",'[1]Processer - data'!A260,"")</f>
        <v>Frugtmark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OC6</v>
      </c>
      <c r="D260" t="str">
        <f>IF('[1]Processer - data'!D260&lt;&gt;"",'[1]Processer - data'!D260,"")</f>
        <v>Areal-frugt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2" t="e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input'!$A$3:$A$230,$A$1)),IF(VLOOKUP($A260,[1]!Table1[#All],2,FALSE)="Resultat",SUMIF($F$1:$F259,$D260,H$1:H259)+SUMIF($F261:$F$490,$D260,H261:H$490),0))*'[1]Processer - data'!H260,"")*IF($C260&lt;&gt;"",IF($F260="Halm",Landbrug!C$16*Landbrug!C$17,IF(LEFT($D260,5)="Areal", IF($G260="Ton",Landbrug!C$18,1),1)),1)*IF($F260="Grøntsager",IF($A260="Grøntsager i drivhus",Landbrug!C$51,1-Landbrug!C$51),1)</f>
        <v>#REF!</v>
      </c>
      <c r="I260" s="303" t="e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input'!$A$3:$A$230,$A$1)),IF(VLOOKUP($A260,[1]!Table1[#All],2,FALSE)="Resultat",SUMIF($F$1:$F259,$D260,I$1:I259)+SUMIF($F261:$F$490,$D260,I261:I$490),0))*'[1]Processer - data'!I260,"")*IF($C260&lt;&gt;"",IF($F260="Halm",Landbrug!D$16*Landbrug!D$17,IF(LEFT($D260,5)="Areal", IF($G260="Ton",Landbrug!D$18,1),1)),1)*IF($F260="Grøntsager",IF($A260="Grøntsager i drivhus",Landbrug!D$51,1-Landbrug!D$51),1)</f>
        <v>#REF!</v>
      </c>
      <c r="J260" s="304" t="e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input'!$A$3:$A$230,$A$1)),IF(VLOOKUP($A260,[1]!Table1[#All],2,FALSE)="Resultat",SUMIF($F$1:$F259,$D260,J$1:J259)+SUMIF($F261:$F$490,$D260,J261:J$490),0))*'[1]Processer - data'!J260,"")*IF($C260&lt;&gt;"",IF($F260="Halm",Landbrug!E$16*Landbrug!E$17,IF(LEFT($D260,5)="Areal", IF($G260="Ton",Landbrug!E$18,1),1)),1)*IF($F260="Grøntsager",IF($A260="Grøntsager i drivhus",Landbrug!E$51,1-Landbrug!E$51),1)</f>
        <v>#REF!</v>
      </c>
    </row>
    <row r="261" spans="1:10" x14ac:dyDescent="0.25">
      <c r="A261" t="str">
        <f>IF('[1]Processer - data'!A261&lt;&gt;"",'[1]Processer - data'!A261,"")</f>
        <v>Frugtmark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OC12</v>
      </c>
      <c r="D261" t="str">
        <f>IF('[1]Processer - data'!D261&lt;&gt;"",'[1]Processer - data'!D261,"")</f>
        <v>Areal-frugt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Frugt</v>
      </c>
      <c r="G261" t="str">
        <f>IF('[1]Processer - data'!G261&lt;&gt;"",'[1]Processer - data'!G261,"")</f>
        <v>Ton</v>
      </c>
      <c r="H261" s="302" t="e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input'!$A$3:$A$230,$A$1)),IF(VLOOKUP($A261,[1]!Table1[#All],2,FALSE)="Resultat",SUMIF($F$1:$F260,$D261,H$1:H260)+SUMIF($F262:$F$490,$D261,H262:H$490),0))*'[1]Processer - data'!H261,"")*IF($C261&lt;&gt;"",IF($F261="Halm",Landbrug!C$16*Landbrug!C$17,IF(LEFT($D261,5)="Areal", IF($G261="Ton",Landbrug!C$18,1),1)),1)*IF($F261="Grøntsager",IF($A261="Grøntsager i drivhus",Landbrug!C$51,1-Landbrug!C$51),1)</f>
        <v>#REF!</v>
      </c>
      <c r="I261" s="303" t="e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input'!$A$3:$A$230,$A$1)),IF(VLOOKUP($A261,[1]!Table1[#All],2,FALSE)="Resultat",SUMIF($F$1:$F260,$D261,I$1:I260)+SUMIF($F262:$F$490,$D261,I262:I$490),0))*'[1]Processer - data'!I261,"")*IF($C261&lt;&gt;"",IF($F261="Halm",Landbrug!D$16*Landbrug!D$17,IF(LEFT($D261,5)="Areal", IF($G261="Ton",Landbrug!D$18,1),1)),1)*IF($F261="Grøntsager",IF($A261="Grøntsager i drivhus",Landbrug!D$51,1-Landbrug!D$51),1)</f>
        <v>#REF!</v>
      </c>
      <c r="J261" s="304" t="e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input'!$A$3:$A$230,$A$1)),IF(VLOOKUP($A261,[1]!Table1[#All],2,FALSE)="Resultat",SUMIF($F$1:$F260,$D261,J$1:J260)+SUMIF($F262:$F$490,$D261,J262:J$490),0))*'[1]Processer - data'!J261,"")*IF($C261&lt;&gt;"",IF($F261="Halm",Landbrug!E$16*Landbrug!E$17,IF(LEFT($D261,5)="Areal", IF($G261="Ton",Landbrug!E$18,1),1)),1)*IF($F261="Grøntsager",IF($A261="Grøntsager i drivhus",Landbrug!E$51,1-Landbrug!E$51),1)</f>
        <v>#REF!</v>
      </c>
    </row>
    <row r="262" spans="1:10" x14ac:dyDescent="0.25">
      <c r="A262" t="str">
        <f>IF('[1]Processer - data'!A262&lt;&gt;"",'[1]Processer - data'!A262,"")</f>
        <v>Frugtmark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OC12</v>
      </c>
      <c r="D262" t="str">
        <f>IF('[1]Processer - data'!D262&lt;&gt;"",'[1]Processer - data'!D262,"")</f>
        <v>Areal-frugt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2" t="e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input'!$A$3:$A$230,$A$1)),IF(VLOOKUP($A262,[1]!Table1[#All],2,FALSE)="Resultat",SUMIF($F$1:$F261,$D262,H$1:H261)+SUMIF($F263:$F$490,$D262,H263:H$490),0))*'[1]Processer - data'!H262,"")*IF($C262&lt;&gt;"",IF($F262="Halm",Landbrug!C$16*Landbrug!C$17,IF(LEFT($D262,5)="Areal", IF($G262="Ton",Landbrug!C$18,1),1)),1)*IF($F262="Grøntsager",IF($A262="Grøntsager i drivhus",Landbrug!C$51,1-Landbrug!C$51),1)</f>
        <v>#REF!</v>
      </c>
      <c r="I262" s="303" t="e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input'!$A$3:$A$230,$A$1)),IF(VLOOKUP($A262,[1]!Table1[#All],2,FALSE)="Resultat",SUMIF($F$1:$F261,$D262,I$1:I261)+SUMIF($F263:$F$490,$D262,I263:I$490),0))*'[1]Processer - data'!I262,"")*IF($C262&lt;&gt;"",IF($F262="Halm",Landbrug!D$16*Landbrug!D$17,IF(LEFT($D262,5)="Areal", IF($G262="Ton",Landbrug!D$18,1),1)),1)*IF($F262="Grøntsager",IF($A262="Grøntsager i drivhus",Landbrug!D$51,1-Landbrug!D$51),1)</f>
        <v>#REF!</v>
      </c>
      <c r="J262" s="304" t="e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input'!$A$3:$A$230,$A$1)),IF(VLOOKUP($A262,[1]!Table1[#All],2,FALSE)="Resultat",SUMIF($F$1:$F261,$D262,J$1:J261)+SUMIF($F263:$F$490,$D262,J263:J$490),0))*'[1]Processer - data'!J262,"")*IF($C262&lt;&gt;"",IF($F262="Halm",Landbrug!E$16*Landbrug!E$17,IF(LEFT($D262,5)="Areal", IF($G262="Ton",Landbrug!E$18,1),1)),1)*IF($F262="Grøntsager",IF($A262="Grøntsager i drivhus",Landbrug!E$51,1-Landbrug!E$51),1)</f>
        <v>#REF!</v>
      </c>
    </row>
    <row r="263" spans="1:10" x14ac:dyDescent="0.25">
      <c r="A263" t="str">
        <f>IF('[1]Processer - data'!A263&lt;&gt;"",'[1]Processer - data'!A263,"")</f>
        <v>Frugtmark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OC12</v>
      </c>
      <c r="D263" t="str">
        <f>IF('[1]Processer - data'!D263&lt;&gt;"",'[1]Processer - data'!D263,"")</f>
        <v>Areal-frugt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2" t="e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input'!$A$3:$A$230,$A$1)),IF(VLOOKUP($A263,[1]!Table1[#All],2,FALSE)="Resultat",SUMIF($F$1:$F262,$D263,H$1:H262)+SUMIF($F264:$F$490,$D263,H264:H$490),0))*'[1]Processer - data'!H263,"")*IF($C263&lt;&gt;"",IF($F263="Halm",Landbrug!C$16*Landbrug!C$17,IF(LEFT($D263,5)="Areal", IF($G263="Ton",Landbrug!C$18,1),1)),1)*IF($F263="Grøntsager",IF($A263="Grøntsager i drivhus",Landbrug!C$51,1-Landbrug!C$51),1)</f>
        <v>#REF!</v>
      </c>
      <c r="I263" s="303" t="e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input'!$A$3:$A$230,$A$1)),IF(VLOOKUP($A263,[1]!Table1[#All],2,FALSE)="Resultat",SUMIF($F$1:$F262,$D263,I$1:I262)+SUMIF($F264:$F$490,$D263,I264:I$490),0))*'[1]Processer - data'!I263,"")*IF($C263&lt;&gt;"",IF($F263="Halm",Landbrug!D$16*Landbrug!D$17,IF(LEFT($D263,5)="Areal", IF($G263="Ton",Landbrug!D$18,1),1)),1)*IF($F263="Grøntsager",IF($A263="Grøntsager i drivhus",Landbrug!D$51,1-Landbrug!D$51),1)</f>
        <v>#REF!</v>
      </c>
      <c r="J263" s="304" t="e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input'!$A$3:$A$230,$A$1)),IF(VLOOKUP($A263,[1]!Table1[#All],2,FALSE)="Resultat",SUMIF($F$1:$F262,$D263,J$1:J262)+SUMIF($F264:$F$490,$D263,J264:J$490),0))*'[1]Processer - data'!J263,"")*IF($C263&lt;&gt;"",IF($F263="Halm",Landbrug!E$16*Landbrug!E$17,IF(LEFT($D263,5)="Areal", IF($G263="Ton",Landbrug!E$18,1),1)),1)*IF($F263="Grøntsager",IF($A263="Grøntsager i drivhus",Landbrug!E$51,1-Landbrug!E$51),1)</f>
        <v>#REF!</v>
      </c>
    </row>
    <row r="264" spans="1:10" x14ac:dyDescent="0.25">
      <c r="A264" t="str">
        <f>IF('[1]Processer - data'!A264&lt;&gt;"",'[1]Processer - data'!A264,"")</f>
        <v>Øvrig mark</v>
      </c>
      <c r="B264" t="str">
        <f>IF('[1]Processer - data'!B264&lt;&gt;"",'[1]Processer - data'!B264,"")</f>
        <v>Konventionel</v>
      </c>
      <c r="C264" t="str">
        <f>IF('[1]Processer - data'!C264&lt;&gt;"",'[1]Processer - data'!C264,"")</f>
        <v>JB1-10</v>
      </c>
      <c r="D264" t="str">
        <f>IF('[1]Processer - data'!D264&lt;&gt;"",'[1]Processer - data'!D264,"")</f>
        <v>Areal-øvrige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Øvrige</v>
      </c>
      <c r="G264" t="str">
        <f>IF('[1]Processer - data'!G264&lt;&gt;"",'[1]Processer - data'!G264,"")</f>
        <v>Ton</v>
      </c>
      <c r="H264" s="302" t="e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input'!$A$3:$A$230,$A$1)),IF(VLOOKUP($A264,[1]!Table1[#All],2,FALSE)="Resultat",SUMIF($F$1:$F263,$D264,H$1:H263)+SUMIF($F265:$F$490,$D264,H265:H$490),0))*'[1]Processer - data'!H264,"")*IF($C264&lt;&gt;"",IF($F264="Halm",Landbrug!C$16*Landbrug!C$17,IF(LEFT($D264,5)="Areal", IF($G264="Ton",Landbrug!C$18,1),1)),1)*IF($F264="Grøntsager",IF($A264="Grøntsager i drivhus",Landbrug!C$51,1-Landbrug!C$51),1)</f>
        <v>#REF!</v>
      </c>
      <c r="I264" s="303" t="e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input'!$A$3:$A$230,$A$1)),IF(VLOOKUP($A264,[1]!Table1[#All],2,FALSE)="Resultat",SUMIF($F$1:$F263,$D264,I$1:I263)+SUMIF($F265:$F$490,$D264,I265:I$490),0))*'[1]Processer - data'!I264,"")*IF($C264&lt;&gt;"",IF($F264="Halm",Landbrug!D$16*Landbrug!D$17,IF(LEFT($D264,5)="Areal", IF($G264="Ton",Landbrug!D$18,1),1)),1)*IF($F264="Grøntsager",IF($A264="Grøntsager i drivhus",Landbrug!D$51,1-Landbrug!D$51),1)</f>
        <v>#REF!</v>
      </c>
      <c r="J264" s="304" t="e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input'!$A$3:$A$230,$A$1)),IF(VLOOKUP($A264,[1]!Table1[#All],2,FALSE)="Resultat",SUMIF($F$1:$F263,$D264,J$1:J263)+SUMIF($F265:$F$490,$D264,J265:J$490),0))*'[1]Processer - data'!J264,"")*IF($C264&lt;&gt;"",IF($F264="Halm",Landbrug!E$16*Landbrug!E$17,IF(LEFT($D264,5)="Areal", IF($G264="Ton",Landbrug!E$18,1),1)),1)*IF($F264="Grøntsager",IF($A264="Grøntsager i drivhus",Landbrug!E$51,1-Landbrug!E$51),1)</f>
        <v>#REF!</v>
      </c>
    </row>
    <row r="265" spans="1:10" x14ac:dyDescent="0.25">
      <c r="A265" t="str">
        <f>IF('[1]Processer - data'!A265&lt;&gt;"",'[1]Processer - data'!A265,"")</f>
        <v>Øvrig mark</v>
      </c>
      <c r="B265" t="str">
        <f>IF('[1]Processer - data'!B265&lt;&gt;"",'[1]Processer - data'!B265,"")</f>
        <v>Konventionel</v>
      </c>
      <c r="C265" t="str">
        <f>IF('[1]Processer - data'!C265&lt;&gt;"",'[1]Processer - data'!C265,"")</f>
        <v>JB1-10</v>
      </c>
      <c r="D265" t="str">
        <f>IF('[1]Processer - data'!D265&lt;&gt;"",'[1]Processer - data'!D265,"")</f>
        <v>Areal-øvrige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2" t="e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input'!$A$3:$A$230,$A$1)),IF(VLOOKUP($A265,[1]!Table1[#All],2,FALSE)="Resultat",SUMIF($F$1:$F264,$D265,H$1:H264)+SUMIF($F266:$F$490,$D265,H266:H$490),0))*'[1]Processer - data'!H265,"")*IF($C265&lt;&gt;"",IF($F265="Halm",Landbrug!C$16*Landbrug!C$17,IF(LEFT($D265,5)="Areal", IF($G265="Ton",Landbrug!C$18,1),1)),1)*IF($F265="Grøntsager",IF($A265="Grøntsager i drivhus",Landbrug!C$51,1-Landbrug!C$51),1)</f>
        <v>#REF!</v>
      </c>
      <c r="I265" s="303" t="e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input'!$A$3:$A$230,$A$1)),IF(VLOOKUP($A265,[1]!Table1[#All],2,FALSE)="Resultat",SUMIF($F$1:$F264,$D265,I$1:I264)+SUMIF($F266:$F$490,$D265,I266:I$490),0))*'[1]Processer - data'!I265,"")*IF($C265&lt;&gt;"",IF($F265="Halm",Landbrug!D$16*Landbrug!D$17,IF(LEFT($D265,5)="Areal", IF($G265="Ton",Landbrug!D$18,1),1)),1)*IF($F265="Grøntsager",IF($A265="Grøntsager i drivhus",Landbrug!D$51,1-Landbrug!D$51),1)</f>
        <v>#REF!</v>
      </c>
      <c r="J265" s="304" t="e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input'!$A$3:$A$230,$A$1)),IF(VLOOKUP($A265,[1]!Table1[#All],2,FALSE)="Resultat",SUMIF($F$1:$F264,$D265,J$1:J264)+SUMIF($F266:$F$490,$D265,J266:J$490),0))*'[1]Processer - data'!J265,"")*IF($C265&lt;&gt;"",IF($F265="Halm",Landbrug!E$16*Landbrug!E$17,IF(LEFT($D265,5)="Areal", IF($G265="Ton",Landbrug!E$18,1),1)),1)*IF($F265="Grøntsager",IF($A265="Grøntsager i drivhus",Landbrug!E$51,1-Landbrug!E$51),1)</f>
        <v>#REF!</v>
      </c>
    </row>
    <row r="266" spans="1:10" x14ac:dyDescent="0.25">
      <c r="A266" t="str">
        <f>IF('[1]Processer - data'!A266&lt;&gt;"",'[1]Processer - data'!A266,"")</f>
        <v>Øvrig mark</v>
      </c>
      <c r="B266" t="str">
        <f>IF('[1]Processer - data'!B266&lt;&gt;"",'[1]Processer - data'!B266,"")</f>
        <v>Konventionel</v>
      </c>
      <c r="C266" t="str">
        <f>IF('[1]Processer - data'!C266&lt;&gt;"",'[1]Processer - data'!C266,"")</f>
        <v>JB1-10</v>
      </c>
      <c r="D266" t="str">
        <f>IF('[1]Processer - data'!D266&lt;&gt;"",'[1]Processer - data'!D266,"")</f>
        <v>Areal-øvrige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2" t="e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input'!$A$3:$A$230,$A$1)),IF(VLOOKUP($A266,[1]!Table1[#All],2,FALSE)="Resultat",SUMIF($F$1:$F265,$D266,H$1:H265)+SUMIF($F267:$F$490,$D266,H267:H$490),0))*'[1]Processer - data'!H266,"")*IF($C266&lt;&gt;"",IF($F266="Halm",Landbrug!C$16*Landbrug!C$17,IF(LEFT($D266,5)="Areal", IF($G266="Ton",Landbrug!C$18,1),1)),1)*IF($F266="Grøntsager",IF($A266="Grøntsager i drivhus",Landbrug!C$51,1-Landbrug!C$51),1)</f>
        <v>#REF!</v>
      </c>
      <c r="I266" s="303" t="e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input'!$A$3:$A$230,$A$1)),IF(VLOOKUP($A266,[1]!Table1[#All],2,FALSE)="Resultat",SUMIF($F$1:$F265,$D266,I$1:I265)+SUMIF($F267:$F$490,$D266,I267:I$490),0))*'[1]Processer - data'!I266,"")*IF($C266&lt;&gt;"",IF($F266="Halm",Landbrug!D$16*Landbrug!D$17,IF(LEFT($D266,5)="Areal", IF($G266="Ton",Landbrug!D$18,1),1)),1)*IF($F266="Grøntsager",IF($A266="Grøntsager i drivhus",Landbrug!D$51,1-Landbrug!D$51),1)</f>
        <v>#REF!</v>
      </c>
      <c r="J266" s="304" t="e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input'!$A$3:$A$230,$A$1)),IF(VLOOKUP($A266,[1]!Table1[#All],2,FALSE)="Resultat",SUMIF($F$1:$F265,$D266,J$1:J265)+SUMIF($F267:$F$490,$D266,J267:J$490),0))*'[1]Processer - data'!J266,"")*IF($C266&lt;&gt;"",IF($F266="Halm",Landbrug!E$16*Landbrug!E$17,IF(LEFT($D266,5)="Areal", IF($G266="Ton",Landbrug!E$18,1),1)),1)*IF($F266="Grøntsager",IF($A266="Grøntsager i drivhus",Landbrug!E$51,1-Landbrug!E$51),1)</f>
        <v>#REF!</v>
      </c>
    </row>
    <row r="267" spans="1:10" x14ac:dyDescent="0.25">
      <c r="A267" t="str">
        <f>IF('[1]Processer - data'!A267&lt;&gt;"",'[1]Processer - data'!A267,"")</f>
        <v>Øvrig 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OC6</v>
      </c>
      <c r="D267" t="str">
        <f>IF('[1]Processer - data'!D267&lt;&gt;"",'[1]Processer - data'!D267,"")</f>
        <v>Areal-øvrige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Øvrige</v>
      </c>
      <c r="G267" t="str">
        <f>IF('[1]Processer - data'!G267&lt;&gt;"",'[1]Processer - data'!G267,"")</f>
        <v>Ton</v>
      </c>
      <c r="H267" s="302" t="e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input'!$A$3:$A$230,$A$1)),IF(VLOOKUP($A267,[1]!Table1[#All],2,FALSE)="Resultat",SUMIF($F$1:$F266,$D267,H$1:H266)+SUMIF($F268:$F$490,$D267,H268:H$490),0))*'[1]Processer - data'!H267,"")*IF($C267&lt;&gt;"",IF($F267="Halm",Landbrug!C$16*Landbrug!C$17,IF(LEFT($D267,5)="Areal", IF($G267="Ton",Landbrug!C$18,1),1)),1)*IF($F267="Grøntsager",IF($A267="Grøntsager i drivhus",Landbrug!C$51,1-Landbrug!C$51),1)</f>
        <v>#REF!</v>
      </c>
      <c r="I267" s="303" t="e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input'!$A$3:$A$230,$A$1)),IF(VLOOKUP($A267,[1]!Table1[#All],2,FALSE)="Resultat",SUMIF($F$1:$F266,$D267,I$1:I266)+SUMIF($F268:$F$490,$D267,I268:I$490),0))*'[1]Processer - data'!I267,"")*IF($C267&lt;&gt;"",IF($F267="Halm",Landbrug!D$16*Landbrug!D$17,IF(LEFT($D267,5)="Areal", IF($G267="Ton",Landbrug!D$18,1),1)),1)*IF($F267="Grøntsager",IF($A267="Grøntsager i drivhus",Landbrug!D$51,1-Landbrug!D$51),1)</f>
        <v>#REF!</v>
      </c>
      <c r="J267" s="304" t="e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input'!$A$3:$A$230,$A$1)),IF(VLOOKUP($A267,[1]!Table1[#All],2,FALSE)="Resultat",SUMIF($F$1:$F266,$D267,J$1:J266)+SUMIF($F268:$F$490,$D267,J268:J$490),0))*'[1]Processer - data'!J267,"")*IF($C267&lt;&gt;"",IF($F267="Halm",Landbrug!E$16*Landbrug!E$17,IF(LEFT($D267,5)="Areal", IF($G267="Ton",Landbrug!E$18,1),1)),1)*IF($F267="Grøntsager",IF($A267="Grøntsager i drivhus",Landbrug!E$51,1-Landbrug!E$51),1)</f>
        <v>#REF!</v>
      </c>
    </row>
    <row r="268" spans="1:10" x14ac:dyDescent="0.25">
      <c r="A268" t="str">
        <f>IF('[1]Processer - data'!A268&lt;&gt;"",'[1]Processer - data'!A268,"")</f>
        <v>Øvrig 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OC6</v>
      </c>
      <c r="D268" t="str">
        <f>IF('[1]Processer - data'!D268&lt;&gt;"",'[1]Processer - data'!D268,"")</f>
        <v>Areal-øvrige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2" t="e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input'!$A$3:$A$230,$A$1)),IF(VLOOKUP($A268,[1]!Table1[#All],2,FALSE)="Resultat",SUMIF($F$1:$F267,$D268,H$1:H267)+SUMIF($F269:$F$490,$D268,H269:H$490),0))*'[1]Processer - data'!H268,"")*IF($C268&lt;&gt;"",IF($F268="Halm",Landbrug!C$16*Landbrug!C$17,IF(LEFT($D268,5)="Areal", IF($G268="Ton",Landbrug!C$18,1),1)),1)*IF($F268="Grøntsager",IF($A268="Grøntsager i drivhus",Landbrug!C$51,1-Landbrug!C$51),1)</f>
        <v>#REF!</v>
      </c>
      <c r="I268" s="303" t="e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input'!$A$3:$A$230,$A$1)),IF(VLOOKUP($A268,[1]!Table1[#All],2,FALSE)="Resultat",SUMIF($F$1:$F267,$D268,I$1:I267)+SUMIF($F269:$F$490,$D268,I269:I$490),0))*'[1]Processer - data'!I268,"")*IF($C268&lt;&gt;"",IF($F268="Halm",Landbrug!D$16*Landbrug!D$17,IF(LEFT($D268,5)="Areal", IF($G268="Ton",Landbrug!D$18,1),1)),1)*IF($F268="Grøntsager",IF($A268="Grøntsager i drivhus",Landbrug!D$51,1-Landbrug!D$51),1)</f>
        <v>#REF!</v>
      </c>
      <c r="J268" s="304" t="e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input'!$A$3:$A$230,$A$1)),IF(VLOOKUP($A268,[1]!Table1[#All],2,FALSE)="Resultat",SUMIF($F$1:$F267,$D268,J$1:J267)+SUMIF($F269:$F$490,$D268,J269:J$490),0))*'[1]Processer - data'!J268,"")*IF($C268&lt;&gt;"",IF($F268="Halm",Landbrug!E$16*Landbrug!E$17,IF(LEFT($D268,5)="Areal", IF($G268="Ton",Landbrug!E$18,1),1)),1)*IF($F268="Grøntsager",IF($A268="Grøntsager i drivhus",Landbrug!E$51,1-Landbrug!E$51),1)</f>
        <v>#REF!</v>
      </c>
    </row>
    <row r="269" spans="1:10" x14ac:dyDescent="0.25">
      <c r="A269" t="str">
        <f>IF('[1]Processer - data'!A269&lt;&gt;"",'[1]Processer - data'!A269,"")</f>
        <v>Øvrig 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OC6</v>
      </c>
      <c r="D269" t="str">
        <f>IF('[1]Processer - data'!D269&lt;&gt;"",'[1]Processer - data'!D269,"")</f>
        <v>Areal-øvrige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2" t="e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input'!$A$3:$A$230,$A$1)),IF(VLOOKUP($A269,[1]!Table1[#All],2,FALSE)="Resultat",SUMIF($F$1:$F268,$D269,H$1:H268)+SUMIF($F270:$F$490,$D269,H270:H$490),0))*'[1]Processer - data'!H269,"")*IF($C269&lt;&gt;"",IF($F269="Halm",Landbrug!C$16*Landbrug!C$17,IF(LEFT($D269,5)="Areal", IF($G269="Ton",Landbrug!C$18,1),1)),1)*IF($F269="Grøntsager",IF($A269="Grøntsager i drivhus",Landbrug!C$51,1-Landbrug!C$51),1)</f>
        <v>#REF!</v>
      </c>
      <c r="I269" s="303" t="e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input'!$A$3:$A$230,$A$1)),IF(VLOOKUP($A269,[1]!Table1[#All],2,FALSE)="Resultat",SUMIF($F$1:$F268,$D269,I$1:I268)+SUMIF($F270:$F$490,$D269,I270:I$490),0))*'[1]Processer - data'!I269,"")*IF($C269&lt;&gt;"",IF($F269="Halm",Landbrug!D$16*Landbrug!D$17,IF(LEFT($D269,5)="Areal", IF($G269="Ton",Landbrug!D$18,1),1)),1)*IF($F269="Grøntsager",IF($A269="Grøntsager i drivhus",Landbrug!D$51,1-Landbrug!D$51),1)</f>
        <v>#REF!</v>
      </c>
      <c r="J269" s="304" t="e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input'!$A$3:$A$230,$A$1)),IF(VLOOKUP($A269,[1]!Table1[#All],2,FALSE)="Resultat",SUMIF($F$1:$F268,$D269,J$1:J268)+SUMIF($F270:$F$490,$D269,J270:J$490),0))*'[1]Processer - data'!J269,"")*IF($C269&lt;&gt;"",IF($F269="Halm",Landbrug!E$16*Landbrug!E$17,IF(LEFT($D269,5)="Areal", IF($G269="Ton",Landbrug!E$18,1),1)),1)*IF($F269="Grøntsager",IF($A269="Grøntsager i drivhus",Landbrug!E$51,1-Landbrug!E$51),1)</f>
        <v>#REF!</v>
      </c>
    </row>
    <row r="270" spans="1:10" x14ac:dyDescent="0.25">
      <c r="A270" t="str">
        <f>IF('[1]Processer - data'!A270&lt;&gt;"",'[1]Processer - data'!A270,"")</f>
        <v>Øvrig 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OC12</v>
      </c>
      <c r="D270" t="str">
        <f>IF('[1]Processer - data'!D270&lt;&gt;"",'[1]Processer - data'!D270,"")</f>
        <v>Areal-øvrige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Øvrige</v>
      </c>
      <c r="G270" t="str">
        <f>IF('[1]Processer - data'!G270&lt;&gt;"",'[1]Processer - data'!G270,"")</f>
        <v>Ton</v>
      </c>
      <c r="H270" s="302" t="e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input'!$A$3:$A$230,$A$1)),IF(VLOOKUP($A270,[1]!Table1[#All],2,FALSE)="Resultat",SUMIF($F$1:$F269,$D270,H$1:H269)+SUMIF($F271:$F$490,$D270,H271:H$490),0))*'[1]Processer - data'!H270,"")*IF($C270&lt;&gt;"",IF($F270="Halm",Landbrug!C$16*Landbrug!C$17,IF(LEFT($D270,5)="Areal", IF($G270="Ton",Landbrug!C$18,1),1)),1)*IF($F270="Grøntsager",IF($A270="Grøntsager i drivhus",Landbrug!C$51,1-Landbrug!C$51),1)</f>
        <v>#REF!</v>
      </c>
      <c r="I270" s="303" t="e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input'!$A$3:$A$230,$A$1)),IF(VLOOKUP($A270,[1]!Table1[#All],2,FALSE)="Resultat",SUMIF($F$1:$F269,$D270,I$1:I269)+SUMIF($F271:$F$490,$D270,I271:I$490),0))*'[1]Processer - data'!I270,"")*IF($C270&lt;&gt;"",IF($F270="Halm",Landbrug!D$16*Landbrug!D$17,IF(LEFT($D270,5)="Areal", IF($G270="Ton",Landbrug!D$18,1),1)),1)*IF($F270="Grøntsager",IF($A270="Grøntsager i drivhus",Landbrug!D$51,1-Landbrug!D$51),1)</f>
        <v>#REF!</v>
      </c>
      <c r="J270" s="304" t="e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input'!$A$3:$A$230,$A$1)),IF(VLOOKUP($A270,[1]!Table1[#All],2,FALSE)="Resultat",SUMIF($F$1:$F269,$D270,J$1:J269)+SUMIF($F271:$F$490,$D270,J271:J$490),0))*'[1]Processer - data'!J270,"")*IF($C270&lt;&gt;"",IF($F270="Halm",Landbrug!E$16*Landbrug!E$17,IF(LEFT($D270,5)="Areal", IF($G270="Ton",Landbrug!E$18,1),1)),1)*IF($F270="Grøntsager",IF($A270="Grøntsager i drivhus",Landbrug!E$51,1-Landbrug!E$51),1)</f>
        <v>#REF!</v>
      </c>
    </row>
    <row r="271" spans="1:10" x14ac:dyDescent="0.25">
      <c r="A271" t="str">
        <f>IF('[1]Processer - data'!A271&lt;&gt;"",'[1]Processer - data'!A271,"")</f>
        <v>Øvrig 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OC12</v>
      </c>
      <c r="D271" t="str">
        <f>IF('[1]Processer - data'!D271&lt;&gt;"",'[1]Processer - data'!D271,"")</f>
        <v>Areal-øvrige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2" t="e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input'!$A$3:$A$230,$A$1)),IF(VLOOKUP($A271,[1]!Table1[#All],2,FALSE)="Resultat",SUMIF($F$1:$F270,$D271,H$1:H270)+SUMIF($F272:$F$490,$D271,H272:H$490),0))*'[1]Processer - data'!H271,"")*IF($C271&lt;&gt;"",IF($F271="Halm",Landbrug!C$16*Landbrug!C$17,IF(LEFT($D271,5)="Areal", IF($G271="Ton",Landbrug!C$18,1),1)),1)*IF($F271="Grøntsager",IF($A271="Grøntsager i drivhus",Landbrug!C$51,1-Landbrug!C$51),1)</f>
        <v>#REF!</v>
      </c>
      <c r="I271" s="303" t="e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input'!$A$3:$A$230,$A$1)),IF(VLOOKUP($A271,[1]!Table1[#All],2,FALSE)="Resultat",SUMIF($F$1:$F270,$D271,I$1:I270)+SUMIF($F272:$F$490,$D271,I272:I$490),0))*'[1]Processer - data'!I271,"")*IF($C271&lt;&gt;"",IF($F271="Halm",Landbrug!D$16*Landbrug!D$17,IF(LEFT($D271,5)="Areal", IF($G271="Ton",Landbrug!D$18,1),1)),1)*IF($F271="Grøntsager",IF($A271="Grøntsager i drivhus",Landbrug!D$51,1-Landbrug!D$51),1)</f>
        <v>#REF!</v>
      </c>
      <c r="J271" s="304" t="e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input'!$A$3:$A$230,$A$1)),IF(VLOOKUP($A271,[1]!Table1[#All],2,FALSE)="Resultat",SUMIF($F$1:$F270,$D271,J$1:J270)+SUMIF($F272:$F$490,$D271,J272:J$490),0))*'[1]Processer - data'!J271,"")*IF($C271&lt;&gt;"",IF($F271="Halm",Landbrug!E$16*Landbrug!E$17,IF(LEFT($D271,5)="Areal", IF($G271="Ton",Landbrug!E$18,1),1)),1)*IF($F271="Grøntsager",IF($A271="Grøntsager i drivhus",Landbrug!E$51,1-Landbrug!E$51),1)</f>
        <v>#REF!</v>
      </c>
    </row>
    <row r="272" spans="1:10" x14ac:dyDescent="0.25">
      <c r="A272" t="str">
        <f>IF('[1]Processer - data'!A272&lt;&gt;"",'[1]Processer - data'!A272,"")</f>
        <v>Øvrig 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OC12</v>
      </c>
      <c r="D272" t="str">
        <f>IF('[1]Processer - data'!D272&lt;&gt;"",'[1]Processer - data'!D272,"")</f>
        <v>Areal-øvrige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2" t="e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input'!$A$3:$A$230,$A$1)),IF(VLOOKUP($A272,[1]!Table1[#All],2,FALSE)="Resultat",SUMIF($F$1:$F271,$D272,H$1:H271)+SUMIF($F273:$F$490,$D272,H273:H$490),0))*'[1]Processer - data'!H272,"")*IF($C272&lt;&gt;"",IF($F272="Halm",Landbrug!C$16*Landbrug!C$17,IF(LEFT($D272,5)="Areal", IF($G272="Ton",Landbrug!C$18,1),1)),1)*IF($F272="Grøntsager",IF($A272="Grøntsager i drivhus",Landbrug!C$51,1-Landbrug!C$51),1)</f>
        <v>#REF!</v>
      </c>
      <c r="I272" s="303" t="e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input'!$A$3:$A$230,$A$1)),IF(VLOOKUP($A272,[1]!Table1[#All],2,FALSE)="Resultat",SUMIF($F$1:$F271,$D272,I$1:I271)+SUMIF($F273:$F$490,$D272,I273:I$490),0))*'[1]Processer - data'!I272,"")*IF($C272&lt;&gt;"",IF($F272="Halm",Landbrug!D$16*Landbrug!D$17,IF(LEFT($D272,5)="Areal", IF($G272="Ton",Landbrug!D$18,1),1)),1)*IF($F272="Grøntsager",IF($A272="Grøntsager i drivhus",Landbrug!D$51,1-Landbrug!D$51),1)</f>
        <v>#REF!</v>
      </c>
      <c r="J272" s="304" t="e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input'!$A$3:$A$230,$A$1)),IF(VLOOKUP($A272,[1]!Table1[#All],2,FALSE)="Resultat",SUMIF($F$1:$F271,$D272,J$1:J271)+SUMIF($F273:$F$490,$D272,J273:J$490),0))*'[1]Processer - data'!J272,"")*IF($C272&lt;&gt;"",IF($F272="Halm",Landbrug!E$16*Landbrug!E$17,IF(LEFT($D272,5)="Areal", IF($G272="Ton",Landbrug!E$18,1),1)),1)*IF($F272="Grøntsager",IF($A272="Grøntsager i drivhus",Landbrug!E$51,1-Landbrug!E$51),1)</f>
        <v>#REF!</v>
      </c>
    </row>
    <row r="273" spans="1:10" x14ac:dyDescent="0.25">
      <c r="A273" t="str">
        <f>IF('[1]Processer - data'!A273&lt;&gt;"",'[1]Processer - data'!A273,"")</f>
        <v>Øvrig mark</v>
      </c>
      <c r="B273" t="str">
        <f>IF('[1]Processer - data'!B273&lt;&gt;"",'[1]Processer - data'!B273,"")</f>
        <v>Økologisk</v>
      </c>
      <c r="C273" t="str">
        <f>IF('[1]Processer - data'!C273&lt;&gt;"",'[1]Processer - data'!C273,"")</f>
        <v>JB1-10</v>
      </c>
      <c r="D273" t="str">
        <f>IF('[1]Processer - data'!D273&lt;&gt;"",'[1]Processer - data'!D273,"")</f>
        <v>Areal-øvrige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Øvrige</v>
      </c>
      <c r="G273" t="str">
        <f>IF('[1]Processer - data'!G273&lt;&gt;"",'[1]Processer - data'!G273,"")</f>
        <v>Ton</v>
      </c>
      <c r="H273" s="302" t="e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input'!$A$3:$A$230,$A$1)),IF(VLOOKUP($A273,[1]!Table1[#All],2,FALSE)="Resultat",SUMIF($F$1:$F272,$D273,H$1:H272)+SUMIF($F274:$F$490,$D273,H274:H$490),0))*'[1]Processer - data'!H273,"")*IF($C273&lt;&gt;"",IF($F273="Halm",Landbrug!C$16*Landbrug!C$17,IF(LEFT($D273,5)="Areal", IF($G273="Ton",Landbrug!C$18,1),1)),1)*IF($F273="Grøntsager",IF($A273="Grøntsager i drivhus",Landbrug!C$51,1-Landbrug!C$51),1)</f>
        <v>#REF!</v>
      </c>
      <c r="I273" s="303" t="e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input'!$A$3:$A$230,$A$1)),IF(VLOOKUP($A273,[1]!Table1[#All],2,FALSE)="Resultat",SUMIF($F$1:$F272,$D273,I$1:I272)+SUMIF($F274:$F$490,$D273,I274:I$490),0))*'[1]Processer - data'!I273,"")*IF($C273&lt;&gt;"",IF($F273="Halm",Landbrug!D$16*Landbrug!D$17,IF(LEFT($D273,5)="Areal", IF($G273="Ton",Landbrug!D$18,1),1)),1)*IF($F273="Grøntsager",IF($A273="Grøntsager i drivhus",Landbrug!D$51,1-Landbrug!D$51),1)</f>
        <v>#REF!</v>
      </c>
      <c r="J273" s="304" t="e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input'!$A$3:$A$230,$A$1)),IF(VLOOKUP($A273,[1]!Table1[#All],2,FALSE)="Resultat",SUMIF($F$1:$F272,$D273,J$1:J272)+SUMIF($F274:$F$490,$D273,J274:J$490),0))*'[1]Processer - data'!J273,"")*IF($C273&lt;&gt;"",IF($F273="Halm",Landbrug!E$16*Landbrug!E$17,IF(LEFT($D273,5)="Areal", IF($G273="Ton",Landbrug!E$18,1),1)),1)*IF($F273="Grøntsager",IF($A273="Grøntsager i drivhus",Landbrug!E$51,1-Landbrug!E$51),1)</f>
        <v>#REF!</v>
      </c>
    </row>
    <row r="274" spans="1:10" x14ac:dyDescent="0.25">
      <c r="A274" t="str">
        <f>IF('[1]Processer - data'!A274&lt;&gt;"",'[1]Processer - data'!A274,"")</f>
        <v>Øvrig mark</v>
      </c>
      <c r="B274" t="str">
        <f>IF('[1]Processer - data'!B274&lt;&gt;"",'[1]Processer - data'!B274,"")</f>
        <v>Økologisk</v>
      </c>
      <c r="C274" t="str">
        <f>IF('[1]Processer - data'!C274&lt;&gt;"",'[1]Processer - data'!C274,"")</f>
        <v>JB1-10</v>
      </c>
      <c r="D274" t="str">
        <f>IF('[1]Processer - data'!D274&lt;&gt;"",'[1]Processer - data'!D274,"")</f>
        <v>Areal-øvrige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2" t="e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input'!$A$3:$A$230,$A$1)),IF(VLOOKUP($A274,[1]!Table1[#All],2,FALSE)="Resultat",SUMIF($F$1:$F273,$D274,H$1:H273)+SUMIF($F275:$F$490,$D274,H275:H$490),0))*'[1]Processer - data'!H274,"")*IF($C274&lt;&gt;"",IF($F274="Halm",Landbrug!C$16*Landbrug!C$17,IF(LEFT($D274,5)="Areal", IF($G274="Ton",Landbrug!C$18,1),1)),1)*IF($F274="Grøntsager",IF($A274="Grøntsager i drivhus",Landbrug!C$51,1-Landbrug!C$51),1)</f>
        <v>#REF!</v>
      </c>
      <c r="I274" s="303" t="e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input'!$A$3:$A$230,$A$1)),IF(VLOOKUP($A274,[1]!Table1[#All],2,FALSE)="Resultat",SUMIF($F$1:$F273,$D274,I$1:I273)+SUMIF($F275:$F$490,$D274,I275:I$490),0))*'[1]Processer - data'!I274,"")*IF($C274&lt;&gt;"",IF($F274="Halm",Landbrug!D$16*Landbrug!D$17,IF(LEFT($D274,5)="Areal", IF($G274="Ton",Landbrug!D$18,1),1)),1)*IF($F274="Grøntsager",IF($A274="Grøntsager i drivhus",Landbrug!D$51,1-Landbrug!D$51),1)</f>
        <v>#REF!</v>
      </c>
      <c r="J274" s="304" t="e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input'!$A$3:$A$230,$A$1)),IF(VLOOKUP($A274,[1]!Table1[#All],2,FALSE)="Resultat",SUMIF($F$1:$F273,$D274,J$1:J273)+SUMIF($F275:$F$490,$D274,J275:J$490),0))*'[1]Processer - data'!J274,"")*IF($C274&lt;&gt;"",IF($F274="Halm",Landbrug!E$16*Landbrug!E$17,IF(LEFT($D274,5)="Areal", IF($G274="Ton",Landbrug!E$18,1),1)),1)*IF($F274="Grøntsager",IF($A274="Grøntsager i drivhus",Landbrug!E$51,1-Landbrug!E$51),1)</f>
        <v>#REF!</v>
      </c>
    </row>
    <row r="275" spans="1:10" x14ac:dyDescent="0.25">
      <c r="A275" t="str">
        <f>IF('[1]Processer - data'!A275&lt;&gt;"",'[1]Processer - data'!A275,"")</f>
        <v>Øvrig mark</v>
      </c>
      <c r="B275" t="str">
        <f>IF('[1]Processer - data'!B275&lt;&gt;"",'[1]Processer - data'!B275,"")</f>
        <v>Økologisk</v>
      </c>
      <c r="C275" t="str">
        <f>IF('[1]Processer - data'!C275&lt;&gt;"",'[1]Processer - data'!C275,"")</f>
        <v>JB1-10</v>
      </c>
      <c r="D275" t="str">
        <f>IF('[1]Processer - data'!D275&lt;&gt;"",'[1]Processer - data'!D275,"")</f>
        <v>Areal-øvrige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2" t="e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input'!$A$3:$A$230,$A$1)),IF(VLOOKUP($A275,[1]!Table1[#All],2,FALSE)="Resultat",SUMIF($F$1:$F274,$D275,H$1:H274)+SUMIF($F276:$F$490,$D275,H276:H$490),0))*'[1]Processer - data'!H275,"")*IF($C275&lt;&gt;"",IF($F275="Halm",Landbrug!C$16*Landbrug!C$17,IF(LEFT($D275,5)="Areal", IF($G275="Ton",Landbrug!C$18,1),1)),1)*IF($F275="Grøntsager",IF($A275="Grøntsager i drivhus",Landbrug!C$51,1-Landbrug!C$51),1)</f>
        <v>#REF!</v>
      </c>
      <c r="I275" s="303" t="e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input'!$A$3:$A$230,$A$1)),IF(VLOOKUP($A275,[1]!Table1[#All],2,FALSE)="Resultat",SUMIF($F$1:$F274,$D275,I$1:I274)+SUMIF($F276:$F$490,$D275,I276:I$490),0))*'[1]Processer - data'!I275,"")*IF($C275&lt;&gt;"",IF($F275="Halm",Landbrug!D$16*Landbrug!D$17,IF(LEFT($D275,5)="Areal", IF($G275="Ton",Landbrug!D$18,1),1)),1)*IF($F275="Grøntsager",IF($A275="Grøntsager i drivhus",Landbrug!D$51,1-Landbrug!D$51),1)</f>
        <v>#REF!</v>
      </c>
      <c r="J275" s="304" t="e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input'!$A$3:$A$230,$A$1)),IF(VLOOKUP($A275,[1]!Table1[#All],2,FALSE)="Resultat",SUMIF($F$1:$F274,$D275,J$1:J274)+SUMIF($F276:$F$490,$D275,J276:J$490),0))*'[1]Processer - data'!J275,"")*IF($C275&lt;&gt;"",IF($F275="Halm",Landbrug!E$16*Landbrug!E$17,IF(LEFT($D275,5)="Areal", IF($G275="Ton",Landbrug!E$18,1),1)),1)*IF($F275="Grøntsager",IF($A275="Grøntsager i drivhus",Landbrug!E$51,1-Landbrug!E$51),1)</f>
        <v>#REF!</v>
      </c>
    </row>
    <row r="276" spans="1:10" x14ac:dyDescent="0.25">
      <c r="A276" t="str">
        <f>IF('[1]Processer - data'!A276&lt;&gt;"",'[1]Processer - data'!A276,"")</f>
        <v>Øvrig 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OC6</v>
      </c>
      <c r="D276" t="str">
        <f>IF('[1]Processer - data'!D276&lt;&gt;"",'[1]Processer - data'!D276,"")</f>
        <v>Areal-øvrige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Øvrige</v>
      </c>
      <c r="G276" t="str">
        <f>IF('[1]Processer - data'!G276&lt;&gt;"",'[1]Processer - data'!G276,"")</f>
        <v>Ton</v>
      </c>
      <c r="H276" s="302" t="e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input'!$A$3:$A$230,$A$1)),IF(VLOOKUP($A276,[1]!Table1[#All],2,FALSE)="Resultat",SUMIF($F$1:$F275,$D276,H$1:H275)+SUMIF($F277:$F$490,$D276,H277:H$490),0))*'[1]Processer - data'!H276,"")*IF($C276&lt;&gt;"",IF($F276="Halm",Landbrug!C$16*Landbrug!C$17,IF(LEFT($D276,5)="Areal", IF($G276="Ton",Landbrug!C$18,1),1)),1)*IF($F276="Grøntsager",IF($A276="Grøntsager i drivhus",Landbrug!C$51,1-Landbrug!C$51),1)</f>
        <v>#REF!</v>
      </c>
      <c r="I276" s="303" t="e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input'!$A$3:$A$230,$A$1)),IF(VLOOKUP($A276,[1]!Table1[#All],2,FALSE)="Resultat",SUMIF($F$1:$F275,$D276,I$1:I275)+SUMIF($F277:$F$490,$D276,I277:I$490),0))*'[1]Processer - data'!I276,"")*IF($C276&lt;&gt;"",IF($F276="Halm",Landbrug!D$16*Landbrug!D$17,IF(LEFT($D276,5)="Areal", IF($G276="Ton",Landbrug!D$18,1),1)),1)*IF($F276="Grøntsager",IF($A276="Grøntsager i drivhus",Landbrug!D$51,1-Landbrug!D$51),1)</f>
        <v>#REF!</v>
      </c>
      <c r="J276" s="304" t="e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input'!$A$3:$A$230,$A$1)),IF(VLOOKUP($A276,[1]!Table1[#All],2,FALSE)="Resultat",SUMIF($F$1:$F275,$D276,J$1:J275)+SUMIF($F277:$F$490,$D276,J277:J$490),0))*'[1]Processer - data'!J276,"")*IF($C276&lt;&gt;"",IF($F276="Halm",Landbrug!E$16*Landbrug!E$17,IF(LEFT($D276,5)="Areal", IF($G276="Ton",Landbrug!E$18,1),1)),1)*IF($F276="Grøntsager",IF($A276="Grøntsager i drivhus",Landbrug!E$51,1-Landbrug!E$51),1)</f>
        <v>#REF!</v>
      </c>
    </row>
    <row r="277" spans="1:10" x14ac:dyDescent="0.25">
      <c r="A277" t="str">
        <f>IF('[1]Processer - data'!A277&lt;&gt;"",'[1]Processer - data'!A277,"")</f>
        <v>Øvrig 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OC6</v>
      </c>
      <c r="D277" t="str">
        <f>IF('[1]Processer - data'!D277&lt;&gt;"",'[1]Processer - data'!D277,"")</f>
        <v>Areal-øvrige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2" t="e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input'!$A$3:$A$230,$A$1)),IF(VLOOKUP($A277,[1]!Table1[#All],2,FALSE)="Resultat",SUMIF($F$1:$F276,$D277,H$1:H276)+SUMIF($F278:$F$490,$D277,H278:H$490),0))*'[1]Processer - data'!H277,"")*IF($C277&lt;&gt;"",IF($F277="Halm",Landbrug!C$16*Landbrug!C$17,IF(LEFT($D277,5)="Areal", IF($G277="Ton",Landbrug!C$18,1),1)),1)*IF($F277="Grøntsager",IF($A277="Grøntsager i drivhus",Landbrug!C$51,1-Landbrug!C$51),1)</f>
        <v>#REF!</v>
      </c>
      <c r="I277" s="303" t="e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input'!$A$3:$A$230,$A$1)),IF(VLOOKUP($A277,[1]!Table1[#All],2,FALSE)="Resultat",SUMIF($F$1:$F276,$D277,I$1:I276)+SUMIF($F278:$F$490,$D277,I278:I$490),0))*'[1]Processer - data'!I277,"")*IF($C277&lt;&gt;"",IF($F277="Halm",Landbrug!D$16*Landbrug!D$17,IF(LEFT($D277,5)="Areal", IF($G277="Ton",Landbrug!D$18,1),1)),1)*IF($F277="Grøntsager",IF($A277="Grøntsager i drivhus",Landbrug!D$51,1-Landbrug!D$51),1)</f>
        <v>#REF!</v>
      </c>
      <c r="J277" s="304" t="e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input'!$A$3:$A$230,$A$1)),IF(VLOOKUP($A277,[1]!Table1[#All],2,FALSE)="Resultat",SUMIF($F$1:$F276,$D277,J$1:J276)+SUMIF($F278:$F$490,$D277,J278:J$490),0))*'[1]Processer - data'!J277,"")*IF($C277&lt;&gt;"",IF($F277="Halm",Landbrug!E$16*Landbrug!E$17,IF(LEFT($D277,5)="Areal", IF($G277="Ton",Landbrug!E$18,1),1)),1)*IF($F277="Grøntsager",IF($A277="Grøntsager i drivhus",Landbrug!E$51,1-Landbrug!E$51),1)</f>
        <v>#REF!</v>
      </c>
    </row>
    <row r="278" spans="1:10" x14ac:dyDescent="0.25">
      <c r="A278" t="str">
        <f>IF('[1]Processer - data'!A278&lt;&gt;"",'[1]Processer - data'!A278,"")</f>
        <v>Øvrig 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OC6</v>
      </c>
      <c r="D278" t="str">
        <f>IF('[1]Processer - data'!D278&lt;&gt;"",'[1]Processer - data'!D278,"")</f>
        <v>Areal-øvrige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2" t="e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input'!$A$3:$A$230,$A$1)),IF(VLOOKUP($A278,[1]!Table1[#All],2,FALSE)="Resultat",SUMIF($F$1:$F277,$D278,H$1:H277)+SUMIF($F279:$F$490,$D278,H279:H$490),0))*'[1]Processer - data'!H278,"")*IF($C278&lt;&gt;"",IF($F278="Halm",Landbrug!C$16*Landbrug!C$17,IF(LEFT($D278,5)="Areal", IF($G278="Ton",Landbrug!C$18,1),1)),1)*IF($F278="Grøntsager",IF($A278="Grøntsager i drivhus",Landbrug!C$51,1-Landbrug!C$51),1)</f>
        <v>#REF!</v>
      </c>
      <c r="I278" s="303" t="e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input'!$A$3:$A$230,$A$1)),IF(VLOOKUP($A278,[1]!Table1[#All],2,FALSE)="Resultat",SUMIF($F$1:$F277,$D278,I$1:I277)+SUMIF($F279:$F$490,$D278,I279:I$490),0))*'[1]Processer - data'!I278,"")*IF($C278&lt;&gt;"",IF($F278="Halm",Landbrug!D$16*Landbrug!D$17,IF(LEFT($D278,5)="Areal", IF($G278="Ton",Landbrug!D$18,1),1)),1)*IF($F278="Grøntsager",IF($A278="Grøntsager i drivhus",Landbrug!D$51,1-Landbrug!D$51),1)</f>
        <v>#REF!</v>
      </c>
      <c r="J278" s="304" t="e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input'!$A$3:$A$230,$A$1)),IF(VLOOKUP($A278,[1]!Table1[#All],2,FALSE)="Resultat",SUMIF($F$1:$F277,$D278,J$1:J277)+SUMIF($F279:$F$490,$D278,J279:J$490),0))*'[1]Processer - data'!J278,"")*IF($C278&lt;&gt;"",IF($F278="Halm",Landbrug!E$16*Landbrug!E$17,IF(LEFT($D278,5)="Areal", IF($G278="Ton",Landbrug!E$18,1),1)),1)*IF($F278="Grøntsager",IF($A278="Grøntsager i drivhus",Landbrug!E$51,1-Landbrug!E$51),1)</f>
        <v>#REF!</v>
      </c>
    </row>
    <row r="279" spans="1:10" x14ac:dyDescent="0.25">
      <c r="A279" t="str">
        <f>IF('[1]Processer - data'!A279&lt;&gt;"",'[1]Processer - data'!A279,"")</f>
        <v>Øvrig 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OC12</v>
      </c>
      <c r="D279" t="str">
        <f>IF('[1]Processer - data'!D279&lt;&gt;"",'[1]Processer - data'!D279,"")</f>
        <v>Areal-øvrige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Øvrige</v>
      </c>
      <c r="G279" t="str">
        <f>IF('[1]Processer - data'!G279&lt;&gt;"",'[1]Processer - data'!G279,"")</f>
        <v>Ton</v>
      </c>
      <c r="H279" s="302" t="e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input'!$A$3:$A$230,$A$1)),IF(VLOOKUP($A279,[1]!Table1[#All],2,FALSE)="Resultat",SUMIF($F$1:$F278,$D279,H$1:H278)+SUMIF($F280:$F$490,$D279,H280:H$490),0))*'[1]Processer - data'!H279,"")*IF($C279&lt;&gt;"",IF($F279="Halm",Landbrug!C$16*Landbrug!C$17,IF(LEFT($D279,5)="Areal", IF($G279="Ton",Landbrug!C$18,1),1)),1)*IF($F279="Grøntsager",IF($A279="Grøntsager i drivhus",Landbrug!C$51,1-Landbrug!C$51),1)</f>
        <v>#REF!</v>
      </c>
      <c r="I279" s="303" t="e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input'!$A$3:$A$230,$A$1)),IF(VLOOKUP($A279,[1]!Table1[#All],2,FALSE)="Resultat",SUMIF($F$1:$F278,$D279,I$1:I278)+SUMIF($F280:$F$490,$D279,I280:I$490),0))*'[1]Processer - data'!I279,"")*IF($C279&lt;&gt;"",IF($F279="Halm",Landbrug!D$16*Landbrug!D$17,IF(LEFT($D279,5)="Areal", IF($G279="Ton",Landbrug!D$18,1),1)),1)*IF($F279="Grøntsager",IF($A279="Grøntsager i drivhus",Landbrug!D$51,1-Landbrug!D$51),1)</f>
        <v>#REF!</v>
      </c>
      <c r="J279" s="304" t="e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input'!$A$3:$A$230,$A$1)),IF(VLOOKUP($A279,[1]!Table1[#All],2,FALSE)="Resultat",SUMIF($F$1:$F278,$D279,J$1:J278)+SUMIF($F280:$F$490,$D279,J280:J$490),0))*'[1]Processer - data'!J279,"")*IF($C279&lt;&gt;"",IF($F279="Halm",Landbrug!E$16*Landbrug!E$17,IF(LEFT($D279,5)="Areal", IF($G279="Ton",Landbrug!E$18,1),1)),1)*IF($F279="Grøntsager",IF($A279="Grøntsager i drivhus",Landbrug!E$51,1-Landbrug!E$51),1)</f>
        <v>#REF!</v>
      </c>
    </row>
    <row r="280" spans="1:10" x14ac:dyDescent="0.25">
      <c r="A280" t="str">
        <f>IF('[1]Processer - data'!A280&lt;&gt;"",'[1]Processer - data'!A280,"")</f>
        <v>Øvrig 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OC12</v>
      </c>
      <c r="D280" t="str">
        <f>IF('[1]Processer - data'!D280&lt;&gt;"",'[1]Processer - data'!D280,"")</f>
        <v>Areal-øvrige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2" t="e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input'!$A$3:$A$230,$A$1)),IF(VLOOKUP($A280,[1]!Table1[#All],2,FALSE)="Resultat",SUMIF($F$1:$F279,$D280,H$1:H279)+SUMIF($F281:$F$490,$D280,H281:H$490),0))*'[1]Processer - data'!H280,"")*IF($C280&lt;&gt;"",IF($F280="Halm",Landbrug!C$16*Landbrug!C$17,IF(LEFT($D280,5)="Areal", IF($G280="Ton",Landbrug!C$18,1),1)),1)*IF($F280="Grøntsager",IF($A280="Grøntsager i drivhus",Landbrug!C$51,1-Landbrug!C$51),1)</f>
        <v>#REF!</v>
      </c>
      <c r="I280" s="303" t="e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input'!$A$3:$A$230,$A$1)),IF(VLOOKUP($A280,[1]!Table1[#All],2,FALSE)="Resultat",SUMIF($F$1:$F279,$D280,I$1:I279)+SUMIF($F281:$F$490,$D280,I281:I$490),0))*'[1]Processer - data'!I280,"")*IF($C280&lt;&gt;"",IF($F280="Halm",Landbrug!D$16*Landbrug!D$17,IF(LEFT($D280,5)="Areal", IF($G280="Ton",Landbrug!D$18,1),1)),1)*IF($F280="Grøntsager",IF($A280="Grøntsager i drivhus",Landbrug!D$51,1-Landbrug!D$51),1)</f>
        <v>#REF!</v>
      </c>
      <c r="J280" s="304" t="e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input'!$A$3:$A$230,$A$1)),IF(VLOOKUP($A280,[1]!Table1[#All],2,FALSE)="Resultat",SUMIF($F$1:$F279,$D280,J$1:J279)+SUMIF($F281:$F$490,$D280,J281:J$490),0))*'[1]Processer - data'!J280,"")*IF($C280&lt;&gt;"",IF($F280="Halm",Landbrug!E$16*Landbrug!E$17,IF(LEFT($D280,5)="Areal", IF($G280="Ton",Landbrug!E$18,1),1)),1)*IF($F280="Grøntsager",IF($A280="Grøntsager i drivhus",Landbrug!E$51,1-Landbrug!E$51),1)</f>
        <v>#REF!</v>
      </c>
    </row>
    <row r="281" spans="1:10" x14ac:dyDescent="0.25">
      <c r="A281" t="str">
        <f>IF('[1]Processer - data'!A281&lt;&gt;"",'[1]Processer - data'!A281,"")</f>
        <v>Øvrig 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OC12</v>
      </c>
      <c r="D281" t="str">
        <f>IF('[1]Processer - data'!D281&lt;&gt;"",'[1]Processer - data'!D281,"")</f>
        <v>Areal-øvrige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2" t="e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input'!$A$3:$A$230,$A$1)),IF(VLOOKUP($A281,[1]!Table1[#All],2,FALSE)="Resultat",SUMIF($F$1:$F280,$D281,H$1:H280)+SUMIF($F282:$F$490,$D281,H282:H$490),0))*'[1]Processer - data'!H281,"")*IF($C281&lt;&gt;"",IF($F281="Halm",Landbrug!C$16*Landbrug!C$17,IF(LEFT($D281,5)="Areal", IF($G281="Ton",Landbrug!C$18,1),1)),1)*IF($F281="Grøntsager",IF($A281="Grøntsager i drivhus",Landbrug!C$51,1-Landbrug!C$51),1)</f>
        <v>#REF!</v>
      </c>
      <c r="I281" s="303" t="e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input'!$A$3:$A$230,$A$1)),IF(VLOOKUP($A281,[1]!Table1[#All],2,FALSE)="Resultat",SUMIF($F$1:$F280,$D281,I$1:I280)+SUMIF($F282:$F$490,$D281,I282:I$490),0))*'[1]Processer - data'!I281,"")*IF($C281&lt;&gt;"",IF($F281="Halm",Landbrug!D$16*Landbrug!D$17,IF(LEFT($D281,5)="Areal", IF($G281="Ton",Landbrug!D$18,1),1)),1)*IF($F281="Grøntsager",IF($A281="Grøntsager i drivhus",Landbrug!D$51,1-Landbrug!D$51),1)</f>
        <v>#REF!</v>
      </c>
      <c r="J281" s="304" t="e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input'!$A$3:$A$230,$A$1)),IF(VLOOKUP($A281,[1]!Table1[#All],2,FALSE)="Resultat",SUMIF($F$1:$F280,$D281,J$1:J280)+SUMIF($F282:$F$490,$D281,J282:J$490),0))*'[1]Processer - data'!J281,"")*IF($C281&lt;&gt;"",IF($F281="Halm",Landbrug!E$16*Landbrug!E$17,IF(LEFT($D281,5)="Areal", IF($G281="Ton",Landbrug!E$18,1),1)),1)*IF($F281="Grøntsager",IF($A281="Grøntsager i drivhus",Landbrug!E$51,1-Landbrug!E$51),1)</f>
        <v>#REF!</v>
      </c>
    </row>
    <row r="282" spans="1:10" x14ac:dyDescent="0.25">
      <c r="A282" t="str">
        <f>IF('[1]Processer - data'!A282&lt;&gt;"",'[1]Processer - data'!A282,"")</f>
        <v>Majsmark</v>
      </c>
      <c r="B282" t="str">
        <f>IF('[1]Processer - data'!B282&lt;&gt;"",'[1]Processer - data'!B282,"")</f>
        <v>Konventionel</v>
      </c>
      <c r="C282" t="str">
        <f>IF('[1]Processer - data'!C282&lt;&gt;"",'[1]Processer - data'!C282,"")</f>
        <v>JB1-10</v>
      </c>
      <c r="D282" t="str">
        <f>IF('[1]Processer - data'!D282&lt;&gt;"",'[1]Processer - data'!D282,"")</f>
        <v>Areal-majs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Majs</v>
      </c>
      <c r="G282" t="str">
        <f>IF('[1]Processer - data'!G282&lt;&gt;"",'[1]Processer - data'!G282,"")</f>
        <v>Ton</v>
      </c>
      <c r="H282" s="302" t="e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input'!$A$3:$A$230,$A$1)),IF(VLOOKUP($A282,[1]!Table1[#All],2,FALSE)="Resultat",SUMIF($F$1:$F281,$D282,H$1:H281)+SUMIF($F283:$F$490,$D282,H283:H$490),0))*'[1]Processer - data'!H282,"")*IF($C282&lt;&gt;"",IF($F282="Halm",Landbrug!C$16*Landbrug!C$17,IF(LEFT($D282,5)="Areal", IF($G282="Ton",Landbrug!C$18,1),1)),1)*IF($F282="Grøntsager",IF($A282="Grøntsager i drivhus",Landbrug!C$51,1-Landbrug!C$51),1)</f>
        <v>#REF!</v>
      </c>
      <c r="I282" s="303" t="e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input'!$A$3:$A$230,$A$1)),IF(VLOOKUP($A282,[1]!Table1[#All],2,FALSE)="Resultat",SUMIF($F$1:$F281,$D282,I$1:I281)+SUMIF($F283:$F$490,$D282,I283:I$490),0))*'[1]Processer - data'!I282,"")*IF($C282&lt;&gt;"",IF($F282="Halm",Landbrug!D$16*Landbrug!D$17,IF(LEFT($D282,5)="Areal", IF($G282="Ton",Landbrug!D$18,1),1)),1)*IF($F282="Grøntsager",IF($A282="Grøntsager i drivhus",Landbrug!D$51,1-Landbrug!D$51),1)</f>
        <v>#REF!</v>
      </c>
      <c r="J282" s="304" t="e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input'!$A$3:$A$230,$A$1)),IF(VLOOKUP($A282,[1]!Table1[#All],2,FALSE)="Resultat",SUMIF($F$1:$F281,$D282,J$1:J281)+SUMIF($F283:$F$490,$D282,J283:J$490),0))*'[1]Processer - data'!J282,"")*IF($C282&lt;&gt;"",IF($F282="Halm",Landbrug!E$16*Landbrug!E$17,IF(LEFT($D282,5)="Areal", IF($G282="Ton",Landbrug!E$18,1),1)),1)*IF($F282="Grøntsager",IF($A282="Grøntsager i drivhus",Landbrug!E$51,1-Landbrug!E$51),1)</f>
        <v>#REF!</v>
      </c>
    </row>
    <row r="283" spans="1:10" x14ac:dyDescent="0.25">
      <c r="A283" t="str">
        <f>IF('[1]Processer - data'!A283&lt;&gt;"",'[1]Processer - data'!A283,"")</f>
        <v>Majsmark</v>
      </c>
      <c r="B283" t="str">
        <f>IF('[1]Processer - data'!B283&lt;&gt;"",'[1]Processer - data'!B283,"")</f>
        <v>Konventionel</v>
      </c>
      <c r="C283" t="str">
        <f>IF('[1]Processer - data'!C283&lt;&gt;"",'[1]Processer - data'!C283,"")</f>
        <v>JB1-10</v>
      </c>
      <c r="D283" t="str">
        <f>IF('[1]Processer - data'!D283&lt;&gt;"",'[1]Processer - data'!D283,"")</f>
        <v>Areal-majs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2" t="e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input'!$A$3:$A$230,$A$1)),IF(VLOOKUP($A283,[1]!Table1[#All],2,FALSE)="Resultat",SUMIF($F$1:$F282,$D283,H$1:H282)+SUMIF($F284:$F$490,$D283,H284:H$490),0))*'[1]Processer - data'!H283,"")*IF($C283&lt;&gt;"",IF($F283="Halm",Landbrug!C$16*Landbrug!C$17,IF(LEFT($D283,5)="Areal", IF($G283="Ton",Landbrug!C$18,1),1)),1)*IF($F283="Grøntsager",IF($A283="Grøntsager i drivhus",Landbrug!C$51,1-Landbrug!C$51),1)</f>
        <v>#REF!</v>
      </c>
      <c r="I283" s="303" t="e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input'!$A$3:$A$230,$A$1)),IF(VLOOKUP($A283,[1]!Table1[#All],2,FALSE)="Resultat",SUMIF($F$1:$F282,$D283,I$1:I282)+SUMIF($F284:$F$490,$D283,I284:I$490),0))*'[1]Processer - data'!I283,"")*IF($C283&lt;&gt;"",IF($F283="Halm",Landbrug!D$16*Landbrug!D$17,IF(LEFT($D283,5)="Areal", IF($G283="Ton",Landbrug!D$18,1),1)),1)*IF($F283="Grøntsager",IF($A283="Grøntsager i drivhus",Landbrug!D$51,1-Landbrug!D$51),1)</f>
        <v>#REF!</v>
      </c>
      <c r="J283" s="304" t="e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input'!$A$3:$A$230,$A$1)),IF(VLOOKUP($A283,[1]!Table1[#All],2,FALSE)="Resultat",SUMIF($F$1:$F282,$D283,J$1:J282)+SUMIF($F284:$F$490,$D283,J284:J$490),0))*'[1]Processer - data'!J283,"")*IF($C283&lt;&gt;"",IF($F283="Halm",Landbrug!E$16*Landbrug!E$17,IF(LEFT($D283,5)="Areal", IF($G283="Ton",Landbrug!E$18,1),1)),1)*IF($F283="Grøntsager",IF($A283="Grøntsager i drivhus",Landbrug!E$51,1-Landbrug!E$51),1)</f>
        <v>#REF!</v>
      </c>
    </row>
    <row r="284" spans="1:10" x14ac:dyDescent="0.25">
      <c r="A284" t="str">
        <f>IF('[1]Processer - data'!A284&lt;&gt;"",'[1]Processer - data'!A284,"")</f>
        <v>Majsmark</v>
      </c>
      <c r="B284" t="str">
        <f>IF('[1]Processer - data'!B284&lt;&gt;"",'[1]Processer - data'!B284,"")</f>
        <v>Konventionel</v>
      </c>
      <c r="C284" t="str">
        <f>IF('[1]Processer - data'!C284&lt;&gt;"",'[1]Processer - data'!C284,"")</f>
        <v>JB1-10</v>
      </c>
      <c r="D284" t="str">
        <f>IF('[1]Processer - data'!D284&lt;&gt;"",'[1]Processer - data'!D284,"")</f>
        <v>Areal-majs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2" t="e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input'!$A$3:$A$230,$A$1)),IF(VLOOKUP($A284,[1]!Table1[#All],2,FALSE)="Resultat",SUMIF($F$1:$F283,$D284,H$1:H283)+SUMIF($F285:$F$490,$D284,H285:H$490),0))*'[1]Processer - data'!H284,"")*IF($C284&lt;&gt;"",IF($F284="Halm",Landbrug!C$16*Landbrug!C$17,IF(LEFT($D284,5)="Areal", IF($G284="Ton",Landbrug!C$18,1),1)),1)*IF($F284="Grøntsager",IF($A284="Grøntsager i drivhus",Landbrug!C$51,1-Landbrug!C$51),1)</f>
        <v>#REF!</v>
      </c>
      <c r="I284" s="303" t="e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input'!$A$3:$A$230,$A$1)),IF(VLOOKUP($A284,[1]!Table1[#All],2,FALSE)="Resultat",SUMIF($F$1:$F283,$D284,I$1:I283)+SUMIF($F285:$F$490,$D284,I285:I$490),0))*'[1]Processer - data'!I284,"")*IF($C284&lt;&gt;"",IF($F284="Halm",Landbrug!D$16*Landbrug!D$17,IF(LEFT($D284,5)="Areal", IF($G284="Ton",Landbrug!D$18,1),1)),1)*IF($F284="Grøntsager",IF($A284="Grøntsager i drivhus",Landbrug!D$51,1-Landbrug!D$51),1)</f>
        <v>#REF!</v>
      </c>
      <c r="J284" s="304" t="e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input'!$A$3:$A$230,$A$1)),IF(VLOOKUP($A284,[1]!Table1[#All],2,FALSE)="Resultat",SUMIF($F$1:$F283,$D284,J$1:J283)+SUMIF($F285:$F$490,$D284,J285:J$490),0))*'[1]Processer - data'!J284,"")*IF($C284&lt;&gt;"",IF($F284="Halm",Landbrug!E$16*Landbrug!E$17,IF(LEFT($D284,5)="Areal", IF($G284="Ton",Landbrug!E$18,1),1)),1)*IF($F284="Grøntsager",IF($A284="Grøntsager i drivhus",Landbrug!E$51,1-Landbrug!E$51),1)</f>
        <v>#REF!</v>
      </c>
    </row>
    <row r="285" spans="1:10" x14ac:dyDescent="0.25">
      <c r="A285" t="str">
        <f>IF('[1]Processer - data'!A285&lt;&gt;"",'[1]Processer - data'!A285,"")</f>
        <v>Majsmark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OC6</v>
      </c>
      <c r="D285" t="str">
        <f>IF('[1]Processer - data'!D285&lt;&gt;"",'[1]Processer - data'!D285,"")</f>
        <v>Areal-majs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Majs</v>
      </c>
      <c r="G285" t="str">
        <f>IF('[1]Processer - data'!G285&lt;&gt;"",'[1]Processer - data'!G285,"")</f>
        <v>Ton</v>
      </c>
      <c r="H285" s="302" t="e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input'!$A$3:$A$230,$A$1)),IF(VLOOKUP($A285,[1]!Table1[#All],2,FALSE)="Resultat",SUMIF($F$1:$F284,$D285,H$1:H284)+SUMIF($F286:$F$490,$D285,H286:H$490),0))*'[1]Processer - data'!H285,"")*IF($C285&lt;&gt;"",IF($F285="Halm",Landbrug!C$16*Landbrug!C$17,IF(LEFT($D285,5)="Areal", IF($G285="Ton",Landbrug!C$18,1),1)),1)*IF($F285="Grøntsager",IF($A285="Grøntsager i drivhus",Landbrug!C$51,1-Landbrug!C$51),1)</f>
        <v>#REF!</v>
      </c>
      <c r="I285" s="303" t="e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input'!$A$3:$A$230,$A$1)),IF(VLOOKUP($A285,[1]!Table1[#All],2,FALSE)="Resultat",SUMIF($F$1:$F284,$D285,I$1:I284)+SUMIF($F286:$F$490,$D285,I286:I$490),0))*'[1]Processer - data'!I285,"")*IF($C285&lt;&gt;"",IF($F285="Halm",Landbrug!D$16*Landbrug!D$17,IF(LEFT($D285,5)="Areal", IF($G285="Ton",Landbrug!D$18,1),1)),1)*IF($F285="Grøntsager",IF($A285="Grøntsager i drivhus",Landbrug!D$51,1-Landbrug!D$51),1)</f>
        <v>#REF!</v>
      </c>
      <c r="J285" s="304" t="e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input'!$A$3:$A$230,$A$1)),IF(VLOOKUP($A285,[1]!Table1[#All],2,FALSE)="Resultat",SUMIF($F$1:$F284,$D285,J$1:J284)+SUMIF($F286:$F$490,$D285,J286:J$490),0))*'[1]Processer - data'!J285,"")*IF($C285&lt;&gt;"",IF($F285="Halm",Landbrug!E$16*Landbrug!E$17,IF(LEFT($D285,5)="Areal", IF($G285="Ton",Landbrug!E$18,1),1)),1)*IF($F285="Grøntsager",IF($A285="Grøntsager i drivhus",Landbrug!E$51,1-Landbrug!E$51),1)</f>
        <v>#REF!</v>
      </c>
    </row>
    <row r="286" spans="1:10" x14ac:dyDescent="0.25">
      <c r="A286" t="str">
        <f>IF('[1]Processer - data'!A286&lt;&gt;"",'[1]Processer - data'!A286,"")</f>
        <v>Majsmark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OC6</v>
      </c>
      <c r="D286" t="str">
        <f>IF('[1]Processer - data'!D286&lt;&gt;"",'[1]Processer - data'!D286,"")</f>
        <v>Areal-majs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2" t="e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input'!$A$3:$A$230,$A$1)),IF(VLOOKUP($A286,[1]!Table1[#All],2,FALSE)="Resultat",SUMIF($F$1:$F285,$D286,H$1:H285)+SUMIF($F287:$F$490,$D286,H287:H$490),0))*'[1]Processer - data'!H286,"")*IF($C286&lt;&gt;"",IF($F286="Halm",Landbrug!C$16*Landbrug!C$17,IF(LEFT($D286,5)="Areal", IF($G286="Ton",Landbrug!C$18,1),1)),1)*IF($F286="Grøntsager",IF($A286="Grøntsager i drivhus",Landbrug!C$51,1-Landbrug!C$51),1)</f>
        <v>#REF!</v>
      </c>
      <c r="I286" s="303" t="e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input'!$A$3:$A$230,$A$1)),IF(VLOOKUP($A286,[1]!Table1[#All],2,FALSE)="Resultat",SUMIF($F$1:$F285,$D286,I$1:I285)+SUMIF($F287:$F$490,$D286,I287:I$490),0))*'[1]Processer - data'!I286,"")*IF($C286&lt;&gt;"",IF($F286="Halm",Landbrug!D$16*Landbrug!D$17,IF(LEFT($D286,5)="Areal", IF($G286="Ton",Landbrug!D$18,1),1)),1)*IF($F286="Grøntsager",IF($A286="Grøntsager i drivhus",Landbrug!D$51,1-Landbrug!D$51),1)</f>
        <v>#REF!</v>
      </c>
      <c r="J286" s="304" t="e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input'!$A$3:$A$230,$A$1)),IF(VLOOKUP($A286,[1]!Table1[#All],2,FALSE)="Resultat",SUMIF($F$1:$F285,$D286,J$1:J285)+SUMIF($F287:$F$490,$D286,J287:J$490),0))*'[1]Processer - data'!J286,"")*IF($C286&lt;&gt;"",IF($F286="Halm",Landbrug!E$16*Landbrug!E$17,IF(LEFT($D286,5)="Areal", IF($G286="Ton",Landbrug!E$18,1),1)),1)*IF($F286="Grøntsager",IF($A286="Grøntsager i drivhus",Landbrug!E$51,1-Landbrug!E$51),1)</f>
        <v>#REF!</v>
      </c>
    </row>
    <row r="287" spans="1:10" x14ac:dyDescent="0.25">
      <c r="A287" t="str">
        <f>IF('[1]Processer - data'!A287&lt;&gt;"",'[1]Processer - data'!A287,"")</f>
        <v>Majsmark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OC6</v>
      </c>
      <c r="D287" t="str">
        <f>IF('[1]Processer - data'!D287&lt;&gt;"",'[1]Processer - data'!D287,"")</f>
        <v>Areal-majs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2" t="e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input'!$A$3:$A$230,$A$1)),IF(VLOOKUP($A287,[1]!Table1[#All],2,FALSE)="Resultat",SUMIF($F$1:$F286,$D287,H$1:H286)+SUMIF($F288:$F$490,$D287,H288:H$490),0))*'[1]Processer - data'!H287,"")*IF($C287&lt;&gt;"",IF($F287="Halm",Landbrug!C$16*Landbrug!C$17,IF(LEFT($D287,5)="Areal", IF($G287="Ton",Landbrug!C$18,1),1)),1)*IF($F287="Grøntsager",IF($A287="Grøntsager i drivhus",Landbrug!C$51,1-Landbrug!C$51),1)</f>
        <v>#REF!</v>
      </c>
      <c r="I287" s="303" t="e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input'!$A$3:$A$230,$A$1)),IF(VLOOKUP($A287,[1]!Table1[#All],2,FALSE)="Resultat",SUMIF($F$1:$F286,$D287,I$1:I286)+SUMIF($F288:$F$490,$D287,I288:I$490),0))*'[1]Processer - data'!I287,"")*IF($C287&lt;&gt;"",IF($F287="Halm",Landbrug!D$16*Landbrug!D$17,IF(LEFT($D287,5)="Areal", IF($G287="Ton",Landbrug!D$18,1),1)),1)*IF($F287="Grøntsager",IF($A287="Grøntsager i drivhus",Landbrug!D$51,1-Landbrug!D$51),1)</f>
        <v>#REF!</v>
      </c>
      <c r="J287" s="304" t="e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input'!$A$3:$A$230,$A$1)),IF(VLOOKUP($A287,[1]!Table1[#All],2,FALSE)="Resultat",SUMIF($F$1:$F286,$D287,J$1:J286)+SUMIF($F288:$F$490,$D287,J288:J$490),0))*'[1]Processer - data'!J287,"")*IF($C287&lt;&gt;"",IF($F287="Halm",Landbrug!E$16*Landbrug!E$17,IF(LEFT($D287,5)="Areal", IF($G287="Ton",Landbrug!E$18,1),1)),1)*IF($F287="Grøntsager",IF($A287="Grøntsager i drivhus",Landbrug!E$51,1-Landbrug!E$51),1)</f>
        <v>#REF!</v>
      </c>
    </row>
    <row r="288" spans="1:10" x14ac:dyDescent="0.25">
      <c r="A288" t="str">
        <f>IF('[1]Processer - data'!A288&lt;&gt;"",'[1]Processer - data'!A288,"")</f>
        <v>Majsmark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OC12</v>
      </c>
      <c r="D288" t="str">
        <f>IF('[1]Processer - data'!D288&lt;&gt;"",'[1]Processer - data'!D288,"")</f>
        <v>Areal-majs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Majs</v>
      </c>
      <c r="G288" t="str">
        <f>IF('[1]Processer - data'!G288&lt;&gt;"",'[1]Processer - data'!G288,"")</f>
        <v>Ton</v>
      </c>
      <c r="H288" s="302" t="e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input'!$A$3:$A$230,$A$1)),IF(VLOOKUP($A288,[1]!Table1[#All],2,FALSE)="Resultat",SUMIF($F$1:$F287,$D288,H$1:H287)+SUMIF($F289:$F$490,$D288,H289:H$490),0))*'[1]Processer - data'!H288,"")*IF($C288&lt;&gt;"",IF($F288="Halm",Landbrug!C$16*Landbrug!C$17,IF(LEFT($D288,5)="Areal", IF($G288="Ton",Landbrug!C$18,1),1)),1)*IF($F288="Grøntsager",IF($A288="Grøntsager i drivhus",Landbrug!C$51,1-Landbrug!C$51),1)</f>
        <v>#REF!</v>
      </c>
      <c r="I288" s="303" t="e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input'!$A$3:$A$230,$A$1)),IF(VLOOKUP($A288,[1]!Table1[#All],2,FALSE)="Resultat",SUMIF($F$1:$F287,$D288,I$1:I287)+SUMIF($F289:$F$490,$D288,I289:I$490),0))*'[1]Processer - data'!I288,"")*IF($C288&lt;&gt;"",IF($F288="Halm",Landbrug!D$16*Landbrug!D$17,IF(LEFT($D288,5)="Areal", IF($G288="Ton",Landbrug!D$18,1),1)),1)*IF($F288="Grøntsager",IF($A288="Grøntsager i drivhus",Landbrug!D$51,1-Landbrug!D$51),1)</f>
        <v>#REF!</v>
      </c>
      <c r="J288" s="304" t="e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input'!$A$3:$A$230,$A$1)),IF(VLOOKUP($A288,[1]!Table1[#All],2,FALSE)="Resultat",SUMIF($F$1:$F287,$D288,J$1:J287)+SUMIF($F289:$F$490,$D288,J289:J$490),0))*'[1]Processer - data'!J288,"")*IF($C288&lt;&gt;"",IF($F288="Halm",Landbrug!E$16*Landbrug!E$17,IF(LEFT($D288,5)="Areal", IF($G288="Ton",Landbrug!E$18,1),1)),1)*IF($F288="Grøntsager",IF($A288="Grøntsager i drivhus",Landbrug!E$51,1-Landbrug!E$51),1)</f>
        <v>#REF!</v>
      </c>
    </row>
    <row r="289" spans="1:10" x14ac:dyDescent="0.25">
      <c r="A289" t="str">
        <f>IF('[1]Processer - data'!A289&lt;&gt;"",'[1]Processer - data'!A289,"")</f>
        <v>Majsmark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OC12</v>
      </c>
      <c r="D289" t="str">
        <f>IF('[1]Processer - data'!D289&lt;&gt;"",'[1]Processer - data'!D289,"")</f>
        <v>Areal-majs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2" t="e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input'!$A$3:$A$230,$A$1)),IF(VLOOKUP($A289,[1]!Table1[#All],2,FALSE)="Resultat",SUMIF($F$1:$F288,$D289,H$1:H288)+SUMIF($F290:$F$490,$D289,H290:H$490),0))*'[1]Processer - data'!H289,"")*IF($C289&lt;&gt;"",IF($F289="Halm",Landbrug!C$16*Landbrug!C$17,IF(LEFT($D289,5)="Areal", IF($G289="Ton",Landbrug!C$18,1),1)),1)*IF($F289="Grøntsager",IF($A289="Grøntsager i drivhus",Landbrug!C$51,1-Landbrug!C$51),1)</f>
        <v>#REF!</v>
      </c>
      <c r="I289" s="303" t="e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input'!$A$3:$A$230,$A$1)),IF(VLOOKUP($A289,[1]!Table1[#All],2,FALSE)="Resultat",SUMIF($F$1:$F288,$D289,I$1:I288)+SUMIF($F290:$F$490,$D289,I290:I$490),0))*'[1]Processer - data'!I289,"")*IF($C289&lt;&gt;"",IF($F289="Halm",Landbrug!D$16*Landbrug!D$17,IF(LEFT($D289,5)="Areal", IF($G289="Ton",Landbrug!D$18,1),1)),1)*IF($F289="Grøntsager",IF($A289="Grøntsager i drivhus",Landbrug!D$51,1-Landbrug!D$51),1)</f>
        <v>#REF!</v>
      </c>
      <c r="J289" s="304" t="e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input'!$A$3:$A$230,$A$1)),IF(VLOOKUP($A289,[1]!Table1[#All],2,FALSE)="Resultat",SUMIF($F$1:$F288,$D289,J$1:J288)+SUMIF($F290:$F$490,$D289,J290:J$490),0))*'[1]Processer - data'!J289,"")*IF($C289&lt;&gt;"",IF($F289="Halm",Landbrug!E$16*Landbrug!E$17,IF(LEFT($D289,5)="Areal", IF($G289="Ton",Landbrug!E$18,1),1)),1)*IF($F289="Grøntsager",IF($A289="Grøntsager i drivhus",Landbrug!E$51,1-Landbrug!E$51),1)</f>
        <v>#REF!</v>
      </c>
    </row>
    <row r="290" spans="1:10" x14ac:dyDescent="0.25">
      <c r="A290" t="str">
        <f>IF('[1]Processer - data'!A290&lt;&gt;"",'[1]Processer - data'!A290,"")</f>
        <v>Majsmark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OC12</v>
      </c>
      <c r="D290" t="str">
        <f>IF('[1]Processer - data'!D290&lt;&gt;"",'[1]Processer - data'!D290,"")</f>
        <v>Areal-majs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2" t="e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input'!$A$3:$A$230,$A$1)),IF(VLOOKUP($A290,[1]!Table1[#All],2,FALSE)="Resultat",SUMIF($F$1:$F289,$D290,H$1:H289)+SUMIF($F291:$F$490,$D290,H291:H$490),0))*'[1]Processer - data'!H290,"")*IF($C290&lt;&gt;"",IF($F290="Halm",Landbrug!C$16*Landbrug!C$17,IF(LEFT($D290,5)="Areal", IF($G290="Ton",Landbrug!C$18,1),1)),1)*IF($F290="Grøntsager",IF($A290="Grøntsager i drivhus",Landbrug!C$51,1-Landbrug!C$51),1)</f>
        <v>#REF!</v>
      </c>
      <c r="I290" s="303" t="e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input'!$A$3:$A$230,$A$1)),IF(VLOOKUP($A290,[1]!Table1[#All],2,FALSE)="Resultat",SUMIF($F$1:$F289,$D290,I$1:I289)+SUMIF($F291:$F$490,$D290,I291:I$490),0))*'[1]Processer - data'!I290,"")*IF($C290&lt;&gt;"",IF($F290="Halm",Landbrug!D$16*Landbrug!D$17,IF(LEFT($D290,5)="Areal", IF($G290="Ton",Landbrug!D$18,1),1)),1)*IF($F290="Grøntsager",IF($A290="Grøntsager i drivhus",Landbrug!D$51,1-Landbrug!D$51),1)</f>
        <v>#REF!</v>
      </c>
      <c r="J290" s="304" t="e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input'!$A$3:$A$230,$A$1)),IF(VLOOKUP($A290,[1]!Table1[#All],2,FALSE)="Resultat",SUMIF($F$1:$F289,$D290,J$1:J289)+SUMIF($F291:$F$490,$D290,J291:J$490),0))*'[1]Processer - data'!J290,"")*IF($C290&lt;&gt;"",IF($F290="Halm",Landbrug!E$16*Landbrug!E$17,IF(LEFT($D290,5)="Areal", IF($G290="Ton",Landbrug!E$18,1),1)),1)*IF($F290="Grøntsager",IF($A290="Grøntsager i drivhus",Landbrug!E$51,1-Landbrug!E$51),1)</f>
        <v>#REF!</v>
      </c>
    </row>
    <row r="291" spans="1:10" x14ac:dyDescent="0.25">
      <c r="A291" t="str">
        <f>IF('[1]Processer - data'!A291&lt;&gt;"",'[1]Processer - data'!A291,"")</f>
        <v>Majsmark</v>
      </c>
      <c r="B291" t="str">
        <f>IF('[1]Processer - data'!B291&lt;&gt;"",'[1]Processer - data'!B291,"")</f>
        <v>Økologisk</v>
      </c>
      <c r="C291" t="str">
        <f>IF('[1]Processer - data'!C291&lt;&gt;"",'[1]Processer - data'!C291,"")</f>
        <v>JB1-10</v>
      </c>
      <c r="D291" t="str">
        <f>IF('[1]Processer - data'!D291&lt;&gt;"",'[1]Processer - data'!D291,"")</f>
        <v>Areal-majs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Majs</v>
      </c>
      <c r="G291" t="str">
        <f>IF('[1]Processer - data'!G291&lt;&gt;"",'[1]Processer - data'!G291,"")</f>
        <v>Ton</v>
      </c>
      <c r="H291" s="302" t="e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input'!$A$3:$A$230,$A$1)),IF(VLOOKUP($A291,[1]!Table1[#All],2,FALSE)="Resultat",SUMIF($F$1:$F290,$D291,H$1:H290)+SUMIF($F292:$F$490,$D291,H292:H$490),0))*'[1]Processer - data'!H291,"")*IF($C291&lt;&gt;"",IF($F291="Halm",Landbrug!C$16*Landbrug!C$17,IF(LEFT($D291,5)="Areal", IF($G291="Ton",Landbrug!C$18,1),1)),1)*IF($F291="Grøntsager",IF($A291="Grøntsager i drivhus",Landbrug!C$51,1-Landbrug!C$51),1)</f>
        <v>#REF!</v>
      </c>
      <c r="I291" s="303" t="e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input'!$A$3:$A$230,$A$1)),IF(VLOOKUP($A291,[1]!Table1[#All],2,FALSE)="Resultat",SUMIF($F$1:$F290,$D291,I$1:I290)+SUMIF($F292:$F$490,$D291,I292:I$490),0))*'[1]Processer - data'!I291,"")*IF($C291&lt;&gt;"",IF($F291="Halm",Landbrug!D$16*Landbrug!D$17,IF(LEFT($D291,5)="Areal", IF($G291="Ton",Landbrug!D$18,1),1)),1)*IF($F291="Grøntsager",IF($A291="Grøntsager i drivhus",Landbrug!D$51,1-Landbrug!D$51),1)</f>
        <v>#REF!</v>
      </c>
      <c r="J291" s="304" t="e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input'!$A$3:$A$230,$A$1)),IF(VLOOKUP($A291,[1]!Table1[#All],2,FALSE)="Resultat",SUMIF($F$1:$F290,$D291,J$1:J290)+SUMIF($F292:$F$490,$D291,J292:J$490),0))*'[1]Processer - data'!J291,"")*IF($C291&lt;&gt;"",IF($F291="Halm",Landbrug!E$16*Landbrug!E$17,IF(LEFT($D291,5)="Areal", IF($G291="Ton",Landbrug!E$18,1),1)),1)*IF($F291="Grøntsager",IF($A291="Grøntsager i drivhus",Landbrug!E$51,1-Landbrug!E$51),1)</f>
        <v>#REF!</v>
      </c>
    </row>
    <row r="292" spans="1:10" x14ac:dyDescent="0.25">
      <c r="A292" t="str">
        <f>IF('[1]Processer - data'!A292&lt;&gt;"",'[1]Processer - data'!A292,"")</f>
        <v>Majsmark</v>
      </c>
      <c r="B292" t="str">
        <f>IF('[1]Processer - data'!B292&lt;&gt;"",'[1]Processer - data'!B292,"")</f>
        <v>Økologisk</v>
      </c>
      <c r="C292" t="str">
        <f>IF('[1]Processer - data'!C292&lt;&gt;"",'[1]Processer - data'!C292,"")</f>
        <v>JB1-10</v>
      </c>
      <c r="D292" t="str">
        <f>IF('[1]Processer - data'!D292&lt;&gt;"",'[1]Processer - data'!D292,"")</f>
        <v>Areal-majs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2" t="e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input'!$A$3:$A$230,$A$1)),IF(VLOOKUP($A292,[1]!Table1[#All],2,FALSE)="Resultat",SUMIF($F$1:$F291,$D292,H$1:H291)+SUMIF($F293:$F$490,$D292,H293:H$490),0))*'[1]Processer - data'!H292,"")*IF($C292&lt;&gt;"",IF($F292="Halm",Landbrug!C$16*Landbrug!C$17,IF(LEFT($D292,5)="Areal", IF($G292="Ton",Landbrug!C$18,1),1)),1)*IF($F292="Grøntsager",IF($A292="Grøntsager i drivhus",Landbrug!C$51,1-Landbrug!C$51),1)</f>
        <v>#REF!</v>
      </c>
      <c r="I292" s="303" t="e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input'!$A$3:$A$230,$A$1)),IF(VLOOKUP($A292,[1]!Table1[#All],2,FALSE)="Resultat",SUMIF($F$1:$F291,$D292,I$1:I291)+SUMIF($F293:$F$490,$D292,I293:I$490),0))*'[1]Processer - data'!I292,"")*IF($C292&lt;&gt;"",IF($F292="Halm",Landbrug!D$16*Landbrug!D$17,IF(LEFT($D292,5)="Areal", IF($G292="Ton",Landbrug!D$18,1),1)),1)*IF($F292="Grøntsager",IF($A292="Grøntsager i drivhus",Landbrug!D$51,1-Landbrug!D$51),1)</f>
        <v>#REF!</v>
      </c>
      <c r="J292" s="304" t="e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input'!$A$3:$A$230,$A$1)),IF(VLOOKUP($A292,[1]!Table1[#All],2,FALSE)="Resultat",SUMIF($F$1:$F291,$D292,J$1:J291)+SUMIF($F293:$F$490,$D292,J293:J$490),0))*'[1]Processer - data'!J292,"")*IF($C292&lt;&gt;"",IF($F292="Halm",Landbrug!E$16*Landbrug!E$17,IF(LEFT($D292,5)="Areal", IF($G292="Ton",Landbrug!E$18,1),1)),1)*IF($F292="Grøntsager",IF($A292="Grøntsager i drivhus",Landbrug!E$51,1-Landbrug!E$51),1)</f>
        <v>#REF!</v>
      </c>
    </row>
    <row r="293" spans="1:10" x14ac:dyDescent="0.25">
      <c r="A293" t="str">
        <f>IF('[1]Processer - data'!A293&lt;&gt;"",'[1]Processer - data'!A293,"")</f>
        <v>Majsmark</v>
      </c>
      <c r="B293" t="str">
        <f>IF('[1]Processer - data'!B293&lt;&gt;"",'[1]Processer - data'!B293,"")</f>
        <v>Økologisk</v>
      </c>
      <c r="C293" t="str">
        <f>IF('[1]Processer - data'!C293&lt;&gt;"",'[1]Processer - data'!C293,"")</f>
        <v>JB1-10</v>
      </c>
      <c r="D293" t="str">
        <f>IF('[1]Processer - data'!D293&lt;&gt;"",'[1]Processer - data'!D293,"")</f>
        <v>Areal-majs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2" t="e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input'!$A$3:$A$230,$A$1)),IF(VLOOKUP($A293,[1]!Table1[#All],2,FALSE)="Resultat",SUMIF($F$1:$F292,$D293,H$1:H292)+SUMIF($F294:$F$490,$D293,H294:H$490),0))*'[1]Processer - data'!H293,"")*IF($C293&lt;&gt;"",IF($F293="Halm",Landbrug!C$16*Landbrug!C$17,IF(LEFT($D293,5)="Areal", IF($G293="Ton",Landbrug!C$18,1),1)),1)*IF($F293="Grøntsager",IF($A293="Grøntsager i drivhus",Landbrug!C$51,1-Landbrug!C$51),1)</f>
        <v>#REF!</v>
      </c>
      <c r="I293" s="303" t="e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input'!$A$3:$A$230,$A$1)),IF(VLOOKUP($A293,[1]!Table1[#All],2,FALSE)="Resultat",SUMIF($F$1:$F292,$D293,I$1:I292)+SUMIF($F294:$F$490,$D293,I294:I$490),0))*'[1]Processer - data'!I293,"")*IF($C293&lt;&gt;"",IF($F293="Halm",Landbrug!D$16*Landbrug!D$17,IF(LEFT($D293,5)="Areal", IF($G293="Ton",Landbrug!D$18,1),1)),1)*IF($F293="Grøntsager",IF($A293="Grøntsager i drivhus",Landbrug!D$51,1-Landbrug!D$51),1)</f>
        <v>#REF!</v>
      </c>
      <c r="J293" s="304" t="e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input'!$A$3:$A$230,$A$1)),IF(VLOOKUP($A293,[1]!Table1[#All],2,FALSE)="Resultat",SUMIF($F$1:$F292,$D293,J$1:J292)+SUMIF($F294:$F$490,$D293,J294:J$490),0))*'[1]Processer - data'!J293,"")*IF($C293&lt;&gt;"",IF($F293="Halm",Landbrug!E$16*Landbrug!E$17,IF(LEFT($D293,5)="Areal", IF($G293="Ton",Landbrug!E$18,1),1)),1)*IF($F293="Grøntsager",IF($A293="Grøntsager i drivhus",Landbrug!E$51,1-Landbrug!E$51),1)</f>
        <v>#REF!</v>
      </c>
    </row>
    <row r="294" spans="1:10" x14ac:dyDescent="0.25">
      <c r="A294" t="str">
        <f>IF('[1]Processer - data'!A294&lt;&gt;"",'[1]Processer - data'!A294,"")</f>
        <v>Majsmark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OC6</v>
      </c>
      <c r="D294" t="str">
        <f>IF('[1]Processer - data'!D294&lt;&gt;"",'[1]Processer - data'!D294,"")</f>
        <v>Areal-majs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Majs</v>
      </c>
      <c r="G294" t="str">
        <f>IF('[1]Processer - data'!G294&lt;&gt;"",'[1]Processer - data'!G294,"")</f>
        <v>Ton</v>
      </c>
      <c r="H294" s="302" t="e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input'!$A$3:$A$230,$A$1)),IF(VLOOKUP($A294,[1]!Table1[#All],2,FALSE)="Resultat",SUMIF($F$1:$F293,$D294,H$1:H293)+SUMIF($F295:$F$490,$D294,H295:H$490),0))*'[1]Processer - data'!H294,"")*IF($C294&lt;&gt;"",IF($F294="Halm",Landbrug!C$16*Landbrug!C$17,IF(LEFT($D294,5)="Areal", IF($G294="Ton",Landbrug!C$18,1),1)),1)*IF($F294="Grøntsager",IF($A294="Grøntsager i drivhus",Landbrug!C$51,1-Landbrug!C$51),1)</f>
        <v>#REF!</v>
      </c>
      <c r="I294" s="303" t="e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input'!$A$3:$A$230,$A$1)),IF(VLOOKUP($A294,[1]!Table1[#All],2,FALSE)="Resultat",SUMIF($F$1:$F293,$D294,I$1:I293)+SUMIF($F295:$F$490,$D294,I295:I$490),0))*'[1]Processer - data'!I294,"")*IF($C294&lt;&gt;"",IF($F294="Halm",Landbrug!D$16*Landbrug!D$17,IF(LEFT($D294,5)="Areal", IF($G294="Ton",Landbrug!D$18,1),1)),1)*IF($F294="Grøntsager",IF($A294="Grøntsager i drivhus",Landbrug!D$51,1-Landbrug!D$51),1)</f>
        <v>#REF!</v>
      </c>
      <c r="J294" s="304" t="e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input'!$A$3:$A$230,$A$1)),IF(VLOOKUP($A294,[1]!Table1[#All],2,FALSE)="Resultat",SUMIF($F$1:$F293,$D294,J$1:J293)+SUMIF($F295:$F$490,$D294,J295:J$490),0))*'[1]Processer - data'!J294,"")*IF($C294&lt;&gt;"",IF($F294="Halm",Landbrug!E$16*Landbrug!E$17,IF(LEFT($D294,5)="Areal", IF($G294="Ton",Landbrug!E$18,1),1)),1)*IF($F294="Grøntsager",IF($A294="Grøntsager i drivhus",Landbrug!E$51,1-Landbrug!E$51),1)</f>
        <v>#REF!</v>
      </c>
    </row>
    <row r="295" spans="1:10" x14ac:dyDescent="0.25">
      <c r="A295" t="str">
        <f>IF('[1]Processer - data'!A295&lt;&gt;"",'[1]Processer - data'!A295,"")</f>
        <v>Majsmark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OC6</v>
      </c>
      <c r="D295" t="str">
        <f>IF('[1]Processer - data'!D295&lt;&gt;"",'[1]Processer - data'!D295,"")</f>
        <v>Areal-majs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2" t="e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input'!$A$3:$A$230,$A$1)),IF(VLOOKUP($A295,[1]!Table1[#All],2,FALSE)="Resultat",SUMIF($F$1:$F294,$D295,H$1:H294)+SUMIF($F296:$F$490,$D295,H296:H$490),0))*'[1]Processer - data'!H295,"")*IF($C295&lt;&gt;"",IF($F295="Halm",Landbrug!C$16*Landbrug!C$17,IF(LEFT($D295,5)="Areal", IF($G295="Ton",Landbrug!C$18,1),1)),1)*IF($F295="Grøntsager",IF($A295="Grøntsager i drivhus",Landbrug!C$51,1-Landbrug!C$51),1)</f>
        <v>#REF!</v>
      </c>
      <c r="I295" s="303" t="e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input'!$A$3:$A$230,$A$1)),IF(VLOOKUP($A295,[1]!Table1[#All],2,FALSE)="Resultat",SUMIF($F$1:$F294,$D295,I$1:I294)+SUMIF($F296:$F$490,$D295,I296:I$490),0))*'[1]Processer - data'!I295,"")*IF($C295&lt;&gt;"",IF($F295="Halm",Landbrug!D$16*Landbrug!D$17,IF(LEFT($D295,5)="Areal", IF($G295="Ton",Landbrug!D$18,1),1)),1)*IF($F295="Grøntsager",IF($A295="Grøntsager i drivhus",Landbrug!D$51,1-Landbrug!D$51),1)</f>
        <v>#REF!</v>
      </c>
      <c r="J295" s="304" t="e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input'!$A$3:$A$230,$A$1)),IF(VLOOKUP($A295,[1]!Table1[#All],2,FALSE)="Resultat",SUMIF($F$1:$F294,$D295,J$1:J294)+SUMIF($F296:$F$490,$D295,J296:J$490),0))*'[1]Processer - data'!J295,"")*IF($C295&lt;&gt;"",IF($F295="Halm",Landbrug!E$16*Landbrug!E$17,IF(LEFT($D295,5)="Areal", IF($G295="Ton",Landbrug!E$18,1),1)),1)*IF($F295="Grøntsager",IF($A295="Grøntsager i drivhus",Landbrug!E$51,1-Landbrug!E$51),1)</f>
        <v>#REF!</v>
      </c>
    </row>
    <row r="296" spans="1:10" x14ac:dyDescent="0.25">
      <c r="A296" t="str">
        <f>IF('[1]Processer - data'!A296&lt;&gt;"",'[1]Processer - data'!A296,"")</f>
        <v>Majsmark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OC6</v>
      </c>
      <c r="D296" t="str">
        <f>IF('[1]Processer - data'!D296&lt;&gt;"",'[1]Processer - data'!D296,"")</f>
        <v>Areal-majs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2" t="e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input'!$A$3:$A$230,$A$1)),IF(VLOOKUP($A296,[1]!Table1[#All],2,FALSE)="Resultat",SUMIF($F$1:$F295,$D296,H$1:H295)+SUMIF($F297:$F$490,$D296,H297:H$490),0))*'[1]Processer - data'!H296,"")*IF($C296&lt;&gt;"",IF($F296="Halm",Landbrug!C$16*Landbrug!C$17,IF(LEFT($D296,5)="Areal", IF($G296="Ton",Landbrug!C$18,1),1)),1)*IF($F296="Grøntsager",IF($A296="Grøntsager i drivhus",Landbrug!C$51,1-Landbrug!C$51),1)</f>
        <v>#REF!</v>
      </c>
      <c r="I296" s="303" t="e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input'!$A$3:$A$230,$A$1)),IF(VLOOKUP($A296,[1]!Table1[#All],2,FALSE)="Resultat",SUMIF($F$1:$F295,$D296,I$1:I295)+SUMIF($F297:$F$490,$D296,I297:I$490),0))*'[1]Processer - data'!I296,"")*IF($C296&lt;&gt;"",IF($F296="Halm",Landbrug!D$16*Landbrug!D$17,IF(LEFT($D296,5)="Areal", IF($G296="Ton",Landbrug!D$18,1),1)),1)*IF($F296="Grøntsager",IF($A296="Grøntsager i drivhus",Landbrug!D$51,1-Landbrug!D$51),1)</f>
        <v>#REF!</v>
      </c>
      <c r="J296" s="304" t="e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input'!$A$3:$A$230,$A$1)),IF(VLOOKUP($A296,[1]!Table1[#All],2,FALSE)="Resultat",SUMIF($F$1:$F295,$D296,J$1:J295)+SUMIF($F297:$F$490,$D296,J297:J$490),0))*'[1]Processer - data'!J296,"")*IF($C296&lt;&gt;"",IF($F296="Halm",Landbrug!E$16*Landbrug!E$17,IF(LEFT($D296,5)="Areal", IF($G296="Ton",Landbrug!E$18,1),1)),1)*IF($F296="Grøntsager",IF($A296="Grøntsager i drivhus",Landbrug!E$51,1-Landbrug!E$51),1)</f>
        <v>#REF!</v>
      </c>
    </row>
    <row r="297" spans="1:10" x14ac:dyDescent="0.25">
      <c r="A297" t="str">
        <f>IF('[1]Processer - data'!A297&lt;&gt;"",'[1]Processer - data'!A297,"")</f>
        <v>Majsmark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OC12</v>
      </c>
      <c r="D297" t="str">
        <f>IF('[1]Processer - data'!D297&lt;&gt;"",'[1]Processer - data'!D297,"")</f>
        <v>Areal-majs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Majs</v>
      </c>
      <c r="G297" t="str">
        <f>IF('[1]Processer - data'!G297&lt;&gt;"",'[1]Processer - data'!G297,"")</f>
        <v>Ton</v>
      </c>
      <c r="H297" s="302" t="e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input'!$A$3:$A$230,$A$1)),IF(VLOOKUP($A297,[1]!Table1[#All],2,FALSE)="Resultat",SUMIF($F$1:$F296,$D297,H$1:H296)+SUMIF($F298:$F$490,$D297,H298:H$490),0))*'[1]Processer - data'!H297,"")*IF($C297&lt;&gt;"",IF($F297="Halm",Landbrug!C$16*Landbrug!C$17,IF(LEFT($D297,5)="Areal", IF($G297="Ton",Landbrug!C$18,1),1)),1)*IF($F297="Grøntsager",IF($A297="Grøntsager i drivhus",Landbrug!C$51,1-Landbrug!C$51),1)</f>
        <v>#REF!</v>
      </c>
      <c r="I297" s="303" t="e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input'!$A$3:$A$230,$A$1)),IF(VLOOKUP($A297,[1]!Table1[#All],2,FALSE)="Resultat",SUMIF($F$1:$F296,$D297,I$1:I296)+SUMIF($F298:$F$490,$D297,I298:I$490),0))*'[1]Processer - data'!I297,"")*IF($C297&lt;&gt;"",IF($F297="Halm",Landbrug!D$16*Landbrug!D$17,IF(LEFT($D297,5)="Areal", IF($G297="Ton",Landbrug!D$18,1),1)),1)*IF($F297="Grøntsager",IF($A297="Grøntsager i drivhus",Landbrug!D$51,1-Landbrug!D$51),1)</f>
        <v>#REF!</v>
      </c>
      <c r="J297" s="304" t="e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input'!$A$3:$A$230,$A$1)),IF(VLOOKUP($A297,[1]!Table1[#All],2,FALSE)="Resultat",SUMIF($F$1:$F296,$D297,J$1:J296)+SUMIF($F298:$F$490,$D297,J298:J$490),0))*'[1]Processer - data'!J297,"")*IF($C297&lt;&gt;"",IF($F297="Halm",Landbrug!E$16*Landbrug!E$17,IF(LEFT($D297,5)="Areal", IF($G297="Ton",Landbrug!E$18,1),1)),1)*IF($F297="Grøntsager",IF($A297="Grøntsager i drivhus",Landbrug!E$51,1-Landbrug!E$51),1)</f>
        <v>#REF!</v>
      </c>
    </row>
    <row r="298" spans="1:10" x14ac:dyDescent="0.25">
      <c r="A298" t="str">
        <f>IF('[1]Processer - data'!A298&lt;&gt;"",'[1]Processer - data'!A298,"")</f>
        <v>Majsmark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OC12</v>
      </c>
      <c r="D298" t="str">
        <f>IF('[1]Processer - data'!D298&lt;&gt;"",'[1]Processer - data'!D298,"")</f>
        <v>Areal-majs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2" t="e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input'!$A$3:$A$230,$A$1)),IF(VLOOKUP($A298,[1]!Table1[#All],2,FALSE)="Resultat",SUMIF($F$1:$F297,$D298,H$1:H297)+SUMIF($F299:$F$490,$D298,H299:H$490),0))*'[1]Processer - data'!H298,"")*IF($C298&lt;&gt;"",IF($F298="Halm",Landbrug!C$16*Landbrug!C$17,IF(LEFT($D298,5)="Areal", IF($G298="Ton",Landbrug!C$18,1),1)),1)*IF($F298="Grøntsager",IF($A298="Grøntsager i drivhus",Landbrug!C$51,1-Landbrug!C$51),1)</f>
        <v>#REF!</v>
      </c>
      <c r="I298" s="303" t="e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input'!$A$3:$A$230,$A$1)),IF(VLOOKUP($A298,[1]!Table1[#All],2,FALSE)="Resultat",SUMIF($F$1:$F297,$D298,I$1:I297)+SUMIF($F299:$F$490,$D298,I299:I$490),0))*'[1]Processer - data'!I298,"")*IF($C298&lt;&gt;"",IF($F298="Halm",Landbrug!D$16*Landbrug!D$17,IF(LEFT($D298,5)="Areal", IF($G298="Ton",Landbrug!D$18,1),1)),1)*IF($F298="Grøntsager",IF($A298="Grøntsager i drivhus",Landbrug!D$51,1-Landbrug!D$51),1)</f>
        <v>#REF!</v>
      </c>
      <c r="J298" s="304" t="e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input'!$A$3:$A$230,$A$1)),IF(VLOOKUP($A298,[1]!Table1[#All],2,FALSE)="Resultat",SUMIF($F$1:$F297,$D298,J$1:J297)+SUMIF($F299:$F$490,$D298,J299:J$490),0))*'[1]Processer - data'!J298,"")*IF($C298&lt;&gt;"",IF($F298="Halm",Landbrug!E$16*Landbrug!E$17,IF(LEFT($D298,5)="Areal", IF($G298="Ton",Landbrug!E$18,1),1)),1)*IF($F298="Grøntsager",IF($A298="Grøntsager i drivhus",Landbrug!E$51,1-Landbrug!E$51),1)</f>
        <v>#REF!</v>
      </c>
    </row>
    <row r="299" spans="1:10" x14ac:dyDescent="0.25">
      <c r="A299" t="str">
        <f>IF('[1]Processer - data'!A299&lt;&gt;"",'[1]Processer - data'!A299,"")</f>
        <v>Majsmark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OC12</v>
      </c>
      <c r="D299" t="str">
        <f>IF('[1]Processer - data'!D299&lt;&gt;"",'[1]Processer - data'!D299,"")</f>
        <v>Areal-majs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2" t="e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input'!$A$3:$A$230,$A$1)),IF(VLOOKUP($A299,[1]!Table1[#All],2,FALSE)="Resultat",SUMIF($F$1:$F298,$D299,H$1:H298)+SUMIF($F300:$F$490,$D299,H300:H$490),0))*'[1]Processer - data'!H299,"")*IF($C299&lt;&gt;"",IF($F299="Halm",Landbrug!C$16*Landbrug!C$17,IF(LEFT($D299,5)="Areal", IF($G299="Ton",Landbrug!C$18,1),1)),1)*IF($F299="Grøntsager",IF($A299="Grøntsager i drivhus",Landbrug!C$51,1-Landbrug!C$51),1)</f>
        <v>#REF!</v>
      </c>
      <c r="I299" s="303" t="e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input'!$A$3:$A$230,$A$1)),IF(VLOOKUP($A299,[1]!Table1[#All],2,FALSE)="Resultat",SUMIF($F$1:$F298,$D299,I$1:I298)+SUMIF($F300:$F$490,$D299,I300:I$490),0))*'[1]Processer - data'!I299,"")*IF($C299&lt;&gt;"",IF($F299="Halm",Landbrug!D$16*Landbrug!D$17,IF(LEFT($D299,5)="Areal", IF($G299="Ton",Landbrug!D$18,1),1)),1)*IF($F299="Grøntsager",IF($A299="Grøntsager i drivhus",Landbrug!D$51,1-Landbrug!D$51),1)</f>
        <v>#REF!</v>
      </c>
      <c r="J299" s="304" t="e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input'!$A$3:$A$230,$A$1)),IF(VLOOKUP($A299,[1]!Table1[#All],2,FALSE)="Resultat",SUMIF($F$1:$F298,$D299,J$1:J298)+SUMIF($F300:$F$490,$D299,J300:J$490),0))*'[1]Processer - data'!J299,"")*IF($C299&lt;&gt;"",IF($F299="Halm",Landbrug!E$16*Landbrug!E$17,IF(LEFT($D299,5)="Areal", IF($G299="Ton",Landbrug!E$18,1),1)),1)*IF($F299="Grøntsager",IF($A299="Grøntsager i drivhus",Landbrug!E$51,1-Landbrug!E$51),1)</f>
        <v>#REF!</v>
      </c>
    </row>
    <row r="300" spans="1:10" x14ac:dyDescent="0.25">
      <c r="A300" t="str">
        <f>IF('[1]Processer - data'!A300&lt;&gt;"",'[1]Processer - data'!A300,"")</f>
        <v>Rapsmark</v>
      </c>
      <c r="B300" t="str">
        <f>IF('[1]Processer - data'!B300&lt;&gt;"",'[1]Processer - data'!B300,"")</f>
        <v>Konventionel</v>
      </c>
      <c r="C300" t="str">
        <f>IF('[1]Processer - data'!C300&lt;&gt;"",'[1]Processer - data'!C300,"")</f>
        <v>JB1-10</v>
      </c>
      <c r="D300" t="str">
        <f>IF('[1]Processer - data'!D300&lt;&gt;"",'[1]Processer - data'!D300,"")</f>
        <v>Areal-raps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Raps</v>
      </c>
      <c r="G300" t="str">
        <f>IF('[1]Processer - data'!G300&lt;&gt;"",'[1]Processer - data'!G300,"")</f>
        <v>Ton</v>
      </c>
      <c r="H300" s="302" t="e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input'!$A$3:$A$230,$A$1)),IF(VLOOKUP($A300,[1]!Table1[#All],2,FALSE)="Resultat",SUMIF($F$1:$F299,$D300,H$1:H299)+SUMIF($F301:$F$490,$D300,H301:H$490),0))*'[1]Processer - data'!H300,"")*IF($C300&lt;&gt;"",IF($F300="Halm",Landbrug!C$16*Landbrug!C$17,IF(LEFT($D300,5)="Areal", IF($G300="Ton",Landbrug!C$18,1),1)),1)*IF($F300="Grøntsager",IF($A300="Grøntsager i drivhus",Landbrug!C$51,1-Landbrug!C$51),1)</f>
        <v>#REF!</v>
      </c>
      <c r="I300" s="303" t="e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input'!$A$3:$A$230,$A$1)),IF(VLOOKUP($A300,[1]!Table1[#All],2,FALSE)="Resultat",SUMIF($F$1:$F299,$D300,I$1:I299)+SUMIF($F301:$F$490,$D300,I301:I$490),0))*'[1]Processer - data'!I300,"")*IF($C300&lt;&gt;"",IF($F300="Halm",Landbrug!D$16*Landbrug!D$17,IF(LEFT($D300,5)="Areal", IF($G300="Ton",Landbrug!D$18,1),1)),1)*IF($F300="Grøntsager",IF($A300="Grøntsager i drivhus",Landbrug!D$51,1-Landbrug!D$51),1)</f>
        <v>#REF!</v>
      </c>
      <c r="J300" s="304" t="e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input'!$A$3:$A$230,$A$1)),IF(VLOOKUP($A300,[1]!Table1[#All],2,FALSE)="Resultat",SUMIF($F$1:$F299,$D300,J$1:J299)+SUMIF($F301:$F$490,$D300,J301:J$490),0))*'[1]Processer - data'!J300,"")*IF($C300&lt;&gt;"",IF($F300="Halm",Landbrug!E$16*Landbrug!E$17,IF(LEFT($D300,5)="Areal", IF($G300="Ton",Landbrug!E$18,1),1)),1)*IF($F300="Grøntsager",IF($A300="Grøntsager i drivhus",Landbrug!E$51,1-Landbrug!E$51),1)</f>
        <v>#REF!</v>
      </c>
    </row>
    <row r="301" spans="1:10" x14ac:dyDescent="0.25">
      <c r="A301" t="str">
        <f>IF('[1]Processer - data'!A301&lt;&gt;"",'[1]Processer - data'!A301,"")</f>
        <v>Rapsmark</v>
      </c>
      <c r="B301" t="str">
        <f>IF('[1]Processer - data'!B301&lt;&gt;"",'[1]Processer - data'!B301,"")</f>
        <v>Konventionel</v>
      </c>
      <c r="C301" t="str">
        <f>IF('[1]Processer - data'!C301&lt;&gt;"",'[1]Processer - data'!C301,"")</f>
        <v>JB1-10</v>
      </c>
      <c r="D301" t="str">
        <f>IF('[1]Processer - data'!D301&lt;&gt;"",'[1]Processer - data'!D301,"")</f>
        <v>Areal-raps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Halm</v>
      </c>
      <c r="G301" t="str">
        <f>IF('[1]Processer - data'!G301&lt;&gt;"",'[1]Processer - data'!G301,"")</f>
        <v>Ton</v>
      </c>
      <c r="H301" s="302" t="e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input'!$A$3:$A$230,$A$1)),IF(VLOOKUP($A301,[1]!Table1[#All],2,FALSE)="Resultat",SUMIF($F$1:$F300,$D301,H$1:H300)+SUMIF($F302:$F$490,$D301,H302:H$490),0))*'[1]Processer - data'!H301,"")*IF($C301&lt;&gt;"",IF($F301="Halm",Landbrug!C$16*Landbrug!C$17,IF(LEFT($D301,5)="Areal", IF($G301="Ton",Landbrug!C$18,1),1)),1)*IF($F301="Grøntsager",IF($A301="Grøntsager i drivhus",Landbrug!C$51,1-Landbrug!C$51),1)</f>
        <v>#REF!</v>
      </c>
      <c r="I301" s="303" t="e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input'!$A$3:$A$230,$A$1)),IF(VLOOKUP($A301,[1]!Table1[#All],2,FALSE)="Resultat",SUMIF($F$1:$F300,$D301,I$1:I300)+SUMIF($F302:$F$490,$D301,I302:I$490),0))*'[1]Processer - data'!I301,"")*IF($C301&lt;&gt;"",IF($F301="Halm",Landbrug!D$16*Landbrug!D$17,IF(LEFT($D301,5)="Areal", IF($G301="Ton",Landbrug!D$18,1),1)),1)*IF($F301="Grøntsager",IF($A301="Grøntsager i drivhus",Landbrug!D$51,1-Landbrug!D$51),1)</f>
        <v>#REF!</v>
      </c>
      <c r="J301" s="304" t="e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input'!$A$3:$A$230,$A$1)),IF(VLOOKUP($A301,[1]!Table1[#All],2,FALSE)="Resultat",SUMIF($F$1:$F300,$D301,J$1:J300)+SUMIF($F302:$F$490,$D301,J302:J$490),0))*'[1]Processer - data'!J301,"")*IF($C301&lt;&gt;"",IF($F301="Halm",Landbrug!E$16*Landbrug!E$17,IF(LEFT($D301,5)="Areal", IF($G301="Ton",Landbrug!E$18,1),1)),1)*IF($F301="Grøntsager",IF($A301="Grøntsager i drivhus",Landbrug!E$51,1-Landbrug!E$51),1)</f>
        <v>#REF!</v>
      </c>
    </row>
    <row r="302" spans="1:10" x14ac:dyDescent="0.25">
      <c r="A302" t="str">
        <f>IF('[1]Processer - data'!A302&lt;&gt;"",'[1]Processer - data'!A302,"")</f>
        <v>Rapsmark</v>
      </c>
      <c r="B302" t="str">
        <f>IF('[1]Processer - data'!B302&lt;&gt;"",'[1]Processer - data'!B302,"")</f>
        <v>Konventionel</v>
      </c>
      <c r="C302" t="str">
        <f>IF('[1]Processer - data'!C302&lt;&gt;"",'[1]Processer - data'!C302,"")</f>
        <v>JB1-10</v>
      </c>
      <c r="D302" t="str">
        <f>IF('[1]Processer - data'!D302&lt;&gt;"",'[1]Processer - data'!D302,"")</f>
        <v>Areal-raps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Gødning</v>
      </c>
      <c r="G302" t="str">
        <f>IF('[1]Processer - data'!G302&lt;&gt;"",'[1]Processer - data'!G302,"")</f>
        <v>kg N</v>
      </c>
      <c r="H302" s="302" t="e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input'!$A$3:$A$230,$A$1)),IF(VLOOKUP($A302,[1]!Table1[#All],2,FALSE)="Resultat",SUMIF($F$1:$F301,$D302,H$1:H301)+SUMIF($F303:$F$490,$D302,H303:H$490),0))*'[1]Processer - data'!H302,"")*IF($C302&lt;&gt;"",IF($F302="Halm",Landbrug!C$16*Landbrug!C$17,IF(LEFT($D302,5)="Areal", IF($G302="Ton",Landbrug!C$18,1),1)),1)*IF($F302="Grøntsager",IF($A302="Grøntsager i drivhus",Landbrug!C$51,1-Landbrug!C$51),1)</f>
        <v>#REF!</v>
      </c>
      <c r="I302" s="303" t="e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input'!$A$3:$A$230,$A$1)),IF(VLOOKUP($A302,[1]!Table1[#All],2,FALSE)="Resultat",SUMIF($F$1:$F301,$D302,I$1:I301)+SUMIF($F303:$F$490,$D302,I303:I$490),0))*'[1]Processer - data'!I302,"")*IF($C302&lt;&gt;"",IF($F302="Halm",Landbrug!D$16*Landbrug!D$17,IF(LEFT($D302,5)="Areal", IF($G302="Ton",Landbrug!D$18,1),1)),1)*IF($F302="Grøntsager",IF($A302="Grøntsager i drivhus",Landbrug!D$51,1-Landbrug!D$51),1)</f>
        <v>#REF!</v>
      </c>
      <c r="J302" s="304" t="e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input'!$A$3:$A$230,$A$1)),IF(VLOOKUP($A302,[1]!Table1[#All],2,FALSE)="Resultat",SUMIF($F$1:$F301,$D302,J$1:J301)+SUMIF($F303:$F$490,$D302,J303:J$490),0))*'[1]Processer - data'!J302,"")*IF($C302&lt;&gt;"",IF($F302="Halm",Landbrug!E$16*Landbrug!E$17,IF(LEFT($D302,5)="Areal", IF($G302="Ton",Landbrug!E$18,1),1)),1)*IF($F302="Grøntsager",IF($A302="Grøntsager i drivhus",Landbrug!E$51,1-Landbrug!E$51),1)</f>
        <v>#REF!</v>
      </c>
    </row>
    <row r="303" spans="1:10" x14ac:dyDescent="0.25">
      <c r="A303" t="str">
        <f>IF('[1]Processer - data'!A303&lt;&gt;"",'[1]Processer - data'!A303,"")</f>
        <v>Rapsmark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Areal-raps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CO2 - atmosfære</v>
      </c>
      <c r="G303" t="str">
        <f>IF('[1]Processer - data'!G303&lt;&gt;"",'[1]Processer - data'!G303,"")</f>
        <v>t CO2-ækvivalenter</v>
      </c>
      <c r="H303" s="302" t="e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input'!$A$3:$A$230,$A$1)),IF(VLOOKUP($A303,[1]!Table1[#All],2,FALSE)="Resultat",SUMIF($F$1:$F302,$D303,H$1:H302)+SUMIF($F304:$F$490,$D303,H304:H$490),0))*'[1]Processer - data'!H303,"")*IF($C303&lt;&gt;"",IF($F303="Halm",Landbrug!C$16*Landbrug!C$17,IF(LEFT($D303,5)="Areal", IF($G303="Ton",Landbrug!C$18,1),1)),1)*IF($F303="Grøntsager",IF($A303="Grøntsager i drivhus",Landbrug!C$51,1-Landbrug!C$51),1)</f>
        <v>#REF!</v>
      </c>
      <c r="I303" s="303" t="e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input'!$A$3:$A$230,$A$1)),IF(VLOOKUP($A303,[1]!Table1[#All],2,FALSE)="Resultat",SUMIF($F$1:$F302,$D303,I$1:I302)+SUMIF($F304:$F$490,$D303,I304:I$490),0))*'[1]Processer - data'!I303,"")*IF($C303&lt;&gt;"",IF($F303="Halm",Landbrug!D$16*Landbrug!D$17,IF(LEFT($D303,5)="Areal", IF($G303="Ton",Landbrug!D$18,1),1)),1)*IF($F303="Grøntsager",IF($A303="Grøntsager i drivhus",Landbrug!D$51,1-Landbrug!D$51),1)</f>
        <v>#REF!</v>
      </c>
      <c r="J303" s="304" t="e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input'!$A$3:$A$230,$A$1)),IF(VLOOKUP($A303,[1]!Table1[#All],2,FALSE)="Resultat",SUMIF($F$1:$F302,$D303,J$1:J302)+SUMIF($F304:$F$490,$D303,J304:J$490),0))*'[1]Processer - data'!J303,"")*IF($C303&lt;&gt;"",IF($F303="Halm",Landbrug!E$16*Landbrug!E$17,IF(LEFT($D303,5)="Areal", IF($G303="Ton",Landbrug!E$18,1),1)),1)*IF($F303="Grøntsager",IF($A303="Grøntsager i drivhus",Landbrug!E$51,1-Landbrug!E$51),1)</f>
        <v>#REF!</v>
      </c>
    </row>
    <row r="304" spans="1:10" x14ac:dyDescent="0.25">
      <c r="A304" t="str">
        <f>IF('[1]Processer - data'!A304&lt;&gt;"",'[1]Processer - data'!A304,"")</f>
        <v>Rapsmark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OC6</v>
      </c>
      <c r="D304" t="str">
        <f>IF('[1]Processer - data'!D304&lt;&gt;"",'[1]Processer - data'!D304,"")</f>
        <v>Areal-raps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Raps</v>
      </c>
      <c r="G304" t="str">
        <f>IF('[1]Processer - data'!G304&lt;&gt;"",'[1]Processer - data'!G304,"")</f>
        <v>Ton</v>
      </c>
      <c r="H304" s="302" t="e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input'!$A$3:$A$230,$A$1)),IF(VLOOKUP($A304,[1]!Table1[#All],2,FALSE)="Resultat",SUMIF($F$1:$F303,$D304,H$1:H303)+SUMIF($F305:$F$490,$D304,H305:H$490),0))*'[1]Processer - data'!H304,"")*IF($C304&lt;&gt;"",IF($F304="Halm",Landbrug!C$16*Landbrug!C$17,IF(LEFT($D304,5)="Areal", IF($G304="Ton",Landbrug!C$18,1),1)),1)*IF($F304="Grøntsager",IF($A304="Grøntsager i drivhus",Landbrug!C$51,1-Landbrug!C$51),1)</f>
        <v>#REF!</v>
      </c>
      <c r="I304" s="303" t="e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input'!$A$3:$A$230,$A$1)),IF(VLOOKUP($A304,[1]!Table1[#All],2,FALSE)="Resultat",SUMIF($F$1:$F303,$D304,I$1:I303)+SUMIF($F305:$F$490,$D304,I305:I$490),0))*'[1]Processer - data'!I304,"")*IF($C304&lt;&gt;"",IF($F304="Halm",Landbrug!D$16*Landbrug!D$17,IF(LEFT($D304,5)="Areal", IF($G304="Ton",Landbrug!D$18,1),1)),1)*IF($F304="Grøntsager",IF($A304="Grøntsager i drivhus",Landbrug!D$51,1-Landbrug!D$51),1)</f>
        <v>#REF!</v>
      </c>
      <c r="J304" s="304" t="e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input'!$A$3:$A$230,$A$1)),IF(VLOOKUP($A304,[1]!Table1[#All],2,FALSE)="Resultat",SUMIF($F$1:$F303,$D304,J$1:J303)+SUMIF($F305:$F$490,$D304,J305:J$490),0))*'[1]Processer - data'!J304,"")*IF($C304&lt;&gt;"",IF($F304="Halm",Landbrug!E$16*Landbrug!E$17,IF(LEFT($D304,5)="Areal", IF($G304="Ton",Landbrug!E$18,1),1)),1)*IF($F304="Grøntsager",IF($A304="Grøntsager i drivhus",Landbrug!E$51,1-Landbrug!E$51),1)</f>
        <v>#REF!</v>
      </c>
    </row>
    <row r="305" spans="1:10" x14ac:dyDescent="0.25">
      <c r="A305" t="str">
        <f>IF('[1]Processer - data'!A305&lt;&gt;"",'[1]Processer - data'!A305,"")</f>
        <v>Rapsmark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OC6</v>
      </c>
      <c r="D305" t="str">
        <f>IF('[1]Processer - data'!D305&lt;&gt;"",'[1]Processer - data'!D305,"")</f>
        <v>Areal-raps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Halm</v>
      </c>
      <c r="G305" t="str">
        <f>IF('[1]Processer - data'!G305&lt;&gt;"",'[1]Processer - data'!G305,"")</f>
        <v>Ton</v>
      </c>
      <c r="H305" s="302" t="e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input'!$A$3:$A$230,$A$1)),IF(VLOOKUP($A305,[1]!Table1[#All],2,FALSE)="Resultat",SUMIF($F$1:$F304,$D305,H$1:H304)+SUMIF($F306:$F$490,$D305,H306:H$490),0))*'[1]Processer - data'!H305,"")*IF($C305&lt;&gt;"",IF($F305="Halm",Landbrug!C$16*Landbrug!C$17,IF(LEFT($D305,5)="Areal", IF($G305="Ton",Landbrug!C$18,1),1)),1)*IF($F305="Grøntsager",IF($A305="Grøntsager i drivhus",Landbrug!C$51,1-Landbrug!C$51),1)</f>
        <v>#REF!</v>
      </c>
      <c r="I305" s="303" t="e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input'!$A$3:$A$230,$A$1)),IF(VLOOKUP($A305,[1]!Table1[#All],2,FALSE)="Resultat",SUMIF($F$1:$F304,$D305,I$1:I304)+SUMIF($F306:$F$490,$D305,I306:I$490),0))*'[1]Processer - data'!I305,"")*IF($C305&lt;&gt;"",IF($F305="Halm",Landbrug!D$16*Landbrug!D$17,IF(LEFT($D305,5)="Areal", IF($G305="Ton",Landbrug!D$18,1),1)),1)*IF($F305="Grøntsager",IF($A305="Grøntsager i drivhus",Landbrug!D$51,1-Landbrug!D$51),1)</f>
        <v>#REF!</v>
      </c>
      <c r="J305" s="304" t="e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input'!$A$3:$A$230,$A$1)),IF(VLOOKUP($A305,[1]!Table1[#All],2,FALSE)="Resultat",SUMIF($F$1:$F304,$D305,J$1:J304)+SUMIF($F306:$F$490,$D305,J306:J$490),0))*'[1]Processer - data'!J305,"")*IF($C305&lt;&gt;"",IF($F305="Halm",Landbrug!E$16*Landbrug!E$17,IF(LEFT($D305,5)="Areal", IF($G305="Ton",Landbrug!E$18,1),1)),1)*IF($F305="Grøntsager",IF($A305="Grøntsager i drivhus",Landbrug!E$51,1-Landbrug!E$51),1)</f>
        <v>#REF!</v>
      </c>
    </row>
    <row r="306" spans="1:10" x14ac:dyDescent="0.25">
      <c r="A306" t="str">
        <f>IF('[1]Processer - data'!A306&lt;&gt;"",'[1]Processer - data'!A306,"")</f>
        <v>Rapsmark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Areal-raps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Gødning</v>
      </c>
      <c r="G306" t="str">
        <f>IF('[1]Processer - data'!G306&lt;&gt;"",'[1]Processer - data'!G306,"")</f>
        <v>kg N</v>
      </c>
      <c r="H306" s="302" t="e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input'!$A$3:$A$230,$A$1)),IF(VLOOKUP($A306,[1]!Table1[#All],2,FALSE)="Resultat",SUMIF($F$1:$F305,$D306,H$1:H305)+SUMIF($F307:$F$490,$D306,H307:H$490),0))*'[1]Processer - data'!H306,"")*IF($C306&lt;&gt;"",IF($F306="Halm",Landbrug!C$16*Landbrug!C$17,IF(LEFT($D306,5)="Areal", IF($G306="Ton",Landbrug!C$18,1),1)),1)*IF($F306="Grøntsager",IF($A306="Grøntsager i drivhus",Landbrug!C$51,1-Landbrug!C$51),1)</f>
        <v>#REF!</v>
      </c>
      <c r="I306" s="303" t="e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input'!$A$3:$A$230,$A$1)),IF(VLOOKUP($A306,[1]!Table1[#All],2,FALSE)="Resultat",SUMIF($F$1:$F305,$D306,I$1:I305)+SUMIF($F307:$F$490,$D306,I307:I$490),0))*'[1]Processer - data'!I306,"")*IF($C306&lt;&gt;"",IF($F306="Halm",Landbrug!D$16*Landbrug!D$17,IF(LEFT($D306,5)="Areal", IF($G306="Ton",Landbrug!D$18,1),1)),1)*IF($F306="Grøntsager",IF($A306="Grøntsager i drivhus",Landbrug!D$51,1-Landbrug!D$51),1)</f>
        <v>#REF!</v>
      </c>
      <c r="J306" s="304" t="e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input'!$A$3:$A$230,$A$1)),IF(VLOOKUP($A306,[1]!Table1[#All],2,FALSE)="Resultat",SUMIF($F$1:$F305,$D306,J$1:J305)+SUMIF($F307:$F$490,$D306,J307:J$490),0))*'[1]Processer - data'!J306,"")*IF($C306&lt;&gt;"",IF($F306="Halm",Landbrug!E$16*Landbrug!E$17,IF(LEFT($D306,5)="Areal", IF($G306="Ton",Landbrug!E$18,1),1)),1)*IF($F306="Grøntsager",IF($A306="Grøntsager i drivhus",Landbrug!E$51,1-Landbrug!E$51),1)</f>
        <v>#REF!</v>
      </c>
    </row>
    <row r="307" spans="1:10" x14ac:dyDescent="0.25">
      <c r="A307" t="str">
        <f>IF('[1]Processer - data'!A307&lt;&gt;"",'[1]Processer - data'!A307,"")</f>
        <v>Rapsmark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Areal-raps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CO2 - atmosfære</v>
      </c>
      <c r="G307" t="str">
        <f>IF('[1]Processer - data'!G307&lt;&gt;"",'[1]Processer - data'!G307,"")</f>
        <v>t CO2-ækvivalenter</v>
      </c>
      <c r="H307" s="302" t="e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input'!$A$3:$A$230,$A$1)),IF(VLOOKUP($A307,[1]!Table1[#All],2,FALSE)="Resultat",SUMIF($F$1:$F306,$D307,H$1:H306)+SUMIF($F308:$F$490,$D307,H308:H$490),0))*'[1]Processer - data'!H307,"")*IF($C307&lt;&gt;"",IF($F307="Halm",Landbrug!C$16*Landbrug!C$17,IF(LEFT($D307,5)="Areal", IF($G307="Ton",Landbrug!C$18,1),1)),1)*IF($F307="Grøntsager",IF($A307="Grøntsager i drivhus",Landbrug!C$51,1-Landbrug!C$51),1)</f>
        <v>#REF!</v>
      </c>
      <c r="I307" s="303" t="e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input'!$A$3:$A$230,$A$1)),IF(VLOOKUP($A307,[1]!Table1[#All],2,FALSE)="Resultat",SUMIF($F$1:$F306,$D307,I$1:I306)+SUMIF($F308:$F$490,$D307,I308:I$490),0))*'[1]Processer - data'!I307,"")*IF($C307&lt;&gt;"",IF($F307="Halm",Landbrug!D$16*Landbrug!D$17,IF(LEFT($D307,5)="Areal", IF($G307="Ton",Landbrug!D$18,1),1)),1)*IF($F307="Grøntsager",IF($A307="Grøntsager i drivhus",Landbrug!D$51,1-Landbrug!D$51),1)</f>
        <v>#REF!</v>
      </c>
      <c r="J307" s="304" t="e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input'!$A$3:$A$230,$A$1)),IF(VLOOKUP($A307,[1]!Table1[#All],2,FALSE)="Resultat",SUMIF($F$1:$F306,$D307,J$1:J306)+SUMIF($F308:$F$490,$D307,J308:J$490),0))*'[1]Processer - data'!J307,"")*IF($C307&lt;&gt;"",IF($F307="Halm",Landbrug!E$16*Landbrug!E$17,IF(LEFT($D307,5)="Areal", IF($G307="Ton",Landbrug!E$18,1),1)),1)*IF($F307="Grøntsager",IF($A307="Grøntsager i drivhus",Landbrug!E$51,1-Landbrug!E$51),1)</f>
        <v>#REF!</v>
      </c>
    </row>
    <row r="308" spans="1:10" x14ac:dyDescent="0.25">
      <c r="A308" t="str">
        <f>IF('[1]Processer - data'!A308&lt;&gt;"",'[1]Processer - data'!A308,"")</f>
        <v>Rapsmark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OC12</v>
      </c>
      <c r="D308" t="str">
        <f>IF('[1]Processer - data'!D308&lt;&gt;"",'[1]Processer - data'!D308,"")</f>
        <v>Areal-raps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Raps</v>
      </c>
      <c r="G308" t="str">
        <f>IF('[1]Processer - data'!G308&lt;&gt;"",'[1]Processer - data'!G308,"")</f>
        <v>Ton</v>
      </c>
      <c r="H308" s="302" t="e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input'!$A$3:$A$230,$A$1)),IF(VLOOKUP($A308,[1]!Table1[#All],2,FALSE)="Resultat",SUMIF($F$1:$F307,$D308,H$1:H307)+SUMIF($F309:$F$490,$D308,H309:H$490),0))*'[1]Processer - data'!H308,"")*IF($C308&lt;&gt;"",IF($F308="Halm",Landbrug!C$16*Landbrug!C$17,IF(LEFT($D308,5)="Areal", IF($G308="Ton",Landbrug!C$18,1),1)),1)*IF($F308="Grøntsager",IF($A308="Grøntsager i drivhus",Landbrug!C$51,1-Landbrug!C$51),1)</f>
        <v>#REF!</v>
      </c>
      <c r="I308" s="303" t="e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input'!$A$3:$A$230,$A$1)),IF(VLOOKUP($A308,[1]!Table1[#All],2,FALSE)="Resultat",SUMIF($F$1:$F307,$D308,I$1:I307)+SUMIF($F309:$F$490,$D308,I309:I$490),0))*'[1]Processer - data'!I308,"")*IF($C308&lt;&gt;"",IF($F308="Halm",Landbrug!D$16*Landbrug!D$17,IF(LEFT($D308,5)="Areal", IF($G308="Ton",Landbrug!D$18,1),1)),1)*IF($F308="Grøntsager",IF($A308="Grøntsager i drivhus",Landbrug!D$51,1-Landbrug!D$51),1)</f>
        <v>#REF!</v>
      </c>
      <c r="J308" s="304" t="e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input'!$A$3:$A$230,$A$1)),IF(VLOOKUP($A308,[1]!Table1[#All],2,FALSE)="Resultat",SUMIF($F$1:$F307,$D308,J$1:J307)+SUMIF($F309:$F$490,$D308,J309:J$490),0))*'[1]Processer - data'!J308,"")*IF($C308&lt;&gt;"",IF($F308="Halm",Landbrug!E$16*Landbrug!E$17,IF(LEFT($D308,5)="Areal", IF($G308="Ton",Landbrug!E$18,1),1)),1)*IF($F308="Grøntsager",IF($A308="Grøntsager i drivhus",Landbrug!E$51,1-Landbrug!E$51),1)</f>
        <v>#REF!</v>
      </c>
    </row>
    <row r="309" spans="1:10" x14ac:dyDescent="0.25">
      <c r="A309" t="str">
        <f>IF('[1]Processer - data'!A309&lt;&gt;"",'[1]Processer - data'!A309,"")</f>
        <v>Rapsmark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Areal-raps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Halm</v>
      </c>
      <c r="G309" t="str">
        <f>IF('[1]Processer - data'!G309&lt;&gt;"",'[1]Processer - data'!G309,"")</f>
        <v>Ton</v>
      </c>
      <c r="H309" s="302" t="e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input'!$A$3:$A$230,$A$1)),IF(VLOOKUP($A309,[1]!Table1[#All],2,FALSE)="Resultat",SUMIF($F$1:$F308,$D309,H$1:H308)+SUMIF($F310:$F$490,$D309,H310:H$490),0))*'[1]Processer - data'!H309,"")*IF($C309&lt;&gt;"",IF($F309="Halm",Landbrug!C$16*Landbrug!C$17,IF(LEFT($D309,5)="Areal", IF($G309="Ton",Landbrug!C$18,1),1)),1)*IF($F309="Grøntsager",IF($A309="Grøntsager i drivhus",Landbrug!C$51,1-Landbrug!C$51),1)</f>
        <v>#REF!</v>
      </c>
      <c r="I309" s="303" t="e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input'!$A$3:$A$230,$A$1)),IF(VLOOKUP($A309,[1]!Table1[#All],2,FALSE)="Resultat",SUMIF($F$1:$F308,$D309,I$1:I308)+SUMIF($F310:$F$490,$D309,I310:I$490),0))*'[1]Processer - data'!I309,"")*IF($C309&lt;&gt;"",IF($F309="Halm",Landbrug!D$16*Landbrug!D$17,IF(LEFT($D309,5)="Areal", IF($G309="Ton",Landbrug!D$18,1),1)),1)*IF($F309="Grøntsager",IF($A309="Grøntsager i drivhus",Landbrug!D$51,1-Landbrug!D$51),1)</f>
        <v>#REF!</v>
      </c>
      <c r="J309" s="304" t="e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input'!$A$3:$A$230,$A$1)),IF(VLOOKUP($A309,[1]!Table1[#All],2,FALSE)="Resultat",SUMIF($F$1:$F308,$D309,J$1:J308)+SUMIF($F310:$F$490,$D309,J310:J$490),0))*'[1]Processer - data'!J309,"")*IF($C309&lt;&gt;"",IF($F309="Halm",Landbrug!E$16*Landbrug!E$17,IF(LEFT($D309,5)="Areal", IF($G309="Ton",Landbrug!E$18,1),1)),1)*IF($F309="Grøntsager",IF($A309="Grøntsager i drivhus",Landbrug!E$51,1-Landbrug!E$51),1)</f>
        <v>#REF!</v>
      </c>
    </row>
    <row r="310" spans="1:10" x14ac:dyDescent="0.25">
      <c r="A310" t="str">
        <f>IF('[1]Processer - data'!A310&lt;&gt;"",'[1]Processer - data'!A310,"")</f>
        <v>Rapsmark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Areal-raps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2" t="e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input'!$A$3:$A$230,$A$1)),IF(VLOOKUP($A310,[1]!Table1[#All],2,FALSE)="Resultat",SUMIF($F$1:$F309,$D310,H$1:H309)+SUMIF($F311:$F$490,$D310,H311:H$490),0))*'[1]Processer - data'!H310,"")*IF($C310&lt;&gt;"",IF($F310="Halm",Landbrug!C$16*Landbrug!C$17,IF(LEFT($D310,5)="Areal", IF($G310="Ton",Landbrug!C$18,1),1)),1)*IF($F310="Grøntsager",IF($A310="Grøntsager i drivhus",Landbrug!C$51,1-Landbrug!C$51),1)</f>
        <v>#REF!</v>
      </c>
      <c r="I310" s="303" t="e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input'!$A$3:$A$230,$A$1)),IF(VLOOKUP($A310,[1]!Table1[#All],2,FALSE)="Resultat",SUMIF($F$1:$F309,$D310,I$1:I309)+SUMIF($F311:$F$490,$D310,I311:I$490),0))*'[1]Processer - data'!I310,"")*IF($C310&lt;&gt;"",IF($F310="Halm",Landbrug!D$16*Landbrug!D$17,IF(LEFT($D310,5)="Areal", IF($G310="Ton",Landbrug!D$18,1),1)),1)*IF($F310="Grøntsager",IF($A310="Grøntsager i drivhus",Landbrug!D$51,1-Landbrug!D$51),1)</f>
        <v>#REF!</v>
      </c>
      <c r="J310" s="304" t="e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input'!$A$3:$A$230,$A$1)),IF(VLOOKUP($A310,[1]!Table1[#All],2,FALSE)="Resultat",SUMIF($F$1:$F309,$D310,J$1:J309)+SUMIF($F311:$F$490,$D310,J311:J$490),0))*'[1]Processer - data'!J310,"")*IF($C310&lt;&gt;"",IF($F310="Halm",Landbrug!E$16*Landbrug!E$17,IF(LEFT($D310,5)="Areal", IF($G310="Ton",Landbrug!E$18,1),1)),1)*IF($F310="Grøntsager",IF($A310="Grøntsager i drivhus",Landbrug!E$51,1-Landbrug!E$51),1)</f>
        <v>#REF!</v>
      </c>
    </row>
    <row r="311" spans="1:10" x14ac:dyDescent="0.25">
      <c r="A311" t="str">
        <f>IF('[1]Processer - data'!A311&lt;&gt;"",'[1]Processer - data'!A311,"")</f>
        <v>Rapsmark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Areal-raps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2" t="e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input'!$A$3:$A$230,$A$1)),IF(VLOOKUP($A311,[1]!Table1[#All],2,FALSE)="Resultat",SUMIF($F$1:$F310,$D311,H$1:H310)+SUMIF($F312:$F$490,$D311,H312:H$490),0))*'[1]Processer - data'!H311,"")*IF($C311&lt;&gt;"",IF($F311="Halm",Landbrug!C$16*Landbrug!C$17,IF(LEFT($D311,5)="Areal", IF($G311="Ton",Landbrug!C$18,1),1)),1)*IF($F311="Grøntsager",IF($A311="Grøntsager i drivhus",Landbrug!C$51,1-Landbrug!C$51),1)</f>
        <v>#REF!</v>
      </c>
      <c r="I311" s="303" t="e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input'!$A$3:$A$230,$A$1)),IF(VLOOKUP($A311,[1]!Table1[#All],2,FALSE)="Resultat",SUMIF($F$1:$F310,$D311,I$1:I310)+SUMIF($F312:$F$490,$D311,I312:I$490),0))*'[1]Processer - data'!I311,"")*IF($C311&lt;&gt;"",IF($F311="Halm",Landbrug!D$16*Landbrug!D$17,IF(LEFT($D311,5)="Areal", IF($G311="Ton",Landbrug!D$18,1),1)),1)*IF($F311="Grøntsager",IF($A311="Grøntsager i drivhus",Landbrug!D$51,1-Landbrug!D$51),1)</f>
        <v>#REF!</v>
      </c>
      <c r="J311" s="304" t="e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input'!$A$3:$A$230,$A$1)),IF(VLOOKUP($A311,[1]!Table1[#All],2,FALSE)="Resultat",SUMIF($F$1:$F310,$D311,J$1:J310)+SUMIF($F312:$F$490,$D311,J312:J$490),0))*'[1]Processer - data'!J311,"")*IF($C311&lt;&gt;"",IF($F311="Halm",Landbrug!E$16*Landbrug!E$17,IF(LEFT($D311,5)="Areal", IF($G311="Ton",Landbrug!E$18,1),1)),1)*IF($F311="Grøntsager",IF($A311="Grøntsager i drivhus",Landbrug!E$51,1-Landbrug!E$51),1)</f>
        <v>#REF!</v>
      </c>
    </row>
    <row r="312" spans="1:10" x14ac:dyDescent="0.25">
      <c r="A312" t="str">
        <f>IF('[1]Processer - data'!A312&lt;&gt;"",'[1]Processer - data'!A312,"")</f>
        <v>Rapsmark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Areal-raps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Raps</v>
      </c>
      <c r="G312" t="str">
        <f>IF('[1]Processer - data'!G312&lt;&gt;"",'[1]Processer - data'!G312,"")</f>
        <v>Ton</v>
      </c>
      <c r="H312" s="302" t="e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input'!$A$3:$A$230,$A$1)),IF(VLOOKUP($A312,[1]!Table1[#All],2,FALSE)="Resultat",SUMIF($F$1:$F311,$D312,H$1:H311)+SUMIF($F313:$F$490,$D312,H313:H$490),0))*'[1]Processer - data'!H312,"")*IF($C312&lt;&gt;"",IF($F312="Halm",Landbrug!C$16*Landbrug!C$17,IF(LEFT($D312,5)="Areal", IF($G312="Ton",Landbrug!C$18,1),1)),1)*IF($F312="Grøntsager",IF($A312="Grøntsager i drivhus",Landbrug!C$51,1-Landbrug!C$51),1)</f>
        <v>#REF!</v>
      </c>
      <c r="I312" s="303" t="e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input'!$A$3:$A$230,$A$1)),IF(VLOOKUP($A312,[1]!Table1[#All],2,FALSE)="Resultat",SUMIF($F$1:$F311,$D312,I$1:I311)+SUMIF($F313:$F$490,$D312,I313:I$490),0))*'[1]Processer - data'!I312,"")*IF($C312&lt;&gt;"",IF($F312="Halm",Landbrug!D$16*Landbrug!D$17,IF(LEFT($D312,5)="Areal", IF($G312="Ton",Landbrug!D$18,1),1)),1)*IF($F312="Grøntsager",IF($A312="Grøntsager i drivhus",Landbrug!D$51,1-Landbrug!D$51),1)</f>
        <v>#REF!</v>
      </c>
      <c r="J312" s="304" t="e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input'!$A$3:$A$230,$A$1)),IF(VLOOKUP($A312,[1]!Table1[#All],2,FALSE)="Resultat",SUMIF($F$1:$F311,$D312,J$1:J311)+SUMIF($F313:$F$490,$D312,J313:J$490),0))*'[1]Processer - data'!J312,"")*IF($C312&lt;&gt;"",IF($F312="Halm",Landbrug!E$16*Landbrug!E$17,IF(LEFT($D312,5)="Areal", IF($G312="Ton",Landbrug!E$18,1),1)),1)*IF($F312="Grøntsager",IF($A312="Grøntsager i drivhus",Landbrug!E$51,1-Landbrug!E$51),1)</f>
        <v>#REF!</v>
      </c>
    </row>
    <row r="313" spans="1:10" x14ac:dyDescent="0.25">
      <c r="A313" t="str">
        <f>IF('[1]Processer - data'!A313&lt;&gt;"",'[1]Processer - data'!A313,"")</f>
        <v>Rapsmark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Areal-raps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Halm</v>
      </c>
      <c r="G313" t="str">
        <f>IF('[1]Processer - data'!G313&lt;&gt;"",'[1]Processer - data'!G313,"")</f>
        <v>Ton</v>
      </c>
      <c r="H313" s="302" t="e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input'!$A$3:$A$230,$A$1)),IF(VLOOKUP($A313,[1]!Table1[#All],2,FALSE)="Resultat",SUMIF($F$1:$F312,$D313,H$1:H312)+SUMIF($F314:$F$490,$D313,H314:H$490),0))*'[1]Processer - data'!H313,"")*IF($C313&lt;&gt;"",IF($F313="Halm",Landbrug!C$16*Landbrug!C$17,IF(LEFT($D313,5)="Areal", IF($G313="Ton",Landbrug!C$18,1),1)),1)*IF($F313="Grøntsager",IF($A313="Grøntsager i drivhus",Landbrug!C$51,1-Landbrug!C$51),1)</f>
        <v>#REF!</v>
      </c>
      <c r="I313" s="303" t="e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input'!$A$3:$A$230,$A$1)),IF(VLOOKUP($A313,[1]!Table1[#All],2,FALSE)="Resultat",SUMIF($F$1:$F312,$D313,I$1:I312)+SUMIF($F314:$F$490,$D313,I314:I$490),0))*'[1]Processer - data'!I313,"")*IF($C313&lt;&gt;"",IF($F313="Halm",Landbrug!D$16*Landbrug!D$17,IF(LEFT($D313,5)="Areal", IF($G313="Ton",Landbrug!D$18,1),1)),1)*IF($F313="Grøntsager",IF($A313="Grøntsager i drivhus",Landbrug!D$51,1-Landbrug!D$51),1)</f>
        <v>#REF!</v>
      </c>
      <c r="J313" s="304" t="e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input'!$A$3:$A$230,$A$1)),IF(VLOOKUP($A313,[1]!Table1[#All],2,FALSE)="Resultat",SUMIF($F$1:$F312,$D313,J$1:J312)+SUMIF($F314:$F$490,$D313,J314:J$490),0))*'[1]Processer - data'!J313,"")*IF($C313&lt;&gt;"",IF($F313="Halm",Landbrug!E$16*Landbrug!E$17,IF(LEFT($D313,5)="Areal", IF($G313="Ton",Landbrug!E$18,1),1)),1)*IF($F313="Grøntsager",IF($A313="Grøntsager i drivhus",Landbrug!E$51,1-Landbrug!E$51),1)</f>
        <v>#REF!</v>
      </c>
    </row>
    <row r="314" spans="1:10" x14ac:dyDescent="0.25">
      <c r="A314" t="str">
        <f>IF('[1]Processer - data'!A314&lt;&gt;"",'[1]Processer - data'!A314,"")</f>
        <v>Rapsmark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Areal-raps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Gødning</v>
      </c>
      <c r="G314" t="str">
        <f>IF('[1]Processer - data'!G314&lt;&gt;"",'[1]Processer - data'!G314,"")</f>
        <v>kg N</v>
      </c>
      <c r="H314" s="302" t="e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input'!$A$3:$A$230,$A$1)),IF(VLOOKUP($A314,[1]!Table1[#All],2,FALSE)="Resultat",SUMIF($F$1:$F313,$D314,H$1:H313)+SUMIF($F315:$F$490,$D314,H315:H$490),0))*'[1]Processer - data'!H314,"")*IF($C314&lt;&gt;"",IF($F314="Halm",Landbrug!C$16*Landbrug!C$17,IF(LEFT($D314,5)="Areal", IF($G314="Ton",Landbrug!C$18,1),1)),1)*IF($F314="Grøntsager",IF($A314="Grøntsager i drivhus",Landbrug!C$51,1-Landbrug!C$51),1)</f>
        <v>#REF!</v>
      </c>
      <c r="I314" s="303" t="e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input'!$A$3:$A$230,$A$1)),IF(VLOOKUP($A314,[1]!Table1[#All],2,FALSE)="Resultat",SUMIF($F$1:$F313,$D314,I$1:I313)+SUMIF($F315:$F$490,$D314,I315:I$490),0))*'[1]Processer - data'!I314,"")*IF($C314&lt;&gt;"",IF($F314="Halm",Landbrug!D$16*Landbrug!D$17,IF(LEFT($D314,5)="Areal", IF($G314="Ton",Landbrug!D$18,1),1)),1)*IF($F314="Grøntsager",IF($A314="Grøntsager i drivhus",Landbrug!D$51,1-Landbrug!D$51),1)</f>
        <v>#REF!</v>
      </c>
      <c r="J314" s="304" t="e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input'!$A$3:$A$230,$A$1)),IF(VLOOKUP($A314,[1]!Table1[#All],2,FALSE)="Resultat",SUMIF($F$1:$F313,$D314,J$1:J313)+SUMIF($F315:$F$490,$D314,J315:J$490),0))*'[1]Processer - data'!J314,"")*IF($C314&lt;&gt;"",IF($F314="Halm",Landbrug!E$16*Landbrug!E$17,IF(LEFT($D314,5)="Areal", IF($G314="Ton",Landbrug!E$18,1),1)),1)*IF($F314="Grøntsager",IF($A314="Grøntsager i drivhus",Landbrug!E$51,1-Landbrug!E$51),1)</f>
        <v>#REF!</v>
      </c>
    </row>
    <row r="315" spans="1:10" x14ac:dyDescent="0.25">
      <c r="A315" t="str">
        <f>IF('[1]Processer - data'!A315&lt;&gt;"",'[1]Processer - data'!A315,"")</f>
        <v>Rapsmark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JB1-10</v>
      </c>
      <c r="D315" t="str">
        <f>IF('[1]Processer - data'!D315&lt;&gt;"",'[1]Processer - data'!D315,"")</f>
        <v>Areal-raps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CO2 - atmosfære</v>
      </c>
      <c r="G315" t="str">
        <f>IF('[1]Processer - data'!G315&lt;&gt;"",'[1]Processer - data'!G315,"")</f>
        <v>t CO2-ækvivalenter</v>
      </c>
      <c r="H315" s="302" t="e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input'!$A$3:$A$230,$A$1)),IF(VLOOKUP($A315,[1]!Table1[#All],2,FALSE)="Resultat",SUMIF($F$1:$F314,$D315,H$1:H314)+SUMIF($F316:$F$490,$D315,H316:H$490),0))*'[1]Processer - data'!H315,"")*IF($C315&lt;&gt;"",IF($F315="Halm",Landbrug!C$16*Landbrug!C$17,IF(LEFT($D315,5)="Areal", IF($G315="Ton",Landbrug!C$18,1),1)),1)*IF($F315="Grøntsager",IF($A315="Grøntsager i drivhus",Landbrug!C$51,1-Landbrug!C$51),1)</f>
        <v>#REF!</v>
      </c>
      <c r="I315" s="303" t="e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input'!$A$3:$A$230,$A$1)),IF(VLOOKUP($A315,[1]!Table1[#All],2,FALSE)="Resultat",SUMIF($F$1:$F314,$D315,I$1:I314)+SUMIF($F316:$F$490,$D315,I316:I$490),0))*'[1]Processer - data'!I315,"")*IF($C315&lt;&gt;"",IF($F315="Halm",Landbrug!D$16*Landbrug!D$17,IF(LEFT($D315,5)="Areal", IF($G315="Ton",Landbrug!D$18,1),1)),1)*IF($F315="Grøntsager",IF($A315="Grøntsager i drivhus",Landbrug!D$51,1-Landbrug!D$51),1)</f>
        <v>#REF!</v>
      </c>
      <c r="J315" s="304" t="e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input'!$A$3:$A$230,$A$1)),IF(VLOOKUP($A315,[1]!Table1[#All],2,FALSE)="Resultat",SUMIF($F$1:$F314,$D315,J$1:J314)+SUMIF($F316:$F$490,$D315,J316:J$490),0))*'[1]Processer - data'!J315,"")*IF($C315&lt;&gt;"",IF($F315="Halm",Landbrug!E$16*Landbrug!E$17,IF(LEFT($D315,5)="Areal", IF($G315="Ton",Landbrug!E$18,1),1)),1)*IF($F315="Grøntsager",IF($A315="Grøntsager i drivhus",Landbrug!E$51,1-Landbrug!E$51),1)</f>
        <v>#REF!</v>
      </c>
    </row>
    <row r="316" spans="1:10" x14ac:dyDescent="0.25">
      <c r="A316" t="str">
        <f>IF('[1]Processer - data'!A316&lt;&gt;"",'[1]Processer - data'!A316,"")</f>
        <v>Rapsmark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Areal-raps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Raps</v>
      </c>
      <c r="G316" t="str">
        <f>IF('[1]Processer - data'!G316&lt;&gt;"",'[1]Processer - data'!G316,"")</f>
        <v>Ton</v>
      </c>
      <c r="H316" s="302" t="e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input'!$A$3:$A$230,$A$1)),IF(VLOOKUP($A316,[1]!Table1[#All],2,FALSE)="Resultat",SUMIF($F$1:$F315,$D316,H$1:H315)+SUMIF($F317:$F$490,$D316,H317:H$490),0))*'[1]Processer - data'!H316,"")*IF($C316&lt;&gt;"",IF($F316="Halm",Landbrug!C$16*Landbrug!C$17,IF(LEFT($D316,5)="Areal", IF($G316="Ton",Landbrug!C$18,1),1)),1)*IF($F316="Grøntsager",IF($A316="Grøntsager i drivhus",Landbrug!C$51,1-Landbrug!C$51),1)</f>
        <v>#REF!</v>
      </c>
      <c r="I316" s="303" t="e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input'!$A$3:$A$230,$A$1)),IF(VLOOKUP($A316,[1]!Table1[#All],2,FALSE)="Resultat",SUMIF($F$1:$F315,$D316,I$1:I315)+SUMIF($F317:$F$490,$D316,I317:I$490),0))*'[1]Processer - data'!I316,"")*IF($C316&lt;&gt;"",IF($F316="Halm",Landbrug!D$16*Landbrug!D$17,IF(LEFT($D316,5)="Areal", IF($G316="Ton",Landbrug!D$18,1),1)),1)*IF($F316="Grøntsager",IF($A316="Grøntsager i drivhus",Landbrug!D$51,1-Landbrug!D$51),1)</f>
        <v>#REF!</v>
      </c>
      <c r="J316" s="304" t="e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input'!$A$3:$A$230,$A$1)),IF(VLOOKUP($A316,[1]!Table1[#All],2,FALSE)="Resultat",SUMIF($F$1:$F315,$D316,J$1:J315)+SUMIF($F317:$F$490,$D316,J317:J$490),0))*'[1]Processer - data'!J316,"")*IF($C316&lt;&gt;"",IF($F316="Halm",Landbrug!E$16*Landbrug!E$17,IF(LEFT($D316,5)="Areal", IF($G316="Ton",Landbrug!E$18,1),1)),1)*IF($F316="Grøntsager",IF($A316="Grøntsager i drivhus",Landbrug!E$51,1-Landbrug!E$51),1)</f>
        <v>#REF!</v>
      </c>
    </row>
    <row r="317" spans="1:10" x14ac:dyDescent="0.25">
      <c r="A317" t="str">
        <f>IF('[1]Processer - data'!A317&lt;&gt;"",'[1]Processer - data'!A317,"")</f>
        <v>Rapsmark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Areal-raps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Halm</v>
      </c>
      <c r="G317" t="str">
        <f>IF('[1]Processer - data'!G317&lt;&gt;"",'[1]Processer - data'!G317,"")</f>
        <v>Ton</v>
      </c>
      <c r="H317" s="302" t="e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input'!$A$3:$A$230,$A$1)),IF(VLOOKUP($A317,[1]!Table1[#All],2,FALSE)="Resultat",SUMIF($F$1:$F316,$D317,H$1:H316)+SUMIF($F318:$F$490,$D317,H318:H$490),0))*'[1]Processer - data'!H317,"")*IF($C317&lt;&gt;"",IF($F317="Halm",Landbrug!C$16*Landbrug!C$17,IF(LEFT($D317,5)="Areal", IF($G317="Ton",Landbrug!C$18,1),1)),1)*IF($F317="Grøntsager",IF($A317="Grøntsager i drivhus",Landbrug!C$51,1-Landbrug!C$51),1)</f>
        <v>#REF!</v>
      </c>
      <c r="I317" s="303" t="e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input'!$A$3:$A$230,$A$1)),IF(VLOOKUP($A317,[1]!Table1[#All],2,FALSE)="Resultat",SUMIF($F$1:$F316,$D317,I$1:I316)+SUMIF($F318:$F$490,$D317,I318:I$490),0))*'[1]Processer - data'!I317,"")*IF($C317&lt;&gt;"",IF($F317="Halm",Landbrug!D$16*Landbrug!D$17,IF(LEFT($D317,5)="Areal", IF($G317="Ton",Landbrug!D$18,1),1)),1)*IF($F317="Grøntsager",IF($A317="Grøntsager i drivhus",Landbrug!D$51,1-Landbrug!D$51),1)</f>
        <v>#REF!</v>
      </c>
      <c r="J317" s="304" t="e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input'!$A$3:$A$230,$A$1)),IF(VLOOKUP($A317,[1]!Table1[#All],2,FALSE)="Resultat",SUMIF($F$1:$F316,$D317,J$1:J316)+SUMIF($F318:$F$490,$D317,J318:J$490),0))*'[1]Processer - data'!J317,"")*IF($C317&lt;&gt;"",IF($F317="Halm",Landbrug!E$16*Landbrug!E$17,IF(LEFT($D317,5)="Areal", IF($G317="Ton",Landbrug!E$18,1),1)),1)*IF($F317="Grøntsager",IF($A317="Grøntsager i drivhus",Landbrug!E$51,1-Landbrug!E$51),1)</f>
        <v>#REF!</v>
      </c>
    </row>
    <row r="318" spans="1:10" x14ac:dyDescent="0.25">
      <c r="A318" t="str">
        <f>IF('[1]Processer - data'!A318&lt;&gt;"",'[1]Processer - data'!A318,"")</f>
        <v>Rapsmark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OC6</v>
      </c>
      <c r="D318" t="str">
        <f>IF('[1]Processer - data'!D318&lt;&gt;"",'[1]Processer - data'!D318,"")</f>
        <v>Areal-raps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Gødning</v>
      </c>
      <c r="G318" t="str">
        <f>IF('[1]Processer - data'!G318&lt;&gt;"",'[1]Processer - data'!G318,"")</f>
        <v>kg N</v>
      </c>
      <c r="H318" s="302" t="e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input'!$A$3:$A$230,$A$1)),IF(VLOOKUP($A318,[1]!Table1[#All],2,FALSE)="Resultat",SUMIF($F$1:$F317,$D318,H$1:H317)+SUMIF($F319:$F$490,$D318,H319:H$490),0))*'[1]Processer - data'!H318,"")*IF($C318&lt;&gt;"",IF($F318="Halm",Landbrug!C$16*Landbrug!C$17,IF(LEFT($D318,5)="Areal", IF($G318="Ton",Landbrug!C$18,1),1)),1)*IF($F318="Grøntsager",IF($A318="Grøntsager i drivhus",Landbrug!C$51,1-Landbrug!C$51),1)</f>
        <v>#REF!</v>
      </c>
      <c r="I318" s="303" t="e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input'!$A$3:$A$230,$A$1)),IF(VLOOKUP($A318,[1]!Table1[#All],2,FALSE)="Resultat",SUMIF($F$1:$F317,$D318,I$1:I317)+SUMIF($F319:$F$490,$D318,I319:I$490),0))*'[1]Processer - data'!I318,"")*IF($C318&lt;&gt;"",IF($F318="Halm",Landbrug!D$16*Landbrug!D$17,IF(LEFT($D318,5)="Areal", IF($G318="Ton",Landbrug!D$18,1),1)),1)*IF($F318="Grøntsager",IF($A318="Grøntsager i drivhus",Landbrug!D$51,1-Landbrug!D$51),1)</f>
        <v>#REF!</v>
      </c>
      <c r="J318" s="304" t="e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input'!$A$3:$A$230,$A$1)),IF(VLOOKUP($A318,[1]!Table1[#All],2,FALSE)="Resultat",SUMIF($F$1:$F317,$D318,J$1:J317)+SUMIF($F319:$F$490,$D318,J319:J$490),0))*'[1]Processer - data'!J318,"")*IF($C318&lt;&gt;"",IF($F318="Halm",Landbrug!E$16*Landbrug!E$17,IF(LEFT($D318,5)="Areal", IF($G318="Ton",Landbrug!E$18,1),1)),1)*IF($F318="Grøntsager",IF($A318="Grøntsager i drivhus",Landbrug!E$51,1-Landbrug!E$51),1)</f>
        <v>#REF!</v>
      </c>
    </row>
    <row r="319" spans="1:10" x14ac:dyDescent="0.25">
      <c r="A319" t="str">
        <f>IF('[1]Processer - data'!A319&lt;&gt;"",'[1]Processer - data'!A319,"")</f>
        <v>Rapsmark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OC6</v>
      </c>
      <c r="D319" t="str">
        <f>IF('[1]Processer - data'!D319&lt;&gt;"",'[1]Processer - data'!D319,"")</f>
        <v>Areal-raps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CO2 - atmosfære</v>
      </c>
      <c r="G319" t="str">
        <f>IF('[1]Processer - data'!G319&lt;&gt;"",'[1]Processer - data'!G319,"")</f>
        <v>t CO2-ækvivalenter</v>
      </c>
      <c r="H319" s="302" t="e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input'!$A$3:$A$230,$A$1)),IF(VLOOKUP($A319,[1]!Table1[#All],2,FALSE)="Resultat",SUMIF($F$1:$F318,$D319,H$1:H318)+SUMIF($F320:$F$490,$D319,H320:H$490),0))*'[1]Processer - data'!H319,"")*IF($C319&lt;&gt;"",IF($F319="Halm",Landbrug!C$16*Landbrug!C$17,IF(LEFT($D319,5)="Areal", IF($G319="Ton",Landbrug!C$18,1),1)),1)*IF($F319="Grøntsager",IF($A319="Grøntsager i drivhus",Landbrug!C$51,1-Landbrug!C$51),1)</f>
        <v>#REF!</v>
      </c>
      <c r="I319" s="303" t="e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input'!$A$3:$A$230,$A$1)),IF(VLOOKUP($A319,[1]!Table1[#All],2,FALSE)="Resultat",SUMIF($F$1:$F318,$D319,I$1:I318)+SUMIF($F320:$F$490,$D319,I320:I$490),0))*'[1]Processer - data'!I319,"")*IF($C319&lt;&gt;"",IF($F319="Halm",Landbrug!D$16*Landbrug!D$17,IF(LEFT($D319,5)="Areal", IF($G319="Ton",Landbrug!D$18,1),1)),1)*IF($F319="Grøntsager",IF($A319="Grøntsager i drivhus",Landbrug!D$51,1-Landbrug!D$51),1)</f>
        <v>#REF!</v>
      </c>
      <c r="J319" s="304" t="e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input'!$A$3:$A$230,$A$1)),IF(VLOOKUP($A319,[1]!Table1[#All],2,FALSE)="Resultat",SUMIF($F$1:$F318,$D319,J$1:J318)+SUMIF($F320:$F$490,$D319,J320:J$490),0))*'[1]Processer - data'!J319,"")*IF($C319&lt;&gt;"",IF($F319="Halm",Landbrug!E$16*Landbrug!E$17,IF(LEFT($D319,5)="Areal", IF($G319="Ton",Landbrug!E$18,1),1)),1)*IF($F319="Grøntsager",IF($A319="Grøntsager i drivhus",Landbrug!E$51,1-Landbrug!E$51),1)</f>
        <v>#REF!</v>
      </c>
    </row>
    <row r="320" spans="1:10" x14ac:dyDescent="0.25">
      <c r="A320" t="str">
        <f>IF('[1]Processer - data'!A320&lt;&gt;"",'[1]Processer - data'!A320,"")</f>
        <v>Rapsmark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Areal-raps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Raps</v>
      </c>
      <c r="G320" t="str">
        <f>IF('[1]Processer - data'!G320&lt;&gt;"",'[1]Processer - data'!G320,"")</f>
        <v>Ton</v>
      </c>
      <c r="H320" s="302" t="e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input'!$A$3:$A$230,$A$1)),IF(VLOOKUP($A320,[1]!Table1[#All],2,FALSE)="Resultat",SUMIF($F$1:$F319,$D320,H$1:H319)+SUMIF($F321:$F$490,$D320,H321:H$490),0))*'[1]Processer - data'!H320,"")*IF($C320&lt;&gt;"",IF($F320="Halm",Landbrug!C$16*Landbrug!C$17,IF(LEFT($D320,5)="Areal", IF($G320="Ton",Landbrug!C$18,1),1)),1)*IF($F320="Grøntsager",IF($A320="Grøntsager i drivhus",Landbrug!C$51,1-Landbrug!C$51),1)</f>
        <v>#REF!</v>
      </c>
      <c r="I320" s="303" t="e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input'!$A$3:$A$230,$A$1)),IF(VLOOKUP($A320,[1]!Table1[#All],2,FALSE)="Resultat",SUMIF($F$1:$F319,$D320,I$1:I319)+SUMIF($F321:$F$490,$D320,I321:I$490),0))*'[1]Processer - data'!I320,"")*IF($C320&lt;&gt;"",IF($F320="Halm",Landbrug!D$16*Landbrug!D$17,IF(LEFT($D320,5)="Areal", IF($G320="Ton",Landbrug!D$18,1),1)),1)*IF($F320="Grøntsager",IF($A320="Grøntsager i drivhus",Landbrug!D$51,1-Landbrug!D$51),1)</f>
        <v>#REF!</v>
      </c>
      <c r="J320" s="304" t="e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input'!$A$3:$A$230,$A$1)),IF(VLOOKUP($A320,[1]!Table1[#All],2,FALSE)="Resultat",SUMIF($F$1:$F319,$D320,J$1:J319)+SUMIF($F321:$F$490,$D320,J321:J$490),0))*'[1]Processer - data'!J320,"")*IF($C320&lt;&gt;"",IF($F320="Halm",Landbrug!E$16*Landbrug!E$17,IF(LEFT($D320,5)="Areal", IF($G320="Ton",Landbrug!E$18,1),1)),1)*IF($F320="Grøntsager",IF($A320="Grøntsager i drivhus",Landbrug!E$51,1-Landbrug!E$51),1)</f>
        <v>#REF!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Økologisk</v>
      </c>
      <c r="C321" t="str">
        <f>IF('[1]Processer - data'!C321&lt;&gt;"",'[1]Processer - data'!C321,"")</f>
        <v>OC12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Halm</v>
      </c>
      <c r="G321" t="str">
        <f>IF('[1]Processer - data'!G321&lt;&gt;"",'[1]Processer - data'!G321,"")</f>
        <v>Ton</v>
      </c>
      <c r="H321" s="302" t="e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input'!$A$3:$A$230,$A$1)),IF(VLOOKUP($A321,[1]!Table1[#All],2,FALSE)="Resultat",SUMIF($F$1:$F320,$D321,H$1:H320)+SUMIF($F322:$F$490,$D321,H322:H$490),0))*'[1]Processer - data'!H321,"")*IF($C321&lt;&gt;"",IF($F321="Halm",Landbrug!C$16*Landbrug!C$17,IF(LEFT($D321,5)="Areal", IF($G321="Ton",Landbrug!C$18,1),1)),1)*IF($F321="Grøntsager",IF($A321="Grøntsager i drivhus",Landbrug!C$51,1-Landbrug!C$51),1)</f>
        <v>#REF!</v>
      </c>
      <c r="I321" s="303" t="e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input'!$A$3:$A$230,$A$1)),IF(VLOOKUP($A321,[1]!Table1[#All],2,FALSE)="Resultat",SUMIF($F$1:$F320,$D321,I$1:I320)+SUMIF($F322:$F$490,$D321,I322:I$490),0))*'[1]Processer - data'!I321,"")*IF($C321&lt;&gt;"",IF($F321="Halm",Landbrug!D$16*Landbrug!D$17,IF(LEFT($D321,5)="Areal", IF($G321="Ton",Landbrug!D$18,1),1)),1)*IF($F321="Grøntsager",IF($A321="Grøntsager i drivhus",Landbrug!D$51,1-Landbrug!D$51),1)</f>
        <v>#REF!</v>
      </c>
      <c r="J321" s="304" t="e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input'!$A$3:$A$230,$A$1)),IF(VLOOKUP($A321,[1]!Table1[#All],2,FALSE)="Resultat",SUMIF($F$1:$F320,$D321,J$1:J320)+SUMIF($F322:$F$490,$D321,J322:J$490),0))*'[1]Processer - data'!J321,"")*IF($C321&lt;&gt;"",IF($F321="Halm",Landbrug!E$16*Landbrug!E$17,IF(LEFT($D321,5)="Areal", IF($G321="Ton",Landbrug!E$18,1),1)),1)*IF($F321="Grøntsager",IF($A321="Grøntsager i drivhus",Landbrug!E$51,1-Landbrug!E$51),1)</f>
        <v>#REF!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Økologisk</v>
      </c>
      <c r="C322" t="str">
        <f>IF('[1]Processer - data'!C322&lt;&gt;"",'[1]Processer - data'!C322,"")</f>
        <v>OC12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Gødning</v>
      </c>
      <c r="G322" t="str">
        <f>IF('[1]Processer - data'!G322&lt;&gt;"",'[1]Processer - data'!G322,"")</f>
        <v>kg N</v>
      </c>
      <c r="H322" s="302" t="e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input'!$A$3:$A$230,$A$1)),IF(VLOOKUP($A322,[1]!Table1[#All],2,FALSE)="Resultat",SUMIF($F$1:$F321,$D322,H$1:H321)+SUMIF($F323:$F$490,$D322,H323:H$490),0))*'[1]Processer - data'!H322,"")*IF($C322&lt;&gt;"",IF($F322="Halm",Landbrug!C$16*Landbrug!C$17,IF(LEFT($D322,5)="Areal", IF($G322="Ton",Landbrug!C$18,1),1)),1)*IF($F322="Grøntsager",IF($A322="Grøntsager i drivhus",Landbrug!C$51,1-Landbrug!C$51),1)</f>
        <v>#REF!</v>
      </c>
      <c r="I322" s="303" t="e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input'!$A$3:$A$230,$A$1)),IF(VLOOKUP($A322,[1]!Table1[#All],2,FALSE)="Resultat",SUMIF($F$1:$F321,$D322,I$1:I321)+SUMIF($F323:$F$490,$D322,I323:I$490),0))*'[1]Processer - data'!I322,"")*IF($C322&lt;&gt;"",IF($F322="Halm",Landbrug!D$16*Landbrug!D$17,IF(LEFT($D322,5)="Areal", IF($G322="Ton",Landbrug!D$18,1),1)),1)*IF($F322="Grøntsager",IF($A322="Grøntsager i drivhus",Landbrug!D$51,1-Landbrug!D$51),1)</f>
        <v>#REF!</v>
      </c>
      <c r="J322" s="304" t="e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input'!$A$3:$A$230,$A$1)),IF(VLOOKUP($A322,[1]!Table1[#All],2,FALSE)="Resultat",SUMIF($F$1:$F321,$D322,J$1:J321)+SUMIF($F323:$F$490,$D322,J323:J$490),0))*'[1]Processer - data'!J322,"")*IF($C322&lt;&gt;"",IF($F322="Halm",Landbrug!E$16*Landbrug!E$17,IF(LEFT($D322,5)="Areal", IF($G322="Ton",Landbrug!E$18,1),1)),1)*IF($F322="Grøntsager",IF($A322="Grøntsager i drivhus",Landbrug!E$51,1-Landbrug!E$51),1)</f>
        <v>#REF!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Økologisk</v>
      </c>
      <c r="C323" t="str">
        <f>IF('[1]Processer - data'!C323&lt;&gt;"",'[1]Processer - data'!C323,"")</f>
        <v>OC12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CO2 - atmosfære</v>
      </c>
      <c r="G323" t="str">
        <f>IF('[1]Processer - data'!G323&lt;&gt;"",'[1]Processer - data'!G323,"")</f>
        <v>t CO2-ækvivalenter</v>
      </c>
      <c r="H323" s="302" t="e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input'!$A$3:$A$230,$A$1)),IF(VLOOKUP($A323,[1]!Table1[#All],2,FALSE)="Resultat",SUMIF($F$1:$F322,$D323,H$1:H322)+SUMIF($F324:$F$490,$D323,H324:H$490),0))*'[1]Processer - data'!H323,"")*IF($C323&lt;&gt;"",IF($F323="Halm",Landbrug!C$16*Landbrug!C$17,IF(LEFT($D323,5)="Areal", IF($G323="Ton",Landbrug!C$18,1),1)),1)*IF($F323="Grøntsager",IF($A323="Grøntsager i drivhus",Landbrug!C$51,1-Landbrug!C$51),1)</f>
        <v>#REF!</v>
      </c>
      <c r="I323" s="303" t="e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input'!$A$3:$A$230,$A$1)),IF(VLOOKUP($A323,[1]!Table1[#All],2,FALSE)="Resultat",SUMIF($F$1:$F322,$D323,I$1:I322)+SUMIF($F324:$F$490,$D323,I324:I$490),0))*'[1]Processer - data'!I323,"")*IF($C323&lt;&gt;"",IF($F323="Halm",Landbrug!D$16*Landbrug!D$17,IF(LEFT($D323,5)="Areal", IF($G323="Ton",Landbrug!D$18,1),1)),1)*IF($F323="Grøntsager",IF($A323="Grøntsager i drivhus",Landbrug!D$51,1-Landbrug!D$51),1)</f>
        <v>#REF!</v>
      </c>
      <c r="J323" s="304" t="e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input'!$A$3:$A$230,$A$1)),IF(VLOOKUP($A323,[1]!Table1[#All],2,FALSE)="Resultat",SUMIF($F$1:$F322,$D323,J$1:J322)+SUMIF($F324:$F$490,$D323,J324:J$490),0))*'[1]Processer - data'!J323,"")*IF($C323&lt;&gt;"",IF($F323="Halm",Landbrug!E$16*Landbrug!E$17,IF(LEFT($D323,5)="Areal", IF($G323="Ton",Landbrug!E$18,1),1)),1)*IF($F323="Grøntsager",IF($A323="Grøntsager i drivhus",Landbrug!E$51,1-Landbrug!E$51),1)</f>
        <v>#REF!</v>
      </c>
    </row>
    <row r="324" spans="1:10" x14ac:dyDescent="0.25">
      <c r="A324" t="str">
        <f>IF('[1]Processer - data'!A324&lt;&gt;"",'[1]Processer - data'!A324,"")</f>
        <v>Frøgræsmark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Areal-frøgræs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Frø</v>
      </c>
      <c r="G324" t="str">
        <f>IF('[1]Processer - data'!G324&lt;&gt;"",'[1]Processer - data'!G324,"")</f>
        <v>Ton</v>
      </c>
      <c r="H324" s="302" t="e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input'!$A$3:$A$230,$A$1)),IF(VLOOKUP($A324,[1]!Table1[#All],2,FALSE)="Resultat",SUMIF($F$1:$F323,$D324,H$1:H323)+SUMIF($F325:$F$490,$D324,H325:H$490),0))*'[1]Processer - data'!H324,"")*IF($C324&lt;&gt;"",IF($F324="Halm",Landbrug!C$16*Landbrug!C$17,IF(LEFT($D324,5)="Areal", IF($G324="Ton",Landbrug!C$18,1),1)),1)*IF($F324="Grøntsager",IF($A324="Grøntsager i drivhus",Landbrug!C$51,1-Landbrug!C$51),1)</f>
        <v>#REF!</v>
      </c>
      <c r="I324" s="303" t="e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input'!$A$3:$A$230,$A$1)),IF(VLOOKUP($A324,[1]!Table1[#All],2,FALSE)="Resultat",SUMIF($F$1:$F323,$D324,I$1:I323)+SUMIF($F325:$F$490,$D324,I325:I$490),0))*'[1]Processer - data'!I324,"")*IF($C324&lt;&gt;"",IF($F324="Halm",Landbrug!D$16*Landbrug!D$17,IF(LEFT($D324,5)="Areal", IF($G324="Ton",Landbrug!D$18,1),1)),1)*IF($F324="Grøntsager",IF($A324="Grøntsager i drivhus",Landbrug!D$51,1-Landbrug!D$51),1)</f>
        <v>#REF!</v>
      </c>
      <c r="J324" s="304" t="e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input'!$A$3:$A$230,$A$1)),IF(VLOOKUP($A324,[1]!Table1[#All],2,FALSE)="Resultat",SUMIF($F$1:$F323,$D324,J$1:J323)+SUMIF($F325:$F$490,$D324,J325:J$490),0))*'[1]Processer - data'!J324,"")*IF($C324&lt;&gt;"",IF($F324="Halm",Landbrug!E$16*Landbrug!E$17,IF(LEFT($D324,5)="Areal", IF($G324="Ton",Landbrug!E$18,1),1)),1)*IF($F324="Grøntsager",IF($A324="Grøntsager i drivhus",Landbrug!E$51,1-Landbrug!E$51),1)</f>
        <v>#REF!</v>
      </c>
    </row>
    <row r="325" spans="1:10" x14ac:dyDescent="0.25">
      <c r="A325" t="str">
        <f>IF('[1]Processer - data'!A325&lt;&gt;"",'[1]Processer - data'!A325,"")</f>
        <v>Frøgræsmark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JB1-10</v>
      </c>
      <c r="D325" t="str">
        <f>IF('[1]Processer - data'!D325&lt;&gt;"",'[1]Processer - data'!D325,"")</f>
        <v>Areal-frøgræs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Halm</v>
      </c>
      <c r="G325" t="str">
        <f>IF('[1]Processer - data'!G325&lt;&gt;"",'[1]Processer - data'!G325,"")</f>
        <v>Ton</v>
      </c>
      <c r="H325" s="302" t="e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input'!$A$3:$A$230,$A$1)),IF(VLOOKUP($A325,[1]!Table1[#All],2,FALSE)="Resultat",SUMIF($F$1:$F324,$D325,H$1:H324)+SUMIF($F326:$F$490,$D325,H326:H$490),0))*'[1]Processer - data'!H325,"")*IF($C325&lt;&gt;"",IF($F325="Halm",Landbrug!C$16*Landbrug!C$17,IF(LEFT($D325,5)="Areal", IF($G325="Ton",Landbrug!C$18,1),1)),1)*IF($F325="Grøntsager",IF($A325="Grøntsager i drivhus",Landbrug!C$51,1-Landbrug!C$51),1)</f>
        <v>#REF!</v>
      </c>
      <c r="I325" s="303" t="e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input'!$A$3:$A$230,$A$1)),IF(VLOOKUP($A325,[1]!Table1[#All],2,FALSE)="Resultat",SUMIF($F$1:$F324,$D325,I$1:I324)+SUMIF($F326:$F$490,$D325,I326:I$490),0))*'[1]Processer - data'!I325,"")*IF($C325&lt;&gt;"",IF($F325="Halm",Landbrug!D$16*Landbrug!D$17,IF(LEFT($D325,5)="Areal", IF($G325="Ton",Landbrug!D$18,1),1)),1)*IF($F325="Grøntsager",IF($A325="Grøntsager i drivhus",Landbrug!D$51,1-Landbrug!D$51),1)</f>
        <v>#REF!</v>
      </c>
      <c r="J325" s="304" t="e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input'!$A$3:$A$230,$A$1)),IF(VLOOKUP($A325,[1]!Table1[#All],2,FALSE)="Resultat",SUMIF($F$1:$F324,$D325,J$1:J324)+SUMIF($F326:$F$490,$D325,J326:J$490),0))*'[1]Processer - data'!J325,"")*IF($C325&lt;&gt;"",IF($F325="Halm",Landbrug!E$16*Landbrug!E$17,IF(LEFT($D325,5)="Areal", IF($G325="Ton",Landbrug!E$18,1),1)),1)*IF($F325="Grøntsager",IF($A325="Grøntsager i drivhus",Landbrug!E$51,1-Landbrug!E$51),1)</f>
        <v>#REF!</v>
      </c>
    </row>
    <row r="326" spans="1:10" x14ac:dyDescent="0.25">
      <c r="A326" t="str">
        <f>IF('[1]Processer - data'!A326&lt;&gt;"",'[1]Processer - data'!A326,"")</f>
        <v>Frøgræsmark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JB1-10</v>
      </c>
      <c r="D326" t="str">
        <f>IF('[1]Processer - data'!D326&lt;&gt;"",'[1]Processer - data'!D326,"")</f>
        <v>Areal-frøgræs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Gødning</v>
      </c>
      <c r="G326" t="str">
        <f>IF('[1]Processer - data'!G326&lt;&gt;"",'[1]Processer - data'!G326,"")</f>
        <v>kg N</v>
      </c>
      <c r="H326" s="302" t="e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input'!$A$3:$A$230,$A$1)),IF(VLOOKUP($A326,[1]!Table1[#All],2,FALSE)="Resultat",SUMIF($F$1:$F325,$D326,H$1:H325)+SUMIF($F327:$F$490,$D326,H327:H$490),0))*'[1]Processer - data'!H326,"")*IF($C326&lt;&gt;"",IF($F326="Halm",Landbrug!C$16*Landbrug!C$17,IF(LEFT($D326,5)="Areal", IF($G326="Ton",Landbrug!C$18,1),1)),1)*IF($F326="Grøntsager",IF($A326="Grøntsager i drivhus",Landbrug!C$51,1-Landbrug!C$51),1)</f>
        <v>#REF!</v>
      </c>
      <c r="I326" s="303" t="e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input'!$A$3:$A$230,$A$1)),IF(VLOOKUP($A326,[1]!Table1[#All],2,FALSE)="Resultat",SUMIF($F$1:$F325,$D326,I$1:I325)+SUMIF($F327:$F$490,$D326,I327:I$490),0))*'[1]Processer - data'!I326,"")*IF($C326&lt;&gt;"",IF($F326="Halm",Landbrug!D$16*Landbrug!D$17,IF(LEFT($D326,5)="Areal", IF($G326="Ton",Landbrug!D$18,1),1)),1)*IF($F326="Grøntsager",IF($A326="Grøntsager i drivhus",Landbrug!D$51,1-Landbrug!D$51),1)</f>
        <v>#REF!</v>
      </c>
      <c r="J326" s="304" t="e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input'!$A$3:$A$230,$A$1)),IF(VLOOKUP($A326,[1]!Table1[#All],2,FALSE)="Resultat",SUMIF($F$1:$F325,$D326,J$1:J325)+SUMIF($F327:$F$490,$D326,J327:J$490),0))*'[1]Processer - data'!J326,"")*IF($C326&lt;&gt;"",IF($F326="Halm",Landbrug!E$16*Landbrug!E$17,IF(LEFT($D326,5)="Areal", IF($G326="Ton",Landbrug!E$18,1),1)),1)*IF($F326="Grøntsager",IF($A326="Grøntsager i drivhus",Landbrug!E$51,1-Landbrug!E$51),1)</f>
        <v>#REF!</v>
      </c>
    </row>
    <row r="327" spans="1:10" x14ac:dyDescent="0.25">
      <c r="A327" t="str">
        <f>IF('[1]Processer - data'!A327&lt;&gt;"",'[1]Processer - data'!A327,"")</f>
        <v>Frøgræsmark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JB1-10</v>
      </c>
      <c r="D327" t="str">
        <f>IF('[1]Processer - data'!D327&lt;&gt;"",'[1]Processer - data'!D327,"")</f>
        <v>Areal-frøgræs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CO2 - atmosfære</v>
      </c>
      <c r="G327" t="str">
        <f>IF('[1]Processer - data'!G327&lt;&gt;"",'[1]Processer - data'!G327,"")</f>
        <v>t CO2-ækvivalenter</v>
      </c>
      <c r="H327" s="302" t="e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input'!$A$3:$A$230,$A$1)),IF(VLOOKUP($A327,[1]!Table1[#All],2,FALSE)="Resultat",SUMIF($F$1:$F326,$D327,H$1:H326)+SUMIF($F328:$F$490,$D327,H328:H$490),0))*'[1]Processer - data'!H327,"")*IF($C327&lt;&gt;"",IF($F327="Halm",Landbrug!C$16*Landbrug!C$17,IF(LEFT($D327,5)="Areal", IF($G327="Ton",Landbrug!C$18,1),1)),1)*IF($F327="Grøntsager",IF($A327="Grøntsager i drivhus",Landbrug!C$51,1-Landbrug!C$51),1)</f>
        <v>#REF!</v>
      </c>
      <c r="I327" s="303" t="e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input'!$A$3:$A$230,$A$1)),IF(VLOOKUP($A327,[1]!Table1[#All],2,FALSE)="Resultat",SUMIF($F$1:$F326,$D327,I$1:I326)+SUMIF($F328:$F$490,$D327,I328:I$490),0))*'[1]Processer - data'!I327,"")*IF($C327&lt;&gt;"",IF($F327="Halm",Landbrug!D$16*Landbrug!D$17,IF(LEFT($D327,5)="Areal", IF($G327="Ton",Landbrug!D$18,1),1)),1)*IF($F327="Grøntsager",IF($A327="Grøntsager i drivhus",Landbrug!D$51,1-Landbrug!D$51),1)</f>
        <v>#REF!</v>
      </c>
      <c r="J327" s="304" t="e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input'!$A$3:$A$230,$A$1)),IF(VLOOKUP($A327,[1]!Table1[#All],2,FALSE)="Resultat",SUMIF($F$1:$F326,$D327,J$1:J326)+SUMIF($F328:$F$490,$D327,J328:J$490),0))*'[1]Processer - data'!J327,"")*IF($C327&lt;&gt;"",IF($F327="Halm",Landbrug!E$16*Landbrug!E$17,IF(LEFT($D327,5)="Areal", IF($G327="Ton",Landbrug!E$18,1),1)),1)*IF($F327="Grøntsager",IF($A327="Grøntsager i drivhus",Landbrug!E$51,1-Landbrug!E$51),1)</f>
        <v>#REF!</v>
      </c>
    </row>
    <row r="328" spans="1:10" x14ac:dyDescent="0.25">
      <c r="A328" t="str">
        <f>IF('[1]Processer - data'!A328&lt;&gt;"",'[1]Processer - data'!A328,"")</f>
        <v>Frøgræsmark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Areal-frøgræs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Frø</v>
      </c>
      <c r="G328" t="str">
        <f>IF('[1]Processer - data'!G328&lt;&gt;"",'[1]Processer - data'!G328,"")</f>
        <v>Ton</v>
      </c>
      <c r="H328" s="302" t="e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input'!$A$3:$A$230,$A$1)),IF(VLOOKUP($A328,[1]!Table1[#All],2,FALSE)="Resultat",SUMIF($F$1:$F327,$D328,H$1:H327)+SUMIF($F329:$F$490,$D328,H329:H$490),0))*'[1]Processer - data'!H328,"")*IF($C328&lt;&gt;"",IF($F328="Halm",Landbrug!C$16*Landbrug!C$17,IF(LEFT($D328,5)="Areal", IF($G328="Ton",Landbrug!C$18,1),1)),1)*IF($F328="Grøntsager",IF($A328="Grøntsager i drivhus",Landbrug!C$51,1-Landbrug!C$51),1)</f>
        <v>#REF!</v>
      </c>
      <c r="I328" s="303" t="e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input'!$A$3:$A$230,$A$1)),IF(VLOOKUP($A328,[1]!Table1[#All],2,FALSE)="Resultat",SUMIF($F$1:$F327,$D328,I$1:I327)+SUMIF($F329:$F$490,$D328,I329:I$490),0))*'[1]Processer - data'!I328,"")*IF($C328&lt;&gt;"",IF($F328="Halm",Landbrug!D$16*Landbrug!D$17,IF(LEFT($D328,5)="Areal", IF($G328="Ton",Landbrug!D$18,1),1)),1)*IF($F328="Grøntsager",IF($A328="Grøntsager i drivhus",Landbrug!D$51,1-Landbrug!D$51),1)</f>
        <v>#REF!</v>
      </c>
      <c r="J328" s="304" t="e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input'!$A$3:$A$230,$A$1)),IF(VLOOKUP($A328,[1]!Table1[#All],2,FALSE)="Resultat",SUMIF($F$1:$F327,$D328,J$1:J327)+SUMIF($F329:$F$490,$D328,J329:J$490),0))*'[1]Processer - data'!J328,"")*IF($C328&lt;&gt;"",IF($F328="Halm",Landbrug!E$16*Landbrug!E$17,IF(LEFT($D328,5)="Areal", IF($G328="Ton",Landbrug!E$18,1),1)),1)*IF($F328="Grøntsager",IF($A328="Grøntsager i drivhus",Landbrug!E$51,1-Landbrug!E$51),1)</f>
        <v>#REF!</v>
      </c>
    </row>
    <row r="329" spans="1:10" x14ac:dyDescent="0.25">
      <c r="A329" t="str">
        <f>IF('[1]Processer - data'!A329&lt;&gt;"",'[1]Processer - data'!A329,"")</f>
        <v>Frøgræsmark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OC6</v>
      </c>
      <c r="D329" t="str">
        <f>IF('[1]Processer - data'!D329&lt;&gt;"",'[1]Processer - data'!D329,"")</f>
        <v>Areal-frøgræs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Halm</v>
      </c>
      <c r="G329" t="str">
        <f>IF('[1]Processer - data'!G329&lt;&gt;"",'[1]Processer - data'!G329,"")</f>
        <v>Ton</v>
      </c>
      <c r="H329" s="302" t="e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input'!$A$3:$A$230,$A$1)),IF(VLOOKUP($A329,[1]!Table1[#All],2,FALSE)="Resultat",SUMIF($F$1:$F328,$D329,H$1:H328)+SUMIF($F330:$F$490,$D329,H330:H$490),0))*'[1]Processer - data'!H329,"")*IF($C329&lt;&gt;"",IF($F329="Halm",Landbrug!C$16*Landbrug!C$17,IF(LEFT($D329,5)="Areal", IF($G329="Ton",Landbrug!C$18,1),1)),1)*IF($F329="Grøntsager",IF($A329="Grøntsager i drivhus",Landbrug!C$51,1-Landbrug!C$51),1)</f>
        <v>#REF!</v>
      </c>
      <c r="I329" s="303" t="e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input'!$A$3:$A$230,$A$1)),IF(VLOOKUP($A329,[1]!Table1[#All],2,FALSE)="Resultat",SUMIF($F$1:$F328,$D329,I$1:I328)+SUMIF($F330:$F$490,$D329,I330:I$490),0))*'[1]Processer - data'!I329,"")*IF($C329&lt;&gt;"",IF($F329="Halm",Landbrug!D$16*Landbrug!D$17,IF(LEFT($D329,5)="Areal", IF($G329="Ton",Landbrug!D$18,1),1)),1)*IF($F329="Grøntsager",IF($A329="Grøntsager i drivhus",Landbrug!D$51,1-Landbrug!D$51),1)</f>
        <v>#REF!</v>
      </c>
      <c r="J329" s="304" t="e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input'!$A$3:$A$230,$A$1)),IF(VLOOKUP($A329,[1]!Table1[#All],2,FALSE)="Resultat",SUMIF($F$1:$F328,$D329,J$1:J328)+SUMIF($F330:$F$490,$D329,J330:J$490),0))*'[1]Processer - data'!J329,"")*IF($C329&lt;&gt;"",IF($F329="Halm",Landbrug!E$16*Landbrug!E$17,IF(LEFT($D329,5)="Areal", IF($G329="Ton",Landbrug!E$18,1),1)),1)*IF($F329="Grøntsager",IF($A329="Grøntsager i drivhus",Landbrug!E$51,1-Landbrug!E$51),1)</f>
        <v>#REF!</v>
      </c>
    </row>
    <row r="330" spans="1:10" x14ac:dyDescent="0.25">
      <c r="A330" t="str">
        <f>IF('[1]Processer - data'!A330&lt;&gt;"",'[1]Processer - data'!A330,"")</f>
        <v>Frøgræsmark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OC6</v>
      </c>
      <c r="D330" t="str">
        <f>IF('[1]Processer - data'!D330&lt;&gt;"",'[1]Processer - data'!D330,"")</f>
        <v>Areal-frøgræs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Gødning</v>
      </c>
      <c r="G330" t="str">
        <f>IF('[1]Processer - data'!G330&lt;&gt;"",'[1]Processer - data'!G330,"")</f>
        <v>kg N</v>
      </c>
      <c r="H330" s="302" t="e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input'!$A$3:$A$230,$A$1)),IF(VLOOKUP($A330,[1]!Table1[#All],2,FALSE)="Resultat",SUMIF($F$1:$F329,$D330,H$1:H329)+SUMIF($F331:$F$490,$D330,H331:H$490),0))*'[1]Processer - data'!H330,"")*IF($C330&lt;&gt;"",IF($F330="Halm",Landbrug!C$16*Landbrug!C$17,IF(LEFT($D330,5)="Areal", IF($G330="Ton",Landbrug!C$18,1),1)),1)*IF($F330="Grøntsager",IF($A330="Grøntsager i drivhus",Landbrug!C$51,1-Landbrug!C$51),1)</f>
        <v>#REF!</v>
      </c>
      <c r="I330" s="303" t="e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input'!$A$3:$A$230,$A$1)),IF(VLOOKUP($A330,[1]!Table1[#All],2,FALSE)="Resultat",SUMIF($F$1:$F329,$D330,I$1:I329)+SUMIF($F331:$F$490,$D330,I331:I$490),0))*'[1]Processer - data'!I330,"")*IF($C330&lt;&gt;"",IF($F330="Halm",Landbrug!D$16*Landbrug!D$17,IF(LEFT($D330,5)="Areal", IF($G330="Ton",Landbrug!D$18,1),1)),1)*IF($F330="Grøntsager",IF($A330="Grøntsager i drivhus",Landbrug!D$51,1-Landbrug!D$51),1)</f>
        <v>#REF!</v>
      </c>
      <c r="J330" s="304" t="e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input'!$A$3:$A$230,$A$1)),IF(VLOOKUP($A330,[1]!Table1[#All],2,FALSE)="Resultat",SUMIF($F$1:$F329,$D330,J$1:J329)+SUMIF($F331:$F$490,$D330,J331:J$490),0))*'[1]Processer - data'!J330,"")*IF($C330&lt;&gt;"",IF($F330="Halm",Landbrug!E$16*Landbrug!E$17,IF(LEFT($D330,5)="Areal", IF($G330="Ton",Landbrug!E$18,1),1)),1)*IF($F330="Grøntsager",IF($A330="Grøntsager i drivhus",Landbrug!E$51,1-Landbrug!E$51),1)</f>
        <v>#REF!</v>
      </c>
    </row>
    <row r="331" spans="1:10" x14ac:dyDescent="0.25">
      <c r="A331" t="str">
        <f>IF('[1]Processer - data'!A331&lt;&gt;"",'[1]Processer - data'!A331,"")</f>
        <v>Frøgræsmark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OC6</v>
      </c>
      <c r="D331" t="str">
        <f>IF('[1]Processer - data'!D331&lt;&gt;"",'[1]Processer - data'!D331,"")</f>
        <v>Areal-frøgræs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CO2 - atmosfære</v>
      </c>
      <c r="G331" t="str">
        <f>IF('[1]Processer - data'!G331&lt;&gt;"",'[1]Processer - data'!G331,"")</f>
        <v>t CO2-ækvivalenter</v>
      </c>
      <c r="H331" s="302" t="e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input'!$A$3:$A$230,$A$1)),IF(VLOOKUP($A331,[1]!Table1[#All],2,FALSE)="Resultat",SUMIF($F$1:$F330,$D331,H$1:H330)+SUMIF($F332:$F$490,$D331,H332:H$490),0))*'[1]Processer - data'!H331,"")*IF($C331&lt;&gt;"",IF($F331="Halm",Landbrug!C$16*Landbrug!C$17,IF(LEFT($D331,5)="Areal", IF($G331="Ton",Landbrug!C$18,1),1)),1)*IF($F331="Grøntsager",IF($A331="Grøntsager i drivhus",Landbrug!C$51,1-Landbrug!C$51),1)</f>
        <v>#REF!</v>
      </c>
      <c r="I331" s="303" t="e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input'!$A$3:$A$230,$A$1)),IF(VLOOKUP($A331,[1]!Table1[#All],2,FALSE)="Resultat",SUMIF($F$1:$F330,$D331,I$1:I330)+SUMIF($F332:$F$490,$D331,I332:I$490),0))*'[1]Processer - data'!I331,"")*IF($C331&lt;&gt;"",IF($F331="Halm",Landbrug!D$16*Landbrug!D$17,IF(LEFT($D331,5)="Areal", IF($G331="Ton",Landbrug!D$18,1),1)),1)*IF($F331="Grøntsager",IF($A331="Grøntsager i drivhus",Landbrug!D$51,1-Landbrug!D$51),1)</f>
        <v>#REF!</v>
      </c>
      <c r="J331" s="304" t="e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input'!$A$3:$A$230,$A$1)),IF(VLOOKUP($A331,[1]!Table1[#All],2,FALSE)="Resultat",SUMIF($F$1:$F330,$D331,J$1:J330)+SUMIF($F332:$F$490,$D331,J332:J$490),0))*'[1]Processer - data'!J331,"")*IF($C331&lt;&gt;"",IF($F331="Halm",Landbrug!E$16*Landbrug!E$17,IF(LEFT($D331,5)="Areal", IF($G331="Ton",Landbrug!E$18,1),1)),1)*IF($F331="Grøntsager",IF($A331="Grøntsager i drivhus",Landbrug!E$51,1-Landbrug!E$51),1)</f>
        <v>#REF!</v>
      </c>
    </row>
    <row r="332" spans="1:10" x14ac:dyDescent="0.25">
      <c r="A332" t="str">
        <f>IF('[1]Processer - data'!A332&lt;&gt;"",'[1]Processer - data'!A332,"")</f>
        <v>Frøgræsmark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Areal-frøgræs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Frø</v>
      </c>
      <c r="G332" t="str">
        <f>IF('[1]Processer - data'!G332&lt;&gt;"",'[1]Processer - data'!G332,"")</f>
        <v>Ton</v>
      </c>
      <c r="H332" s="302" t="e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input'!$A$3:$A$230,$A$1)),IF(VLOOKUP($A332,[1]!Table1[#All],2,FALSE)="Resultat",SUMIF($F$1:$F331,$D332,H$1:H331)+SUMIF($F333:$F$490,$D332,H333:H$490),0))*'[1]Processer - data'!H332,"")*IF($C332&lt;&gt;"",IF($F332="Halm",Landbrug!C$16*Landbrug!C$17,IF(LEFT($D332,5)="Areal", IF($G332="Ton",Landbrug!C$18,1),1)),1)*IF($F332="Grøntsager",IF($A332="Grøntsager i drivhus",Landbrug!C$51,1-Landbrug!C$51),1)</f>
        <v>#REF!</v>
      </c>
      <c r="I332" s="303" t="e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input'!$A$3:$A$230,$A$1)),IF(VLOOKUP($A332,[1]!Table1[#All],2,FALSE)="Resultat",SUMIF($F$1:$F331,$D332,I$1:I331)+SUMIF($F333:$F$490,$D332,I333:I$490),0))*'[1]Processer - data'!I332,"")*IF($C332&lt;&gt;"",IF($F332="Halm",Landbrug!D$16*Landbrug!D$17,IF(LEFT($D332,5)="Areal", IF($G332="Ton",Landbrug!D$18,1),1)),1)*IF($F332="Grøntsager",IF($A332="Grøntsager i drivhus",Landbrug!D$51,1-Landbrug!D$51),1)</f>
        <v>#REF!</v>
      </c>
      <c r="J332" s="304" t="e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input'!$A$3:$A$230,$A$1)),IF(VLOOKUP($A332,[1]!Table1[#All],2,FALSE)="Resultat",SUMIF($F$1:$F331,$D332,J$1:J331)+SUMIF($F333:$F$490,$D332,J333:J$490),0))*'[1]Processer - data'!J332,"")*IF($C332&lt;&gt;"",IF($F332="Halm",Landbrug!E$16*Landbrug!E$17,IF(LEFT($D332,5)="Areal", IF($G332="Ton",Landbrug!E$18,1),1)),1)*IF($F332="Grøntsager",IF($A332="Grøntsager i drivhus",Landbrug!E$51,1-Landbrug!E$51),1)</f>
        <v>#REF!</v>
      </c>
    </row>
    <row r="333" spans="1:10" x14ac:dyDescent="0.25">
      <c r="A333" t="str">
        <f>IF('[1]Processer - data'!A333&lt;&gt;"",'[1]Processer - data'!A333,"")</f>
        <v>Frøgræsmark</v>
      </c>
      <c r="B333" t="str">
        <f>IF('[1]Processer - data'!B333&lt;&gt;"",'[1]Processer - data'!B333,"")</f>
        <v>Konventionel</v>
      </c>
      <c r="C333" t="str">
        <f>IF('[1]Processer - data'!C333&lt;&gt;"",'[1]Processer - data'!C333,"")</f>
        <v>OC12</v>
      </c>
      <c r="D333" t="str">
        <f>IF('[1]Processer - data'!D333&lt;&gt;"",'[1]Processer - data'!D333,"")</f>
        <v>Areal-frøgræs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Halm</v>
      </c>
      <c r="G333" t="str">
        <f>IF('[1]Processer - data'!G333&lt;&gt;"",'[1]Processer - data'!G333,"")</f>
        <v>Ton</v>
      </c>
      <c r="H333" s="302" t="e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input'!$A$3:$A$230,$A$1)),IF(VLOOKUP($A333,[1]!Table1[#All],2,FALSE)="Resultat",SUMIF($F$1:$F332,$D333,H$1:H332)+SUMIF($F334:$F$490,$D333,H334:H$490),0))*'[1]Processer - data'!H333,"")*IF($C333&lt;&gt;"",IF($F333="Halm",Landbrug!C$16*Landbrug!C$17,IF(LEFT($D333,5)="Areal", IF($G333="Ton",Landbrug!C$18,1),1)),1)*IF($F333="Grøntsager",IF($A333="Grøntsager i drivhus",Landbrug!C$51,1-Landbrug!C$51),1)</f>
        <v>#REF!</v>
      </c>
      <c r="I333" s="303" t="e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input'!$A$3:$A$230,$A$1)),IF(VLOOKUP($A333,[1]!Table1[#All],2,FALSE)="Resultat",SUMIF($F$1:$F332,$D333,I$1:I332)+SUMIF($F334:$F$490,$D333,I334:I$490),0))*'[1]Processer - data'!I333,"")*IF($C333&lt;&gt;"",IF($F333="Halm",Landbrug!D$16*Landbrug!D$17,IF(LEFT($D333,5)="Areal", IF($G333="Ton",Landbrug!D$18,1),1)),1)*IF($F333="Grøntsager",IF($A333="Grøntsager i drivhus",Landbrug!D$51,1-Landbrug!D$51),1)</f>
        <v>#REF!</v>
      </c>
      <c r="J333" s="304" t="e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input'!$A$3:$A$230,$A$1)),IF(VLOOKUP($A333,[1]!Table1[#All],2,FALSE)="Resultat",SUMIF($F$1:$F332,$D333,J$1:J332)+SUMIF($F334:$F$490,$D333,J334:J$490),0))*'[1]Processer - data'!J333,"")*IF($C333&lt;&gt;"",IF($F333="Halm",Landbrug!E$16*Landbrug!E$17,IF(LEFT($D333,5)="Areal", IF($G333="Ton",Landbrug!E$18,1),1)),1)*IF($F333="Grøntsager",IF($A333="Grøntsager i drivhus",Landbrug!E$51,1-Landbrug!E$51),1)</f>
        <v>#REF!</v>
      </c>
    </row>
    <row r="334" spans="1:10" x14ac:dyDescent="0.25">
      <c r="A334" t="str">
        <f>IF('[1]Processer - data'!A334&lt;&gt;"",'[1]Processer - data'!A334,"")</f>
        <v>Frøgræsmark</v>
      </c>
      <c r="B334" t="str">
        <f>IF('[1]Processer - data'!B334&lt;&gt;"",'[1]Processer - data'!B334,"")</f>
        <v>Konventionel</v>
      </c>
      <c r="C334" t="str">
        <f>IF('[1]Processer - data'!C334&lt;&gt;"",'[1]Processer - data'!C334,"")</f>
        <v>OC12</v>
      </c>
      <c r="D334" t="str">
        <f>IF('[1]Processer - data'!D334&lt;&gt;"",'[1]Processer - data'!D334,"")</f>
        <v>Areal-frøgræs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Gødning</v>
      </c>
      <c r="G334" t="str">
        <f>IF('[1]Processer - data'!G334&lt;&gt;"",'[1]Processer - data'!G334,"")</f>
        <v>kg N</v>
      </c>
      <c r="H334" s="302" t="e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input'!$A$3:$A$230,$A$1)),IF(VLOOKUP($A334,[1]!Table1[#All],2,FALSE)="Resultat",SUMIF($F$1:$F333,$D334,H$1:H333)+SUMIF($F335:$F$490,$D334,H335:H$490),0))*'[1]Processer - data'!H334,"")*IF($C334&lt;&gt;"",IF($F334="Halm",Landbrug!C$16*Landbrug!C$17,IF(LEFT($D334,5)="Areal", IF($G334="Ton",Landbrug!C$18,1),1)),1)*IF($F334="Grøntsager",IF($A334="Grøntsager i drivhus",Landbrug!C$51,1-Landbrug!C$51),1)</f>
        <v>#REF!</v>
      </c>
      <c r="I334" s="303" t="e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input'!$A$3:$A$230,$A$1)),IF(VLOOKUP($A334,[1]!Table1[#All],2,FALSE)="Resultat",SUMIF($F$1:$F333,$D334,I$1:I333)+SUMIF($F335:$F$490,$D334,I335:I$490),0))*'[1]Processer - data'!I334,"")*IF($C334&lt;&gt;"",IF($F334="Halm",Landbrug!D$16*Landbrug!D$17,IF(LEFT($D334,5)="Areal", IF($G334="Ton",Landbrug!D$18,1),1)),1)*IF($F334="Grøntsager",IF($A334="Grøntsager i drivhus",Landbrug!D$51,1-Landbrug!D$51),1)</f>
        <v>#REF!</v>
      </c>
      <c r="J334" s="304" t="e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input'!$A$3:$A$230,$A$1)),IF(VLOOKUP($A334,[1]!Table1[#All],2,FALSE)="Resultat",SUMIF($F$1:$F333,$D334,J$1:J333)+SUMIF($F335:$F$490,$D334,J335:J$490),0))*'[1]Processer - data'!J334,"")*IF($C334&lt;&gt;"",IF($F334="Halm",Landbrug!E$16*Landbrug!E$17,IF(LEFT($D334,5)="Areal", IF($G334="Ton",Landbrug!E$18,1),1)),1)*IF($F334="Grøntsager",IF($A334="Grøntsager i drivhus",Landbrug!E$51,1-Landbrug!E$51),1)</f>
        <v>#REF!</v>
      </c>
    </row>
    <row r="335" spans="1:10" x14ac:dyDescent="0.25">
      <c r="A335" t="str">
        <f>IF('[1]Processer - data'!A335&lt;&gt;"",'[1]Processer - data'!A335,"")</f>
        <v>Frøgræsmark</v>
      </c>
      <c r="B335" t="str">
        <f>IF('[1]Processer - data'!B335&lt;&gt;"",'[1]Processer - data'!B335,"")</f>
        <v>Konventionel</v>
      </c>
      <c r="C335" t="str">
        <f>IF('[1]Processer - data'!C335&lt;&gt;"",'[1]Processer - data'!C335,"")</f>
        <v>OC12</v>
      </c>
      <c r="D335" t="str">
        <f>IF('[1]Processer - data'!D335&lt;&gt;"",'[1]Processer - data'!D335,"")</f>
        <v>Areal-frøgræs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CO2 - atmosfære</v>
      </c>
      <c r="G335" t="str">
        <f>IF('[1]Processer - data'!G335&lt;&gt;"",'[1]Processer - data'!G335,"")</f>
        <v>t CO2-ækvivalenter</v>
      </c>
      <c r="H335" s="302" t="e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input'!$A$3:$A$230,$A$1)),IF(VLOOKUP($A335,[1]!Table1[#All],2,FALSE)="Resultat",SUMIF($F$1:$F334,$D335,H$1:H334)+SUMIF($F336:$F$490,$D335,H336:H$490),0))*'[1]Processer - data'!H335,"")*IF($C335&lt;&gt;"",IF($F335="Halm",Landbrug!C$16*Landbrug!C$17,IF(LEFT($D335,5)="Areal", IF($G335="Ton",Landbrug!C$18,1),1)),1)*IF($F335="Grøntsager",IF($A335="Grøntsager i drivhus",Landbrug!C$51,1-Landbrug!C$51),1)</f>
        <v>#REF!</v>
      </c>
      <c r="I335" s="303" t="e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input'!$A$3:$A$230,$A$1)),IF(VLOOKUP($A335,[1]!Table1[#All],2,FALSE)="Resultat",SUMIF($F$1:$F334,$D335,I$1:I334)+SUMIF($F336:$F$490,$D335,I336:I$490),0))*'[1]Processer - data'!I335,"")*IF($C335&lt;&gt;"",IF($F335="Halm",Landbrug!D$16*Landbrug!D$17,IF(LEFT($D335,5)="Areal", IF($G335="Ton",Landbrug!D$18,1),1)),1)*IF($F335="Grøntsager",IF($A335="Grøntsager i drivhus",Landbrug!D$51,1-Landbrug!D$51),1)</f>
        <v>#REF!</v>
      </c>
      <c r="J335" s="304" t="e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input'!$A$3:$A$230,$A$1)),IF(VLOOKUP($A335,[1]!Table1[#All],2,FALSE)="Resultat",SUMIF($F$1:$F334,$D335,J$1:J334)+SUMIF($F336:$F$490,$D335,J336:J$490),0))*'[1]Processer - data'!J335,"")*IF($C335&lt;&gt;"",IF($F335="Halm",Landbrug!E$16*Landbrug!E$17,IF(LEFT($D335,5)="Areal", IF($G335="Ton",Landbrug!E$18,1),1)),1)*IF($F335="Grøntsager",IF($A335="Grøntsager i drivhus",Landbrug!E$51,1-Landbrug!E$51),1)</f>
        <v>#REF!</v>
      </c>
    </row>
    <row r="336" spans="1:10" x14ac:dyDescent="0.25">
      <c r="A336" t="str">
        <f>IF('[1]Processer - data'!A336&lt;&gt;"",'[1]Processer - data'!A336,"")</f>
        <v>Frøgræsmark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Areal-frøgræs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Frø</v>
      </c>
      <c r="G336" t="str">
        <f>IF('[1]Processer - data'!G336&lt;&gt;"",'[1]Processer - data'!G336,"")</f>
        <v>Ton</v>
      </c>
      <c r="H336" s="302" t="e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input'!$A$3:$A$230,$A$1)),IF(VLOOKUP($A336,[1]!Table1[#All],2,FALSE)="Resultat",SUMIF($F$1:$F335,$D336,H$1:H335)+SUMIF($F337:$F$490,$D336,H337:H$490),0))*'[1]Processer - data'!H336,"")*IF($C336&lt;&gt;"",IF($F336="Halm",Landbrug!C$16*Landbrug!C$17,IF(LEFT($D336,5)="Areal", IF($G336="Ton",Landbrug!C$18,1),1)),1)*IF($F336="Grøntsager",IF($A336="Grøntsager i drivhus",Landbrug!C$51,1-Landbrug!C$51),1)</f>
        <v>#REF!</v>
      </c>
      <c r="I336" s="303" t="e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input'!$A$3:$A$230,$A$1)),IF(VLOOKUP($A336,[1]!Table1[#All],2,FALSE)="Resultat",SUMIF($F$1:$F335,$D336,I$1:I335)+SUMIF($F337:$F$490,$D336,I337:I$490),0))*'[1]Processer - data'!I336,"")*IF($C336&lt;&gt;"",IF($F336="Halm",Landbrug!D$16*Landbrug!D$17,IF(LEFT($D336,5)="Areal", IF($G336="Ton",Landbrug!D$18,1),1)),1)*IF($F336="Grøntsager",IF($A336="Grøntsager i drivhus",Landbrug!D$51,1-Landbrug!D$51),1)</f>
        <v>#REF!</v>
      </c>
      <c r="J336" s="304" t="e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input'!$A$3:$A$230,$A$1)),IF(VLOOKUP($A336,[1]!Table1[#All],2,FALSE)="Resultat",SUMIF($F$1:$F335,$D336,J$1:J335)+SUMIF($F337:$F$490,$D336,J337:J$490),0))*'[1]Processer - data'!J336,"")*IF($C336&lt;&gt;"",IF($F336="Halm",Landbrug!E$16*Landbrug!E$17,IF(LEFT($D336,5)="Areal", IF($G336="Ton",Landbrug!E$18,1),1)),1)*IF($F336="Grøntsager",IF($A336="Grøntsager i drivhus",Landbrug!E$51,1-Landbrug!E$51),1)</f>
        <v>#REF!</v>
      </c>
    </row>
    <row r="337" spans="1:10" x14ac:dyDescent="0.25">
      <c r="A337" t="str">
        <f>IF('[1]Processer - data'!A337&lt;&gt;"",'[1]Processer - data'!A337,"")</f>
        <v>Frøgræsmark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JB1-10</v>
      </c>
      <c r="D337" t="str">
        <f>IF('[1]Processer - data'!D337&lt;&gt;"",'[1]Processer - data'!D337,"")</f>
        <v>Areal-frøgræs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Halm</v>
      </c>
      <c r="G337" t="str">
        <f>IF('[1]Processer - data'!G337&lt;&gt;"",'[1]Processer - data'!G337,"")</f>
        <v>Ton</v>
      </c>
      <c r="H337" s="302" t="e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input'!$A$3:$A$230,$A$1)),IF(VLOOKUP($A337,[1]!Table1[#All],2,FALSE)="Resultat",SUMIF($F$1:$F336,$D337,H$1:H336)+SUMIF($F338:$F$490,$D337,H338:H$490),0))*'[1]Processer - data'!H337,"")*IF($C337&lt;&gt;"",IF($F337="Halm",Landbrug!C$16*Landbrug!C$17,IF(LEFT($D337,5)="Areal", IF($G337="Ton",Landbrug!C$18,1),1)),1)*IF($F337="Grøntsager",IF($A337="Grøntsager i drivhus",Landbrug!C$51,1-Landbrug!C$51),1)</f>
        <v>#REF!</v>
      </c>
      <c r="I337" s="303" t="e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input'!$A$3:$A$230,$A$1)),IF(VLOOKUP($A337,[1]!Table1[#All],2,FALSE)="Resultat",SUMIF($F$1:$F336,$D337,I$1:I336)+SUMIF($F338:$F$490,$D337,I338:I$490),0))*'[1]Processer - data'!I337,"")*IF($C337&lt;&gt;"",IF($F337="Halm",Landbrug!D$16*Landbrug!D$17,IF(LEFT($D337,5)="Areal", IF($G337="Ton",Landbrug!D$18,1),1)),1)*IF($F337="Grøntsager",IF($A337="Grøntsager i drivhus",Landbrug!D$51,1-Landbrug!D$51),1)</f>
        <v>#REF!</v>
      </c>
      <c r="J337" s="304" t="e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input'!$A$3:$A$230,$A$1)),IF(VLOOKUP($A337,[1]!Table1[#All],2,FALSE)="Resultat",SUMIF($F$1:$F336,$D337,J$1:J336)+SUMIF($F338:$F$490,$D337,J338:J$490),0))*'[1]Processer - data'!J337,"")*IF($C337&lt;&gt;"",IF($F337="Halm",Landbrug!E$16*Landbrug!E$17,IF(LEFT($D337,5)="Areal", IF($G337="Ton",Landbrug!E$18,1),1)),1)*IF($F337="Grøntsager",IF($A337="Grøntsager i drivhus",Landbrug!E$51,1-Landbrug!E$51),1)</f>
        <v>#REF!</v>
      </c>
    </row>
    <row r="338" spans="1:10" x14ac:dyDescent="0.25">
      <c r="A338" t="str">
        <f>IF('[1]Processer - data'!A338&lt;&gt;"",'[1]Processer - data'!A338,"")</f>
        <v>Frøgræsmark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JB1-10</v>
      </c>
      <c r="D338" t="str">
        <f>IF('[1]Processer - data'!D338&lt;&gt;"",'[1]Processer - data'!D338,"")</f>
        <v>Areal-frøgræs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Gødning</v>
      </c>
      <c r="G338" t="str">
        <f>IF('[1]Processer - data'!G338&lt;&gt;"",'[1]Processer - data'!G338,"")</f>
        <v>kg N</v>
      </c>
      <c r="H338" s="302" t="e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input'!$A$3:$A$230,$A$1)),IF(VLOOKUP($A338,[1]!Table1[#All],2,FALSE)="Resultat",SUMIF($F$1:$F337,$D338,H$1:H337)+SUMIF($F339:$F$490,$D338,H339:H$490),0))*'[1]Processer - data'!H338,"")*IF($C338&lt;&gt;"",IF($F338="Halm",Landbrug!C$16*Landbrug!C$17,IF(LEFT($D338,5)="Areal", IF($G338="Ton",Landbrug!C$18,1),1)),1)*IF($F338="Grøntsager",IF($A338="Grøntsager i drivhus",Landbrug!C$51,1-Landbrug!C$51),1)</f>
        <v>#REF!</v>
      </c>
      <c r="I338" s="303" t="e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input'!$A$3:$A$230,$A$1)),IF(VLOOKUP($A338,[1]!Table1[#All],2,FALSE)="Resultat",SUMIF($F$1:$F337,$D338,I$1:I337)+SUMIF($F339:$F$490,$D338,I339:I$490),0))*'[1]Processer - data'!I338,"")*IF($C338&lt;&gt;"",IF($F338="Halm",Landbrug!D$16*Landbrug!D$17,IF(LEFT($D338,5)="Areal", IF($G338="Ton",Landbrug!D$18,1),1)),1)*IF($F338="Grøntsager",IF($A338="Grøntsager i drivhus",Landbrug!D$51,1-Landbrug!D$51),1)</f>
        <v>#REF!</v>
      </c>
      <c r="J338" s="304" t="e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input'!$A$3:$A$230,$A$1)),IF(VLOOKUP($A338,[1]!Table1[#All],2,FALSE)="Resultat",SUMIF($F$1:$F337,$D338,J$1:J337)+SUMIF($F339:$F$490,$D338,J339:J$490),0))*'[1]Processer - data'!J338,"")*IF($C338&lt;&gt;"",IF($F338="Halm",Landbrug!E$16*Landbrug!E$17,IF(LEFT($D338,5)="Areal", IF($G338="Ton",Landbrug!E$18,1),1)),1)*IF($F338="Grøntsager",IF($A338="Grøntsager i drivhus",Landbrug!E$51,1-Landbrug!E$51),1)</f>
        <v>#REF!</v>
      </c>
    </row>
    <row r="339" spans="1:10" x14ac:dyDescent="0.25">
      <c r="A339" t="str">
        <f>IF('[1]Processer - data'!A339&lt;&gt;"",'[1]Processer - data'!A339,"")</f>
        <v>Frøgræsmark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JB1-10</v>
      </c>
      <c r="D339" t="str">
        <f>IF('[1]Processer - data'!D339&lt;&gt;"",'[1]Processer - data'!D339,"")</f>
        <v>Areal-frøgræs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CO2 - atmosfære</v>
      </c>
      <c r="G339" t="str">
        <f>IF('[1]Processer - data'!G339&lt;&gt;"",'[1]Processer - data'!G339,"")</f>
        <v>t CO2-ækvivalenter</v>
      </c>
      <c r="H339" s="302" t="e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input'!$A$3:$A$230,$A$1)),IF(VLOOKUP($A339,[1]!Table1[#All],2,FALSE)="Resultat",SUMIF($F$1:$F338,$D339,H$1:H338)+SUMIF($F340:$F$490,$D339,H340:H$490),0))*'[1]Processer - data'!H339,"")*IF($C339&lt;&gt;"",IF($F339="Halm",Landbrug!C$16*Landbrug!C$17,IF(LEFT($D339,5)="Areal", IF($G339="Ton",Landbrug!C$18,1),1)),1)*IF($F339="Grøntsager",IF($A339="Grøntsager i drivhus",Landbrug!C$51,1-Landbrug!C$51),1)</f>
        <v>#REF!</v>
      </c>
      <c r="I339" s="303" t="e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input'!$A$3:$A$230,$A$1)),IF(VLOOKUP($A339,[1]!Table1[#All],2,FALSE)="Resultat",SUMIF($F$1:$F338,$D339,I$1:I338)+SUMIF($F340:$F$490,$D339,I340:I$490),0))*'[1]Processer - data'!I339,"")*IF($C339&lt;&gt;"",IF($F339="Halm",Landbrug!D$16*Landbrug!D$17,IF(LEFT($D339,5)="Areal", IF($G339="Ton",Landbrug!D$18,1),1)),1)*IF($F339="Grøntsager",IF($A339="Grøntsager i drivhus",Landbrug!D$51,1-Landbrug!D$51),1)</f>
        <v>#REF!</v>
      </c>
      <c r="J339" s="304" t="e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input'!$A$3:$A$230,$A$1)),IF(VLOOKUP($A339,[1]!Table1[#All],2,FALSE)="Resultat",SUMIF($F$1:$F338,$D339,J$1:J338)+SUMIF($F340:$F$490,$D339,J340:J$490),0))*'[1]Processer - data'!J339,"")*IF($C339&lt;&gt;"",IF($F339="Halm",Landbrug!E$16*Landbrug!E$17,IF(LEFT($D339,5)="Areal", IF($G339="Ton",Landbrug!E$18,1),1)),1)*IF($F339="Grøntsager",IF($A339="Grøntsager i drivhus",Landbrug!E$51,1-Landbrug!E$51),1)</f>
        <v>#REF!</v>
      </c>
    </row>
    <row r="340" spans="1:10" x14ac:dyDescent="0.25">
      <c r="A340" t="str">
        <f>IF('[1]Processer - data'!A340&lt;&gt;"",'[1]Processer - data'!A340,"")</f>
        <v>Frøgræsmark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Areal-frøgræs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Frø</v>
      </c>
      <c r="G340" t="str">
        <f>IF('[1]Processer - data'!G340&lt;&gt;"",'[1]Processer - data'!G340,"")</f>
        <v>Ton</v>
      </c>
      <c r="H340" s="302" t="e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input'!$A$3:$A$230,$A$1)),IF(VLOOKUP($A340,[1]!Table1[#All],2,FALSE)="Resultat",SUMIF($F$1:$F339,$D340,H$1:H339)+SUMIF($F341:$F$490,$D340,H341:H$490),0))*'[1]Processer - data'!H340,"")*IF($C340&lt;&gt;"",IF($F340="Halm",Landbrug!C$16*Landbrug!C$17,IF(LEFT($D340,5)="Areal", IF($G340="Ton",Landbrug!C$18,1),1)),1)*IF($F340="Grøntsager",IF($A340="Grøntsager i drivhus",Landbrug!C$51,1-Landbrug!C$51),1)</f>
        <v>#REF!</v>
      </c>
      <c r="I340" s="303" t="e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input'!$A$3:$A$230,$A$1)),IF(VLOOKUP($A340,[1]!Table1[#All],2,FALSE)="Resultat",SUMIF($F$1:$F339,$D340,I$1:I339)+SUMIF($F341:$F$490,$D340,I341:I$490),0))*'[1]Processer - data'!I340,"")*IF($C340&lt;&gt;"",IF($F340="Halm",Landbrug!D$16*Landbrug!D$17,IF(LEFT($D340,5)="Areal", IF($G340="Ton",Landbrug!D$18,1),1)),1)*IF($F340="Grøntsager",IF($A340="Grøntsager i drivhus",Landbrug!D$51,1-Landbrug!D$51),1)</f>
        <v>#REF!</v>
      </c>
      <c r="J340" s="304" t="e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input'!$A$3:$A$230,$A$1)),IF(VLOOKUP($A340,[1]!Table1[#All],2,FALSE)="Resultat",SUMIF($F$1:$F339,$D340,J$1:J339)+SUMIF($F341:$F$490,$D340,J341:J$490),0))*'[1]Processer - data'!J340,"")*IF($C340&lt;&gt;"",IF($F340="Halm",Landbrug!E$16*Landbrug!E$17,IF(LEFT($D340,5)="Areal", IF($G340="Ton",Landbrug!E$18,1),1)),1)*IF($F340="Grøntsager",IF($A340="Grøntsager i drivhus",Landbrug!E$51,1-Landbrug!E$51),1)</f>
        <v>#REF!</v>
      </c>
    </row>
    <row r="341" spans="1:10" x14ac:dyDescent="0.25">
      <c r="A341" t="str">
        <f>IF('[1]Processer - data'!A341&lt;&gt;"",'[1]Processer - data'!A341,"")</f>
        <v>Frøgræsmark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OC6</v>
      </c>
      <c r="D341" t="str">
        <f>IF('[1]Processer - data'!D341&lt;&gt;"",'[1]Processer - data'!D341,"")</f>
        <v>Areal-frøgræs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Halm</v>
      </c>
      <c r="G341" t="str">
        <f>IF('[1]Processer - data'!G341&lt;&gt;"",'[1]Processer - data'!G341,"")</f>
        <v>Ton</v>
      </c>
      <c r="H341" s="302" t="e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input'!$A$3:$A$230,$A$1)),IF(VLOOKUP($A341,[1]!Table1[#All],2,FALSE)="Resultat",SUMIF($F$1:$F340,$D341,H$1:H340)+SUMIF($F342:$F$490,$D341,H342:H$490),0))*'[1]Processer - data'!H341,"")*IF($C341&lt;&gt;"",IF($F341="Halm",Landbrug!C$16*Landbrug!C$17,IF(LEFT($D341,5)="Areal", IF($G341="Ton",Landbrug!C$18,1),1)),1)*IF($F341="Grøntsager",IF($A341="Grøntsager i drivhus",Landbrug!C$51,1-Landbrug!C$51),1)</f>
        <v>#REF!</v>
      </c>
      <c r="I341" s="303" t="e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input'!$A$3:$A$230,$A$1)),IF(VLOOKUP($A341,[1]!Table1[#All],2,FALSE)="Resultat",SUMIF($F$1:$F340,$D341,I$1:I340)+SUMIF($F342:$F$490,$D341,I342:I$490),0))*'[1]Processer - data'!I341,"")*IF($C341&lt;&gt;"",IF($F341="Halm",Landbrug!D$16*Landbrug!D$17,IF(LEFT($D341,5)="Areal", IF($G341="Ton",Landbrug!D$18,1),1)),1)*IF($F341="Grøntsager",IF($A341="Grøntsager i drivhus",Landbrug!D$51,1-Landbrug!D$51),1)</f>
        <v>#REF!</v>
      </c>
      <c r="J341" s="304" t="e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input'!$A$3:$A$230,$A$1)),IF(VLOOKUP($A341,[1]!Table1[#All],2,FALSE)="Resultat",SUMIF($F$1:$F340,$D341,J$1:J340)+SUMIF($F342:$F$490,$D341,J342:J$490),0))*'[1]Processer - data'!J341,"")*IF($C341&lt;&gt;"",IF($F341="Halm",Landbrug!E$16*Landbrug!E$17,IF(LEFT($D341,5)="Areal", IF($G341="Ton",Landbrug!E$18,1),1)),1)*IF($F341="Grøntsager",IF($A341="Grøntsager i drivhus",Landbrug!E$51,1-Landbrug!E$51),1)</f>
        <v>#REF!</v>
      </c>
    </row>
    <row r="342" spans="1:10" x14ac:dyDescent="0.25">
      <c r="A342" t="str">
        <f>IF('[1]Processer - data'!A342&lt;&gt;"",'[1]Processer - data'!A342,"")</f>
        <v>Frøgræsmark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OC6</v>
      </c>
      <c r="D342" t="str">
        <f>IF('[1]Processer - data'!D342&lt;&gt;"",'[1]Processer - data'!D342,"")</f>
        <v>Areal-frøgræs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Gødning</v>
      </c>
      <c r="G342" t="str">
        <f>IF('[1]Processer - data'!G342&lt;&gt;"",'[1]Processer - data'!G342,"")</f>
        <v>kg N</v>
      </c>
      <c r="H342" s="302" t="e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input'!$A$3:$A$230,$A$1)),IF(VLOOKUP($A342,[1]!Table1[#All],2,FALSE)="Resultat",SUMIF($F$1:$F341,$D342,H$1:H341)+SUMIF($F343:$F$490,$D342,H343:H$490),0))*'[1]Processer - data'!H342,"")*IF($C342&lt;&gt;"",IF($F342="Halm",Landbrug!C$16*Landbrug!C$17,IF(LEFT($D342,5)="Areal", IF($G342="Ton",Landbrug!C$18,1),1)),1)*IF($F342="Grøntsager",IF($A342="Grøntsager i drivhus",Landbrug!C$51,1-Landbrug!C$51),1)</f>
        <v>#REF!</v>
      </c>
      <c r="I342" s="303" t="e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input'!$A$3:$A$230,$A$1)),IF(VLOOKUP($A342,[1]!Table1[#All],2,FALSE)="Resultat",SUMIF($F$1:$F341,$D342,I$1:I341)+SUMIF($F343:$F$490,$D342,I343:I$490),0))*'[1]Processer - data'!I342,"")*IF($C342&lt;&gt;"",IF($F342="Halm",Landbrug!D$16*Landbrug!D$17,IF(LEFT($D342,5)="Areal", IF($G342="Ton",Landbrug!D$18,1),1)),1)*IF($F342="Grøntsager",IF($A342="Grøntsager i drivhus",Landbrug!D$51,1-Landbrug!D$51),1)</f>
        <v>#REF!</v>
      </c>
      <c r="J342" s="304" t="e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input'!$A$3:$A$230,$A$1)),IF(VLOOKUP($A342,[1]!Table1[#All],2,FALSE)="Resultat",SUMIF($F$1:$F341,$D342,J$1:J341)+SUMIF($F343:$F$490,$D342,J343:J$490),0))*'[1]Processer - data'!J342,"")*IF($C342&lt;&gt;"",IF($F342="Halm",Landbrug!E$16*Landbrug!E$17,IF(LEFT($D342,5)="Areal", IF($G342="Ton",Landbrug!E$18,1),1)),1)*IF($F342="Grøntsager",IF($A342="Grøntsager i drivhus",Landbrug!E$51,1-Landbrug!E$51),1)</f>
        <v>#REF!</v>
      </c>
    </row>
    <row r="343" spans="1:10" x14ac:dyDescent="0.25">
      <c r="A343" t="str">
        <f>IF('[1]Processer - data'!A343&lt;&gt;"",'[1]Processer - data'!A343,"")</f>
        <v>Frøgræsmark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OC6</v>
      </c>
      <c r="D343" t="str">
        <f>IF('[1]Processer - data'!D343&lt;&gt;"",'[1]Processer - data'!D343,"")</f>
        <v>Areal-frøgræs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CO2 - atmosfære</v>
      </c>
      <c r="G343" t="str">
        <f>IF('[1]Processer - data'!G343&lt;&gt;"",'[1]Processer - data'!G343,"")</f>
        <v>t CO2-ækvivalenter</v>
      </c>
      <c r="H343" s="302" t="e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input'!$A$3:$A$230,$A$1)),IF(VLOOKUP($A343,[1]!Table1[#All],2,FALSE)="Resultat",SUMIF($F$1:$F342,$D343,H$1:H342)+SUMIF($F344:$F$490,$D343,H344:H$490),0))*'[1]Processer - data'!H343,"")*IF($C343&lt;&gt;"",IF($F343="Halm",Landbrug!C$16*Landbrug!C$17,IF(LEFT($D343,5)="Areal", IF($G343="Ton",Landbrug!C$18,1),1)),1)*IF($F343="Grøntsager",IF($A343="Grøntsager i drivhus",Landbrug!C$51,1-Landbrug!C$51),1)</f>
        <v>#REF!</v>
      </c>
      <c r="I343" s="303" t="e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input'!$A$3:$A$230,$A$1)),IF(VLOOKUP($A343,[1]!Table1[#All],2,FALSE)="Resultat",SUMIF($F$1:$F342,$D343,I$1:I342)+SUMIF($F344:$F$490,$D343,I344:I$490),0))*'[1]Processer - data'!I343,"")*IF($C343&lt;&gt;"",IF($F343="Halm",Landbrug!D$16*Landbrug!D$17,IF(LEFT($D343,5)="Areal", IF($G343="Ton",Landbrug!D$18,1),1)),1)*IF($F343="Grøntsager",IF($A343="Grøntsager i drivhus",Landbrug!D$51,1-Landbrug!D$51),1)</f>
        <v>#REF!</v>
      </c>
      <c r="J343" s="304" t="e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input'!$A$3:$A$230,$A$1)),IF(VLOOKUP($A343,[1]!Table1[#All],2,FALSE)="Resultat",SUMIF($F$1:$F342,$D343,J$1:J342)+SUMIF($F344:$F$490,$D343,J344:J$490),0))*'[1]Processer - data'!J343,"")*IF($C343&lt;&gt;"",IF($F343="Halm",Landbrug!E$16*Landbrug!E$17,IF(LEFT($D343,5)="Areal", IF($G343="Ton",Landbrug!E$18,1),1)),1)*IF($F343="Grøntsager",IF($A343="Grøntsager i drivhus",Landbrug!E$51,1-Landbrug!E$51),1)</f>
        <v>#REF!</v>
      </c>
    </row>
    <row r="344" spans="1:10" x14ac:dyDescent="0.25">
      <c r="A344" t="str">
        <f>IF('[1]Processer - data'!A344&lt;&gt;"",'[1]Processer - data'!A344,"")</f>
        <v>Frøgræsmark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Areal-frøgræs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Frø</v>
      </c>
      <c r="G344" t="str">
        <f>IF('[1]Processer - data'!G344&lt;&gt;"",'[1]Processer - data'!G344,"")</f>
        <v>Ton</v>
      </c>
      <c r="H344" s="302" t="e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input'!$A$3:$A$230,$A$1)),IF(VLOOKUP($A344,[1]!Table1[#All],2,FALSE)="Resultat",SUMIF($F$1:$F343,$D344,H$1:H343)+SUMIF($F345:$F$490,$D344,H345:H$490),0))*'[1]Processer - data'!H344,"")*IF($C344&lt;&gt;"",IF($F344="Halm",Landbrug!C$16*Landbrug!C$17,IF(LEFT($D344,5)="Areal", IF($G344="Ton",Landbrug!C$18,1),1)),1)*IF($F344="Grøntsager",IF($A344="Grøntsager i drivhus",Landbrug!C$51,1-Landbrug!C$51),1)</f>
        <v>#REF!</v>
      </c>
      <c r="I344" s="303" t="e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input'!$A$3:$A$230,$A$1)),IF(VLOOKUP($A344,[1]!Table1[#All],2,FALSE)="Resultat",SUMIF($F$1:$F343,$D344,I$1:I343)+SUMIF($F345:$F$490,$D344,I345:I$490),0))*'[1]Processer - data'!I344,"")*IF($C344&lt;&gt;"",IF($F344="Halm",Landbrug!D$16*Landbrug!D$17,IF(LEFT($D344,5)="Areal", IF($G344="Ton",Landbrug!D$18,1),1)),1)*IF($F344="Grøntsager",IF($A344="Grøntsager i drivhus",Landbrug!D$51,1-Landbrug!D$51),1)</f>
        <v>#REF!</v>
      </c>
      <c r="J344" s="304" t="e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input'!$A$3:$A$230,$A$1)),IF(VLOOKUP($A344,[1]!Table1[#All],2,FALSE)="Resultat",SUMIF($F$1:$F343,$D344,J$1:J343)+SUMIF($F345:$F$490,$D344,J345:J$490),0))*'[1]Processer - data'!J344,"")*IF($C344&lt;&gt;"",IF($F344="Halm",Landbrug!E$16*Landbrug!E$17,IF(LEFT($D344,5)="Areal", IF($G344="Ton",Landbrug!E$18,1),1)),1)*IF($F344="Grøntsager",IF($A344="Grøntsager i drivhus",Landbrug!E$51,1-Landbrug!E$51),1)</f>
        <v>#REF!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Økologisk</v>
      </c>
      <c r="C345" t="str">
        <f>IF('[1]Processer - data'!C345&lt;&gt;"",'[1]Processer - data'!C345,"")</f>
        <v>OC12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Halm</v>
      </c>
      <c r="G345" t="str">
        <f>IF('[1]Processer - data'!G345&lt;&gt;"",'[1]Processer - data'!G345,"")</f>
        <v>Ton</v>
      </c>
      <c r="H345" s="302" t="e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input'!$A$3:$A$230,$A$1)),IF(VLOOKUP($A345,[1]!Table1[#All],2,FALSE)="Resultat",SUMIF($F$1:$F344,$D345,H$1:H344)+SUMIF($F346:$F$490,$D345,H346:H$490),0))*'[1]Processer - data'!H345,"")*IF($C345&lt;&gt;"",IF($F345="Halm",Landbrug!C$16*Landbrug!C$17,IF(LEFT($D345,5)="Areal", IF($G345="Ton",Landbrug!C$18,1),1)),1)*IF($F345="Grøntsager",IF($A345="Grøntsager i drivhus",Landbrug!C$51,1-Landbrug!C$51),1)</f>
        <v>#REF!</v>
      </c>
      <c r="I345" s="303" t="e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input'!$A$3:$A$230,$A$1)),IF(VLOOKUP($A345,[1]!Table1[#All],2,FALSE)="Resultat",SUMIF($F$1:$F344,$D345,I$1:I344)+SUMIF($F346:$F$490,$D345,I346:I$490),0))*'[1]Processer - data'!I345,"")*IF($C345&lt;&gt;"",IF($F345="Halm",Landbrug!D$16*Landbrug!D$17,IF(LEFT($D345,5)="Areal", IF($G345="Ton",Landbrug!D$18,1),1)),1)*IF($F345="Grøntsager",IF($A345="Grøntsager i drivhus",Landbrug!D$51,1-Landbrug!D$51),1)</f>
        <v>#REF!</v>
      </c>
      <c r="J345" s="304" t="e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input'!$A$3:$A$230,$A$1)),IF(VLOOKUP($A345,[1]!Table1[#All],2,FALSE)="Resultat",SUMIF($F$1:$F344,$D345,J$1:J344)+SUMIF($F346:$F$490,$D345,J346:J$490),0))*'[1]Processer - data'!J345,"")*IF($C345&lt;&gt;"",IF($F345="Halm",Landbrug!E$16*Landbrug!E$17,IF(LEFT($D345,5)="Areal", IF($G345="Ton",Landbrug!E$18,1),1)),1)*IF($F345="Grøntsager",IF($A345="Grøntsager i drivhus",Landbrug!E$51,1-Landbrug!E$51),1)</f>
        <v>#REF!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Økologisk</v>
      </c>
      <c r="C346" t="str">
        <f>IF('[1]Processer - data'!C346&lt;&gt;"",'[1]Processer - data'!C346,"")</f>
        <v>OC12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Gødning</v>
      </c>
      <c r="G346" t="str">
        <f>IF('[1]Processer - data'!G346&lt;&gt;"",'[1]Processer - data'!G346,"")</f>
        <v>kg N</v>
      </c>
      <c r="H346" s="302" t="e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input'!$A$3:$A$230,$A$1)),IF(VLOOKUP($A346,[1]!Table1[#All],2,FALSE)="Resultat",SUMIF($F$1:$F345,$D346,H$1:H345)+SUMIF($F347:$F$490,$D346,H347:H$490),0))*'[1]Processer - data'!H346,"")*IF($C346&lt;&gt;"",IF($F346="Halm",Landbrug!C$16*Landbrug!C$17,IF(LEFT($D346,5)="Areal", IF($G346="Ton",Landbrug!C$18,1),1)),1)*IF($F346="Grøntsager",IF($A346="Grøntsager i drivhus",Landbrug!C$51,1-Landbrug!C$51),1)</f>
        <v>#REF!</v>
      </c>
      <c r="I346" s="303" t="e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input'!$A$3:$A$230,$A$1)),IF(VLOOKUP($A346,[1]!Table1[#All],2,FALSE)="Resultat",SUMIF($F$1:$F345,$D346,I$1:I345)+SUMIF($F347:$F$490,$D346,I347:I$490),0))*'[1]Processer - data'!I346,"")*IF($C346&lt;&gt;"",IF($F346="Halm",Landbrug!D$16*Landbrug!D$17,IF(LEFT($D346,5)="Areal", IF($G346="Ton",Landbrug!D$18,1),1)),1)*IF($F346="Grøntsager",IF($A346="Grøntsager i drivhus",Landbrug!D$51,1-Landbrug!D$51),1)</f>
        <v>#REF!</v>
      </c>
      <c r="J346" s="304" t="e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input'!$A$3:$A$230,$A$1)),IF(VLOOKUP($A346,[1]!Table1[#All],2,FALSE)="Resultat",SUMIF($F$1:$F345,$D346,J$1:J345)+SUMIF($F347:$F$490,$D346,J347:J$490),0))*'[1]Processer - data'!J346,"")*IF($C346&lt;&gt;"",IF($F346="Halm",Landbrug!E$16*Landbrug!E$17,IF(LEFT($D346,5)="Areal", IF($G346="Ton",Landbrug!E$18,1),1)),1)*IF($F346="Grøntsager",IF($A346="Grøntsager i drivhus",Landbrug!E$51,1-Landbrug!E$51),1)</f>
        <v>#REF!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Økologisk</v>
      </c>
      <c r="C347" t="str">
        <f>IF('[1]Processer - data'!C347&lt;&gt;"",'[1]Processer - data'!C347,"")</f>
        <v>OC12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CO2 - atmosfære</v>
      </c>
      <c r="G347" t="str">
        <f>IF('[1]Processer - data'!G347&lt;&gt;"",'[1]Processer - data'!G347,"")</f>
        <v>t CO2-ækvivalenter</v>
      </c>
      <c r="H347" s="302" t="e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input'!$A$3:$A$230,$A$1)),IF(VLOOKUP($A347,[1]!Table1[#All],2,FALSE)="Resultat",SUMIF($F$1:$F346,$D347,H$1:H346)+SUMIF($F348:$F$490,$D347,H348:H$490),0))*'[1]Processer - data'!H347,"")*IF($C347&lt;&gt;"",IF($F347="Halm",Landbrug!C$16*Landbrug!C$17,IF(LEFT($D347,5)="Areal", IF($G347="Ton",Landbrug!C$18,1),1)),1)*IF($F347="Grøntsager",IF($A347="Grøntsager i drivhus",Landbrug!C$51,1-Landbrug!C$51),1)</f>
        <v>#REF!</v>
      </c>
      <c r="I347" s="303" t="e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input'!$A$3:$A$230,$A$1)),IF(VLOOKUP($A347,[1]!Table1[#All],2,FALSE)="Resultat",SUMIF($F$1:$F346,$D347,I$1:I346)+SUMIF($F348:$F$490,$D347,I348:I$490),0))*'[1]Processer - data'!I347,"")*IF($C347&lt;&gt;"",IF($F347="Halm",Landbrug!D$16*Landbrug!D$17,IF(LEFT($D347,5)="Areal", IF($G347="Ton",Landbrug!D$18,1),1)),1)*IF($F347="Grøntsager",IF($A347="Grøntsager i drivhus",Landbrug!D$51,1-Landbrug!D$51),1)</f>
        <v>#REF!</v>
      </c>
      <c r="J347" s="304" t="e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input'!$A$3:$A$230,$A$1)),IF(VLOOKUP($A347,[1]!Table1[#All],2,FALSE)="Resultat",SUMIF($F$1:$F346,$D347,J$1:J346)+SUMIF($F348:$F$490,$D347,J348:J$490),0))*'[1]Processer - data'!J347,"")*IF($C347&lt;&gt;"",IF($F347="Halm",Landbrug!E$16*Landbrug!E$17,IF(LEFT($D347,5)="Areal", IF($G347="Ton",Landbrug!E$18,1),1)),1)*IF($F347="Grøntsager",IF($A347="Grøntsager i drivhus",Landbrug!E$51,1-Landbrug!E$51),1)</f>
        <v>#REF!</v>
      </c>
    </row>
    <row r="348" spans="1:10" x14ac:dyDescent="0.25">
      <c r="A348" t="str">
        <f>IF('[1]Processer - data'!A348&lt;&gt;"",'[1]Processer - data'!A348,"")</f>
        <v>Juletræsmark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Areal-juletræer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Juletræer</v>
      </c>
      <c r="G348" t="str">
        <f>IF('[1]Processer - data'!G348&lt;&gt;"",'[1]Processer - data'!G348,"")</f>
        <v>Ton</v>
      </c>
      <c r="H348" s="302" t="e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input'!$A$3:$A$230,$A$1)),IF(VLOOKUP($A348,[1]!Table1[#All],2,FALSE)="Resultat",SUMIF($F$1:$F347,$D348,H$1:H347)+SUMIF($F349:$F$490,$D348,H349:H$490),0))*'[1]Processer - data'!H348,"")*IF($C348&lt;&gt;"",IF($F348="Halm",Landbrug!C$16*Landbrug!C$17,IF(LEFT($D348,5)="Areal", IF($G348="Ton",Landbrug!C$18,1),1)),1)*IF($F348="Grøntsager",IF($A348="Grøntsager i drivhus",Landbrug!C$51,1-Landbrug!C$51),1)</f>
        <v>#REF!</v>
      </c>
      <c r="I348" s="303" t="e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input'!$A$3:$A$230,$A$1)),IF(VLOOKUP($A348,[1]!Table1[#All],2,FALSE)="Resultat",SUMIF($F$1:$F347,$D348,I$1:I347)+SUMIF($F349:$F$490,$D348,I349:I$490),0))*'[1]Processer - data'!I348,"")*IF($C348&lt;&gt;"",IF($F348="Halm",Landbrug!D$16*Landbrug!D$17,IF(LEFT($D348,5)="Areal", IF($G348="Ton",Landbrug!D$18,1),1)),1)*IF($F348="Grøntsager",IF($A348="Grøntsager i drivhus",Landbrug!D$51,1-Landbrug!D$51),1)</f>
        <v>#REF!</v>
      </c>
      <c r="J348" s="304" t="e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input'!$A$3:$A$230,$A$1)),IF(VLOOKUP($A348,[1]!Table1[#All],2,FALSE)="Resultat",SUMIF($F$1:$F347,$D348,J$1:J347)+SUMIF($F349:$F$490,$D348,J349:J$490),0))*'[1]Processer - data'!J348,"")*IF($C348&lt;&gt;"",IF($F348="Halm",Landbrug!E$16*Landbrug!E$17,IF(LEFT($D348,5)="Areal", IF($G348="Ton",Landbrug!E$18,1),1)),1)*IF($F348="Grøntsager",IF($A348="Grøntsager i drivhus",Landbrug!E$51,1-Landbrug!E$51),1)</f>
        <v>#REF!</v>
      </c>
    </row>
    <row r="349" spans="1:10" x14ac:dyDescent="0.25">
      <c r="A349" t="str">
        <f>IF('[1]Processer - data'!A349&lt;&gt;"",'[1]Processer - data'!A349,"")</f>
        <v>Juletræsmark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JB1-10</v>
      </c>
      <c r="D349" t="str">
        <f>IF('[1]Processer - data'!D349&lt;&gt;"",'[1]Processer - data'!D349,"")</f>
        <v>Areal-juletræer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Gødning</v>
      </c>
      <c r="G349" t="str">
        <f>IF('[1]Processer - data'!G349&lt;&gt;"",'[1]Processer - data'!G349,"")</f>
        <v>kg N</v>
      </c>
      <c r="H349" s="302" t="e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input'!$A$3:$A$230,$A$1)),IF(VLOOKUP($A349,[1]!Table1[#All],2,FALSE)="Resultat",SUMIF($F$1:$F348,$D349,H$1:H348)+SUMIF($F350:$F$490,$D349,H350:H$490),0))*'[1]Processer - data'!H349,"")*IF($C349&lt;&gt;"",IF($F349="Halm",Landbrug!C$16*Landbrug!C$17,IF(LEFT($D349,5)="Areal", IF($G349="Ton",Landbrug!C$18,1),1)),1)*IF($F349="Grøntsager",IF($A349="Grøntsager i drivhus",Landbrug!C$51,1-Landbrug!C$51),1)</f>
        <v>#REF!</v>
      </c>
      <c r="I349" s="303" t="e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input'!$A$3:$A$230,$A$1)),IF(VLOOKUP($A349,[1]!Table1[#All],2,FALSE)="Resultat",SUMIF($F$1:$F348,$D349,I$1:I348)+SUMIF($F350:$F$490,$D349,I350:I$490),0))*'[1]Processer - data'!I349,"")*IF($C349&lt;&gt;"",IF($F349="Halm",Landbrug!D$16*Landbrug!D$17,IF(LEFT($D349,5)="Areal", IF($G349="Ton",Landbrug!D$18,1),1)),1)*IF($F349="Grøntsager",IF($A349="Grøntsager i drivhus",Landbrug!D$51,1-Landbrug!D$51),1)</f>
        <v>#REF!</v>
      </c>
      <c r="J349" s="304" t="e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input'!$A$3:$A$230,$A$1)),IF(VLOOKUP($A349,[1]!Table1[#All],2,FALSE)="Resultat",SUMIF($F$1:$F348,$D349,J$1:J348)+SUMIF($F350:$F$490,$D349,J350:J$490),0))*'[1]Processer - data'!J349,"")*IF($C349&lt;&gt;"",IF($F349="Halm",Landbrug!E$16*Landbrug!E$17,IF(LEFT($D349,5)="Areal", IF($G349="Ton",Landbrug!E$18,1),1)),1)*IF($F349="Grøntsager",IF($A349="Grøntsager i drivhus",Landbrug!E$51,1-Landbrug!E$51),1)</f>
        <v>#REF!</v>
      </c>
    </row>
    <row r="350" spans="1:10" x14ac:dyDescent="0.25">
      <c r="A350" t="str">
        <f>IF('[1]Processer - data'!A350&lt;&gt;"",'[1]Processer - data'!A350,"")</f>
        <v>Juletræsmark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JB1-10</v>
      </c>
      <c r="D350" t="str">
        <f>IF('[1]Processer - data'!D350&lt;&gt;"",'[1]Processer - data'!D350,"")</f>
        <v>Areal-juletræer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CO2 - atmosfære</v>
      </c>
      <c r="G350" t="str">
        <f>IF('[1]Processer - data'!G350&lt;&gt;"",'[1]Processer - data'!G350,"")</f>
        <v>t CO2-ækvivalenter</v>
      </c>
      <c r="H350" s="302" t="e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input'!$A$3:$A$230,$A$1)),IF(VLOOKUP($A350,[1]!Table1[#All],2,FALSE)="Resultat",SUMIF($F$1:$F349,$D350,H$1:H349)+SUMIF($F351:$F$490,$D350,H351:H$490),0))*'[1]Processer - data'!H350,"")*IF($C350&lt;&gt;"",IF($F350="Halm",Landbrug!C$16*Landbrug!C$17,IF(LEFT($D350,5)="Areal", IF($G350="Ton",Landbrug!C$18,1),1)),1)*IF($F350="Grøntsager",IF($A350="Grøntsager i drivhus",Landbrug!C$51,1-Landbrug!C$51),1)</f>
        <v>#REF!</v>
      </c>
      <c r="I350" s="303" t="e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input'!$A$3:$A$230,$A$1)),IF(VLOOKUP($A350,[1]!Table1[#All],2,FALSE)="Resultat",SUMIF($F$1:$F349,$D350,I$1:I349)+SUMIF($F351:$F$490,$D350,I351:I$490),0))*'[1]Processer - data'!I350,"")*IF($C350&lt;&gt;"",IF($F350="Halm",Landbrug!D$16*Landbrug!D$17,IF(LEFT($D350,5)="Areal", IF($G350="Ton",Landbrug!D$18,1),1)),1)*IF($F350="Grøntsager",IF($A350="Grøntsager i drivhus",Landbrug!D$51,1-Landbrug!D$51),1)</f>
        <v>#REF!</v>
      </c>
      <c r="J350" s="304" t="e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input'!$A$3:$A$230,$A$1)),IF(VLOOKUP($A350,[1]!Table1[#All],2,FALSE)="Resultat",SUMIF($F$1:$F349,$D350,J$1:J349)+SUMIF($F351:$F$490,$D350,J351:J$490),0))*'[1]Processer - data'!J350,"")*IF($C350&lt;&gt;"",IF($F350="Halm",Landbrug!E$16*Landbrug!E$17,IF(LEFT($D350,5)="Areal", IF($G350="Ton",Landbrug!E$18,1),1)),1)*IF($F350="Grøntsager",IF($A350="Grøntsager i drivhus",Landbrug!E$51,1-Landbrug!E$51),1)</f>
        <v>#REF!</v>
      </c>
    </row>
    <row r="351" spans="1:10" x14ac:dyDescent="0.25">
      <c r="A351" t="str">
        <f>IF('[1]Processer - data'!A351&lt;&gt;"",'[1]Processer - data'!A351,"")</f>
        <v>Juletræsmark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Areal-juletræer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Juletræer</v>
      </c>
      <c r="G351" t="str">
        <f>IF('[1]Processer - data'!G351&lt;&gt;"",'[1]Processer - data'!G351,"")</f>
        <v>Ton</v>
      </c>
      <c r="H351" s="302" t="e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input'!$A$3:$A$230,$A$1)),IF(VLOOKUP($A351,[1]!Table1[#All],2,FALSE)="Resultat",SUMIF($F$1:$F350,$D351,H$1:H350)+SUMIF($F352:$F$490,$D351,H352:H$490),0))*'[1]Processer - data'!H351,"")*IF($C351&lt;&gt;"",IF($F351="Halm",Landbrug!C$16*Landbrug!C$17,IF(LEFT($D351,5)="Areal", IF($G351="Ton",Landbrug!C$18,1),1)),1)*IF($F351="Grøntsager",IF($A351="Grøntsager i drivhus",Landbrug!C$51,1-Landbrug!C$51),1)</f>
        <v>#REF!</v>
      </c>
      <c r="I351" s="303" t="e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input'!$A$3:$A$230,$A$1)),IF(VLOOKUP($A351,[1]!Table1[#All],2,FALSE)="Resultat",SUMIF($F$1:$F350,$D351,I$1:I350)+SUMIF($F352:$F$490,$D351,I352:I$490),0))*'[1]Processer - data'!I351,"")*IF($C351&lt;&gt;"",IF($F351="Halm",Landbrug!D$16*Landbrug!D$17,IF(LEFT($D351,5)="Areal", IF($G351="Ton",Landbrug!D$18,1),1)),1)*IF($F351="Grøntsager",IF($A351="Grøntsager i drivhus",Landbrug!D$51,1-Landbrug!D$51),1)</f>
        <v>#REF!</v>
      </c>
      <c r="J351" s="304" t="e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input'!$A$3:$A$230,$A$1)),IF(VLOOKUP($A351,[1]!Table1[#All],2,FALSE)="Resultat",SUMIF($F$1:$F350,$D351,J$1:J350)+SUMIF($F352:$F$490,$D351,J352:J$490),0))*'[1]Processer - data'!J351,"")*IF($C351&lt;&gt;"",IF($F351="Halm",Landbrug!E$16*Landbrug!E$17,IF(LEFT($D351,5)="Areal", IF($G351="Ton",Landbrug!E$18,1),1)),1)*IF($F351="Grøntsager",IF($A351="Grøntsager i drivhus",Landbrug!E$51,1-Landbrug!E$51),1)</f>
        <v>#REF!</v>
      </c>
    </row>
    <row r="352" spans="1:10" x14ac:dyDescent="0.25">
      <c r="A352" t="str">
        <f>IF('[1]Processer - data'!A352&lt;&gt;"",'[1]Processer - data'!A352,"")</f>
        <v>Juletræsmark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Areal-juletræer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Gødning</v>
      </c>
      <c r="G352" t="str">
        <f>IF('[1]Processer - data'!G352&lt;&gt;"",'[1]Processer - data'!G352,"")</f>
        <v>kg N</v>
      </c>
      <c r="H352" s="302" t="e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input'!$A$3:$A$230,$A$1)),IF(VLOOKUP($A352,[1]!Table1[#All],2,FALSE)="Resultat",SUMIF($F$1:$F351,$D352,H$1:H351)+SUMIF($F353:$F$490,$D352,H353:H$490),0))*'[1]Processer - data'!H352,"")*IF($C352&lt;&gt;"",IF($F352="Halm",Landbrug!C$16*Landbrug!C$17,IF(LEFT($D352,5)="Areal", IF($G352="Ton",Landbrug!C$18,1),1)),1)*IF($F352="Grøntsager",IF($A352="Grøntsager i drivhus",Landbrug!C$51,1-Landbrug!C$51),1)</f>
        <v>#REF!</v>
      </c>
      <c r="I352" s="303" t="e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input'!$A$3:$A$230,$A$1)),IF(VLOOKUP($A352,[1]!Table1[#All],2,FALSE)="Resultat",SUMIF($F$1:$F351,$D352,I$1:I351)+SUMIF($F353:$F$490,$D352,I353:I$490),0))*'[1]Processer - data'!I352,"")*IF($C352&lt;&gt;"",IF($F352="Halm",Landbrug!D$16*Landbrug!D$17,IF(LEFT($D352,5)="Areal", IF($G352="Ton",Landbrug!D$18,1),1)),1)*IF($F352="Grøntsager",IF($A352="Grøntsager i drivhus",Landbrug!D$51,1-Landbrug!D$51),1)</f>
        <v>#REF!</v>
      </c>
      <c r="J352" s="304" t="e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input'!$A$3:$A$230,$A$1)),IF(VLOOKUP($A352,[1]!Table1[#All],2,FALSE)="Resultat",SUMIF($F$1:$F351,$D352,J$1:J351)+SUMIF($F353:$F$490,$D352,J353:J$490),0))*'[1]Processer - data'!J352,"")*IF($C352&lt;&gt;"",IF($F352="Halm",Landbrug!E$16*Landbrug!E$17,IF(LEFT($D352,5)="Areal", IF($G352="Ton",Landbrug!E$18,1),1)),1)*IF($F352="Grøntsager",IF($A352="Grøntsager i drivhus",Landbrug!E$51,1-Landbrug!E$51),1)</f>
        <v>#REF!</v>
      </c>
    </row>
    <row r="353" spans="1:10" x14ac:dyDescent="0.25">
      <c r="A353" t="str">
        <f>IF('[1]Processer - data'!A353&lt;&gt;"",'[1]Processer - data'!A353,"")</f>
        <v>Juletræsmark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OC6</v>
      </c>
      <c r="D353" t="str">
        <f>IF('[1]Processer - data'!D353&lt;&gt;"",'[1]Processer - data'!D353,"")</f>
        <v>Areal-juletræer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CO2 - atmosfære</v>
      </c>
      <c r="G353" t="str">
        <f>IF('[1]Processer - data'!G353&lt;&gt;"",'[1]Processer - data'!G353,"")</f>
        <v>t CO2-ækvivalenter</v>
      </c>
      <c r="H353" s="302" t="e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input'!$A$3:$A$230,$A$1)),IF(VLOOKUP($A353,[1]!Table1[#All],2,FALSE)="Resultat",SUMIF($F$1:$F352,$D353,H$1:H352)+SUMIF($F354:$F$490,$D353,H354:H$490),0))*'[1]Processer - data'!H353,"")*IF($C353&lt;&gt;"",IF($F353="Halm",Landbrug!C$16*Landbrug!C$17,IF(LEFT($D353,5)="Areal", IF($G353="Ton",Landbrug!C$18,1),1)),1)*IF($F353="Grøntsager",IF($A353="Grøntsager i drivhus",Landbrug!C$51,1-Landbrug!C$51),1)</f>
        <v>#REF!</v>
      </c>
      <c r="I353" s="303" t="e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input'!$A$3:$A$230,$A$1)),IF(VLOOKUP($A353,[1]!Table1[#All],2,FALSE)="Resultat",SUMIF($F$1:$F352,$D353,I$1:I352)+SUMIF($F354:$F$490,$D353,I354:I$490),0))*'[1]Processer - data'!I353,"")*IF($C353&lt;&gt;"",IF($F353="Halm",Landbrug!D$16*Landbrug!D$17,IF(LEFT($D353,5)="Areal", IF($G353="Ton",Landbrug!D$18,1),1)),1)*IF($F353="Grøntsager",IF($A353="Grøntsager i drivhus",Landbrug!D$51,1-Landbrug!D$51),1)</f>
        <v>#REF!</v>
      </c>
      <c r="J353" s="304" t="e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input'!$A$3:$A$230,$A$1)),IF(VLOOKUP($A353,[1]!Table1[#All],2,FALSE)="Resultat",SUMIF($F$1:$F352,$D353,J$1:J352)+SUMIF($F354:$F$490,$D353,J354:J$490),0))*'[1]Processer - data'!J353,"")*IF($C353&lt;&gt;"",IF($F353="Halm",Landbrug!E$16*Landbrug!E$17,IF(LEFT($D353,5)="Areal", IF($G353="Ton",Landbrug!E$18,1),1)),1)*IF($F353="Grøntsager",IF($A353="Grøntsager i drivhus",Landbrug!E$51,1-Landbrug!E$51),1)</f>
        <v>#REF!</v>
      </c>
    </row>
    <row r="354" spans="1:10" x14ac:dyDescent="0.25">
      <c r="A354" t="str">
        <f>IF('[1]Processer - data'!A354&lt;&gt;"",'[1]Processer - data'!A354,"")</f>
        <v>Juletræsmark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Areal-juletræer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Juletræer</v>
      </c>
      <c r="G354" t="str">
        <f>IF('[1]Processer - data'!G354&lt;&gt;"",'[1]Processer - data'!G354,"")</f>
        <v>Ton</v>
      </c>
      <c r="H354" s="302" t="e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input'!$A$3:$A$230,$A$1)),IF(VLOOKUP($A354,[1]!Table1[#All],2,FALSE)="Resultat",SUMIF($F$1:$F353,$D354,H$1:H353)+SUMIF($F355:$F$490,$D354,H355:H$490),0))*'[1]Processer - data'!H354,"")*IF($C354&lt;&gt;"",IF($F354="Halm",Landbrug!C$16*Landbrug!C$17,IF(LEFT($D354,5)="Areal", IF($G354="Ton",Landbrug!C$18,1),1)),1)*IF($F354="Grøntsager",IF($A354="Grøntsager i drivhus",Landbrug!C$51,1-Landbrug!C$51),1)</f>
        <v>#REF!</v>
      </c>
      <c r="I354" s="303" t="e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input'!$A$3:$A$230,$A$1)),IF(VLOOKUP($A354,[1]!Table1[#All],2,FALSE)="Resultat",SUMIF($F$1:$F353,$D354,I$1:I353)+SUMIF($F355:$F$490,$D354,I355:I$490),0))*'[1]Processer - data'!I354,"")*IF($C354&lt;&gt;"",IF($F354="Halm",Landbrug!D$16*Landbrug!D$17,IF(LEFT($D354,5)="Areal", IF($G354="Ton",Landbrug!D$18,1),1)),1)*IF($F354="Grøntsager",IF($A354="Grøntsager i drivhus",Landbrug!D$51,1-Landbrug!D$51),1)</f>
        <v>#REF!</v>
      </c>
      <c r="J354" s="304" t="e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input'!$A$3:$A$230,$A$1)),IF(VLOOKUP($A354,[1]!Table1[#All],2,FALSE)="Resultat",SUMIF($F$1:$F353,$D354,J$1:J353)+SUMIF($F355:$F$490,$D354,J355:J$490),0))*'[1]Processer - data'!J354,"")*IF($C354&lt;&gt;"",IF($F354="Halm",Landbrug!E$16*Landbrug!E$17,IF(LEFT($D354,5)="Areal", IF($G354="Ton",Landbrug!E$18,1),1)),1)*IF($F354="Grøntsager",IF($A354="Grøntsager i drivhus",Landbrug!E$51,1-Landbrug!E$51),1)</f>
        <v>#REF!</v>
      </c>
    </row>
    <row r="355" spans="1:10" x14ac:dyDescent="0.25">
      <c r="A355" t="str">
        <f>IF('[1]Processer - data'!A355&lt;&gt;"",'[1]Processer - data'!A355,"")</f>
        <v>Juletræsmark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Areal-juletræer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2" t="e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input'!$A$3:$A$230,$A$1)),IF(VLOOKUP($A355,[1]!Table1[#All],2,FALSE)="Resultat",SUMIF($F$1:$F354,$D355,H$1:H354)+SUMIF($F356:$F$490,$D355,H356:H$490),0))*'[1]Processer - data'!H355,"")*IF($C355&lt;&gt;"",IF($F355="Halm",Landbrug!C$16*Landbrug!C$17,IF(LEFT($D355,5)="Areal", IF($G355="Ton",Landbrug!C$18,1),1)),1)*IF($F355="Grøntsager",IF($A355="Grøntsager i drivhus",Landbrug!C$51,1-Landbrug!C$51),1)</f>
        <v>#REF!</v>
      </c>
      <c r="I355" s="303" t="e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input'!$A$3:$A$230,$A$1)),IF(VLOOKUP($A355,[1]!Table1[#All],2,FALSE)="Resultat",SUMIF($F$1:$F354,$D355,I$1:I354)+SUMIF($F356:$F$490,$D355,I356:I$490),0))*'[1]Processer - data'!I355,"")*IF($C355&lt;&gt;"",IF($F355="Halm",Landbrug!D$16*Landbrug!D$17,IF(LEFT($D355,5)="Areal", IF($G355="Ton",Landbrug!D$18,1),1)),1)*IF($F355="Grøntsager",IF($A355="Grøntsager i drivhus",Landbrug!D$51,1-Landbrug!D$51),1)</f>
        <v>#REF!</v>
      </c>
      <c r="J355" s="304" t="e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input'!$A$3:$A$230,$A$1)),IF(VLOOKUP($A355,[1]!Table1[#All],2,FALSE)="Resultat",SUMIF($F$1:$F354,$D355,J$1:J354)+SUMIF($F356:$F$490,$D355,J356:J$490),0))*'[1]Processer - data'!J355,"")*IF($C355&lt;&gt;"",IF($F355="Halm",Landbrug!E$16*Landbrug!E$17,IF(LEFT($D355,5)="Areal", IF($G355="Ton",Landbrug!E$18,1),1)),1)*IF($F355="Grøntsager",IF($A355="Grøntsager i drivhus",Landbrug!E$51,1-Landbrug!E$51),1)</f>
        <v>#REF!</v>
      </c>
    </row>
    <row r="356" spans="1:10" x14ac:dyDescent="0.25">
      <c r="A356" t="str">
        <f>IF('[1]Processer - data'!A356&lt;&gt;"",'[1]Processer - data'!A356,"")</f>
        <v>Juletræsmark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Areal-juletræer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2" t="e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input'!$A$3:$A$230,$A$1)),IF(VLOOKUP($A356,[1]!Table1[#All],2,FALSE)="Resultat",SUMIF($F$1:$F355,$D356,H$1:H355)+SUMIF($F357:$F$490,$D356,H357:H$490),0))*'[1]Processer - data'!H356,"")*IF($C356&lt;&gt;"",IF($F356="Halm",Landbrug!C$16*Landbrug!C$17,IF(LEFT($D356,5)="Areal", IF($G356="Ton",Landbrug!C$18,1),1)),1)*IF($F356="Grøntsager",IF($A356="Grøntsager i drivhus",Landbrug!C$51,1-Landbrug!C$51),1)</f>
        <v>#REF!</v>
      </c>
      <c r="I356" s="303" t="e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input'!$A$3:$A$230,$A$1)),IF(VLOOKUP($A356,[1]!Table1[#All],2,FALSE)="Resultat",SUMIF($F$1:$F355,$D356,I$1:I355)+SUMIF($F357:$F$490,$D356,I357:I$490),0))*'[1]Processer - data'!I356,"")*IF($C356&lt;&gt;"",IF($F356="Halm",Landbrug!D$16*Landbrug!D$17,IF(LEFT($D356,5)="Areal", IF($G356="Ton",Landbrug!D$18,1),1)),1)*IF($F356="Grøntsager",IF($A356="Grøntsager i drivhus",Landbrug!D$51,1-Landbrug!D$51),1)</f>
        <v>#REF!</v>
      </c>
      <c r="J356" s="304" t="e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input'!$A$3:$A$230,$A$1)),IF(VLOOKUP($A356,[1]!Table1[#All],2,FALSE)="Resultat",SUMIF($F$1:$F355,$D356,J$1:J355)+SUMIF($F357:$F$490,$D356,J357:J$490),0))*'[1]Processer - data'!J356,"")*IF($C356&lt;&gt;"",IF($F356="Halm",Landbrug!E$16*Landbrug!E$17,IF(LEFT($D356,5)="Areal", IF($G356="Ton",Landbrug!E$18,1),1)),1)*IF($F356="Grøntsager",IF($A356="Grøntsager i drivhus",Landbrug!E$51,1-Landbrug!E$51),1)</f>
        <v>#REF!</v>
      </c>
    </row>
    <row r="357" spans="1:10" x14ac:dyDescent="0.25">
      <c r="A357" t="str">
        <f>IF('[1]Processer - data'!A357&lt;&gt;"",'[1]Processer - data'!A357,"")</f>
        <v>Juletræsmark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Areal-juletræer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Juletræer</v>
      </c>
      <c r="G357" t="str">
        <f>IF('[1]Processer - data'!G357&lt;&gt;"",'[1]Processer - data'!G357,"")</f>
        <v>Ton</v>
      </c>
      <c r="H357" s="302" t="e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input'!$A$3:$A$230,$A$1)),IF(VLOOKUP($A357,[1]!Table1[#All],2,FALSE)="Resultat",SUMIF($F$1:$F356,$D357,H$1:H356)+SUMIF($F358:$F$490,$D357,H358:H$490),0))*'[1]Processer - data'!H357,"")*IF($C357&lt;&gt;"",IF($F357="Halm",Landbrug!C$16*Landbrug!C$17,IF(LEFT($D357,5)="Areal", IF($G357="Ton",Landbrug!C$18,1),1)),1)*IF($F357="Grøntsager",IF($A357="Grøntsager i drivhus",Landbrug!C$51,1-Landbrug!C$51),1)</f>
        <v>#REF!</v>
      </c>
      <c r="I357" s="303" t="e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input'!$A$3:$A$230,$A$1)),IF(VLOOKUP($A357,[1]!Table1[#All],2,FALSE)="Resultat",SUMIF($F$1:$F356,$D357,I$1:I356)+SUMIF($F358:$F$490,$D357,I358:I$490),0))*'[1]Processer - data'!I357,"")*IF($C357&lt;&gt;"",IF($F357="Halm",Landbrug!D$16*Landbrug!D$17,IF(LEFT($D357,5)="Areal", IF($G357="Ton",Landbrug!D$18,1),1)),1)*IF($F357="Grøntsager",IF($A357="Grøntsager i drivhus",Landbrug!D$51,1-Landbrug!D$51),1)</f>
        <v>#REF!</v>
      </c>
      <c r="J357" s="304" t="e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input'!$A$3:$A$230,$A$1)),IF(VLOOKUP($A357,[1]!Table1[#All],2,FALSE)="Resultat",SUMIF($F$1:$F356,$D357,J$1:J356)+SUMIF($F358:$F$490,$D357,J358:J$490),0))*'[1]Processer - data'!J357,"")*IF($C357&lt;&gt;"",IF($F357="Halm",Landbrug!E$16*Landbrug!E$17,IF(LEFT($D357,5)="Areal", IF($G357="Ton",Landbrug!E$18,1),1)),1)*IF($F357="Grøntsager",IF($A357="Grøntsager i drivhus",Landbrug!E$51,1-Landbrug!E$51),1)</f>
        <v>#REF!</v>
      </c>
    </row>
    <row r="358" spans="1:10" x14ac:dyDescent="0.25">
      <c r="A358" t="str">
        <f>IF('[1]Processer - data'!A358&lt;&gt;"",'[1]Processer - data'!A358,"")</f>
        <v>Juletræsmark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Areal-juletræer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Gødning</v>
      </c>
      <c r="G358" t="str">
        <f>IF('[1]Processer - data'!G358&lt;&gt;"",'[1]Processer - data'!G358,"")</f>
        <v>kg N</v>
      </c>
      <c r="H358" s="302" t="e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input'!$A$3:$A$230,$A$1)),IF(VLOOKUP($A358,[1]!Table1[#All],2,FALSE)="Resultat",SUMIF($F$1:$F357,$D358,H$1:H357)+SUMIF($F359:$F$490,$D358,H359:H$490),0))*'[1]Processer - data'!H358,"")*IF($C358&lt;&gt;"",IF($F358="Halm",Landbrug!C$16*Landbrug!C$17,IF(LEFT($D358,5)="Areal", IF($G358="Ton",Landbrug!C$18,1),1)),1)*IF($F358="Grøntsager",IF($A358="Grøntsager i drivhus",Landbrug!C$51,1-Landbrug!C$51),1)</f>
        <v>#REF!</v>
      </c>
      <c r="I358" s="303" t="e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input'!$A$3:$A$230,$A$1)),IF(VLOOKUP($A358,[1]!Table1[#All],2,FALSE)="Resultat",SUMIF($F$1:$F357,$D358,I$1:I357)+SUMIF($F359:$F$490,$D358,I359:I$490),0))*'[1]Processer - data'!I358,"")*IF($C358&lt;&gt;"",IF($F358="Halm",Landbrug!D$16*Landbrug!D$17,IF(LEFT($D358,5)="Areal", IF($G358="Ton",Landbrug!D$18,1),1)),1)*IF($F358="Grøntsager",IF($A358="Grøntsager i drivhus",Landbrug!D$51,1-Landbrug!D$51),1)</f>
        <v>#REF!</v>
      </c>
      <c r="J358" s="304" t="e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input'!$A$3:$A$230,$A$1)),IF(VLOOKUP($A358,[1]!Table1[#All],2,FALSE)="Resultat",SUMIF($F$1:$F357,$D358,J$1:J357)+SUMIF($F359:$F$490,$D358,J359:J$490),0))*'[1]Processer - data'!J358,"")*IF($C358&lt;&gt;"",IF($F358="Halm",Landbrug!E$16*Landbrug!E$17,IF(LEFT($D358,5)="Areal", IF($G358="Ton",Landbrug!E$18,1),1)),1)*IF($F358="Grøntsager",IF($A358="Grøntsager i drivhus",Landbrug!E$51,1-Landbrug!E$51),1)</f>
        <v>#REF!</v>
      </c>
    </row>
    <row r="359" spans="1:10" x14ac:dyDescent="0.25">
      <c r="A359" t="str">
        <f>IF('[1]Processer - data'!A359&lt;&gt;"",'[1]Processer - data'!A359,"")</f>
        <v>Juletræsmark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Areal-juletræer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CO2 - atmosfære</v>
      </c>
      <c r="G359" t="str">
        <f>IF('[1]Processer - data'!G359&lt;&gt;"",'[1]Processer - data'!G359,"")</f>
        <v>t CO2-ækvivalenter</v>
      </c>
      <c r="H359" s="302" t="e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input'!$A$3:$A$230,$A$1)),IF(VLOOKUP($A359,[1]!Table1[#All],2,FALSE)="Resultat",SUMIF($F$1:$F358,$D359,H$1:H358)+SUMIF($F360:$F$490,$D359,H360:H$490),0))*'[1]Processer - data'!H359,"")*IF($C359&lt;&gt;"",IF($F359="Halm",Landbrug!C$16*Landbrug!C$17,IF(LEFT($D359,5)="Areal", IF($G359="Ton",Landbrug!C$18,1),1)),1)*IF($F359="Grøntsager",IF($A359="Grøntsager i drivhus",Landbrug!C$51,1-Landbrug!C$51),1)</f>
        <v>#REF!</v>
      </c>
      <c r="I359" s="303" t="e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input'!$A$3:$A$230,$A$1)),IF(VLOOKUP($A359,[1]!Table1[#All],2,FALSE)="Resultat",SUMIF($F$1:$F358,$D359,I$1:I358)+SUMIF($F360:$F$490,$D359,I360:I$490),0))*'[1]Processer - data'!I359,"")*IF($C359&lt;&gt;"",IF($F359="Halm",Landbrug!D$16*Landbrug!D$17,IF(LEFT($D359,5)="Areal", IF($G359="Ton",Landbrug!D$18,1),1)),1)*IF($F359="Grøntsager",IF($A359="Grøntsager i drivhus",Landbrug!D$51,1-Landbrug!D$51),1)</f>
        <v>#REF!</v>
      </c>
      <c r="J359" s="304" t="e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input'!$A$3:$A$230,$A$1)),IF(VLOOKUP($A359,[1]!Table1[#All],2,FALSE)="Resultat",SUMIF($F$1:$F358,$D359,J$1:J358)+SUMIF($F360:$F$490,$D359,J360:J$490),0))*'[1]Processer - data'!J359,"")*IF($C359&lt;&gt;"",IF($F359="Halm",Landbrug!E$16*Landbrug!E$17,IF(LEFT($D359,5)="Areal", IF($G359="Ton",Landbrug!E$18,1),1)),1)*IF($F359="Grøntsager",IF($A359="Grøntsager i drivhus",Landbrug!E$51,1-Landbrug!E$51),1)</f>
        <v>#REF!</v>
      </c>
    </row>
    <row r="360" spans="1:10" x14ac:dyDescent="0.25">
      <c r="A360" t="str">
        <f>IF('[1]Processer - data'!A360&lt;&gt;"",'[1]Processer - data'!A360,"")</f>
        <v>Juletræsmark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OC6</v>
      </c>
      <c r="D360" t="str">
        <f>IF('[1]Processer - data'!D360&lt;&gt;"",'[1]Processer - data'!D360,"")</f>
        <v>Areal-juletræer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Juletræer</v>
      </c>
      <c r="G360" t="str">
        <f>IF('[1]Processer - data'!G360&lt;&gt;"",'[1]Processer - data'!G360,"")</f>
        <v>Ton</v>
      </c>
      <c r="H360" s="302" t="e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input'!$A$3:$A$230,$A$1)),IF(VLOOKUP($A360,[1]!Table1[#All],2,FALSE)="Resultat",SUMIF($F$1:$F359,$D360,H$1:H359)+SUMIF($F361:$F$490,$D360,H361:H$490),0))*'[1]Processer - data'!H360,"")*IF($C360&lt;&gt;"",IF($F360="Halm",Landbrug!C$16*Landbrug!C$17,IF(LEFT($D360,5)="Areal", IF($G360="Ton",Landbrug!C$18,1),1)),1)*IF($F360="Grøntsager",IF($A360="Grøntsager i drivhus",Landbrug!C$51,1-Landbrug!C$51),1)</f>
        <v>#REF!</v>
      </c>
      <c r="I360" s="303" t="e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input'!$A$3:$A$230,$A$1)),IF(VLOOKUP($A360,[1]!Table1[#All],2,FALSE)="Resultat",SUMIF($F$1:$F359,$D360,I$1:I359)+SUMIF($F361:$F$490,$D360,I361:I$490),0))*'[1]Processer - data'!I360,"")*IF($C360&lt;&gt;"",IF($F360="Halm",Landbrug!D$16*Landbrug!D$17,IF(LEFT($D360,5)="Areal", IF($G360="Ton",Landbrug!D$18,1),1)),1)*IF($F360="Grøntsager",IF($A360="Grøntsager i drivhus",Landbrug!D$51,1-Landbrug!D$51),1)</f>
        <v>#REF!</v>
      </c>
      <c r="J360" s="304" t="e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input'!$A$3:$A$230,$A$1)),IF(VLOOKUP($A360,[1]!Table1[#All],2,FALSE)="Resultat",SUMIF($F$1:$F359,$D360,J$1:J359)+SUMIF($F361:$F$490,$D360,J361:J$490),0))*'[1]Processer - data'!J360,"")*IF($C360&lt;&gt;"",IF($F360="Halm",Landbrug!E$16*Landbrug!E$17,IF(LEFT($D360,5)="Areal", IF($G360="Ton",Landbrug!E$18,1),1)),1)*IF($F360="Grøntsager",IF($A360="Grøntsager i drivhus",Landbrug!E$51,1-Landbrug!E$51),1)</f>
        <v>#REF!</v>
      </c>
    </row>
    <row r="361" spans="1:10" x14ac:dyDescent="0.25">
      <c r="A361" t="str">
        <f>IF('[1]Processer - data'!A361&lt;&gt;"",'[1]Processer - data'!A361,"")</f>
        <v>Juletræsmark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Areal-juletræer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Gødning</v>
      </c>
      <c r="G361" t="str">
        <f>IF('[1]Processer - data'!G361&lt;&gt;"",'[1]Processer - data'!G361,"")</f>
        <v>kg N</v>
      </c>
      <c r="H361" s="302" t="e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input'!$A$3:$A$230,$A$1)),IF(VLOOKUP($A361,[1]!Table1[#All],2,FALSE)="Resultat",SUMIF($F$1:$F360,$D361,H$1:H360)+SUMIF($F362:$F$490,$D361,H362:H$490),0))*'[1]Processer - data'!H361,"")*IF($C361&lt;&gt;"",IF($F361="Halm",Landbrug!C$16*Landbrug!C$17,IF(LEFT($D361,5)="Areal", IF($G361="Ton",Landbrug!C$18,1),1)),1)*IF($F361="Grøntsager",IF($A361="Grøntsager i drivhus",Landbrug!C$51,1-Landbrug!C$51),1)</f>
        <v>#REF!</v>
      </c>
      <c r="I361" s="303" t="e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input'!$A$3:$A$230,$A$1)),IF(VLOOKUP($A361,[1]!Table1[#All],2,FALSE)="Resultat",SUMIF($F$1:$F360,$D361,I$1:I360)+SUMIF($F362:$F$490,$D361,I362:I$490),0))*'[1]Processer - data'!I361,"")*IF($C361&lt;&gt;"",IF($F361="Halm",Landbrug!D$16*Landbrug!D$17,IF(LEFT($D361,5)="Areal", IF($G361="Ton",Landbrug!D$18,1),1)),1)*IF($F361="Grøntsager",IF($A361="Grøntsager i drivhus",Landbrug!D$51,1-Landbrug!D$51),1)</f>
        <v>#REF!</v>
      </c>
      <c r="J361" s="304" t="e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input'!$A$3:$A$230,$A$1)),IF(VLOOKUP($A361,[1]!Table1[#All],2,FALSE)="Resultat",SUMIF($F$1:$F360,$D361,J$1:J360)+SUMIF($F362:$F$490,$D361,J362:J$490),0))*'[1]Processer - data'!J361,"")*IF($C361&lt;&gt;"",IF($F361="Halm",Landbrug!E$16*Landbrug!E$17,IF(LEFT($D361,5)="Areal", IF($G361="Ton",Landbrug!E$18,1),1)),1)*IF($F361="Grøntsager",IF($A361="Grøntsager i drivhus",Landbrug!E$51,1-Landbrug!E$51),1)</f>
        <v>#REF!</v>
      </c>
    </row>
    <row r="362" spans="1:10" x14ac:dyDescent="0.25">
      <c r="A362" t="str">
        <f>IF('[1]Processer - data'!A362&lt;&gt;"",'[1]Processer - data'!A362,"")</f>
        <v>Juletræsmark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Areal-juletræer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CO2 - atmosfære</v>
      </c>
      <c r="G362" t="str">
        <f>IF('[1]Processer - data'!G362&lt;&gt;"",'[1]Processer - data'!G362,"")</f>
        <v>t CO2-ækvivalenter</v>
      </c>
      <c r="H362" s="302" t="e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input'!$A$3:$A$230,$A$1)),IF(VLOOKUP($A362,[1]!Table1[#All],2,FALSE)="Resultat",SUMIF($F$1:$F361,$D362,H$1:H361)+SUMIF($F363:$F$490,$D362,H363:H$490),0))*'[1]Processer - data'!H362,"")*IF($C362&lt;&gt;"",IF($F362="Halm",Landbrug!C$16*Landbrug!C$17,IF(LEFT($D362,5)="Areal", IF($G362="Ton",Landbrug!C$18,1),1)),1)*IF($F362="Grøntsager",IF($A362="Grøntsager i drivhus",Landbrug!C$51,1-Landbrug!C$51),1)</f>
        <v>#REF!</v>
      </c>
      <c r="I362" s="303" t="e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input'!$A$3:$A$230,$A$1)),IF(VLOOKUP($A362,[1]!Table1[#All],2,FALSE)="Resultat",SUMIF($F$1:$F361,$D362,I$1:I361)+SUMIF($F363:$F$490,$D362,I363:I$490),0))*'[1]Processer - data'!I362,"")*IF($C362&lt;&gt;"",IF($F362="Halm",Landbrug!D$16*Landbrug!D$17,IF(LEFT($D362,5)="Areal", IF($G362="Ton",Landbrug!D$18,1),1)),1)*IF($F362="Grøntsager",IF($A362="Grøntsager i drivhus",Landbrug!D$51,1-Landbrug!D$51),1)</f>
        <v>#REF!</v>
      </c>
      <c r="J362" s="304" t="e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input'!$A$3:$A$230,$A$1)),IF(VLOOKUP($A362,[1]!Table1[#All],2,FALSE)="Resultat",SUMIF($F$1:$F361,$D362,J$1:J361)+SUMIF($F363:$F$490,$D362,J363:J$490),0))*'[1]Processer - data'!J362,"")*IF($C362&lt;&gt;"",IF($F362="Halm",Landbrug!E$16*Landbrug!E$17,IF(LEFT($D362,5)="Areal", IF($G362="Ton",Landbrug!E$18,1),1)),1)*IF($F362="Grøntsager",IF($A362="Grøntsager i drivhus",Landbrug!E$51,1-Landbrug!E$51),1)</f>
        <v>#REF!</v>
      </c>
    </row>
    <row r="363" spans="1:10" x14ac:dyDescent="0.25">
      <c r="A363" t="str">
        <f>IF('[1]Processer - data'!A363&lt;&gt;"",'[1]Processer - data'!A363,"")</f>
        <v>Juletræsmark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OC12</v>
      </c>
      <c r="D363" t="str">
        <f>IF('[1]Processer - data'!D363&lt;&gt;"",'[1]Processer - data'!D363,"")</f>
        <v>Areal-juletræer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Juletræer</v>
      </c>
      <c r="G363" t="str">
        <f>IF('[1]Processer - data'!G363&lt;&gt;"",'[1]Processer - data'!G363,"")</f>
        <v>Ton</v>
      </c>
      <c r="H363" s="302" t="e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input'!$A$3:$A$230,$A$1)),IF(VLOOKUP($A363,[1]!Table1[#All],2,FALSE)="Resultat",SUMIF($F$1:$F362,$D363,H$1:H362)+SUMIF($F364:$F$490,$D363,H364:H$490),0))*'[1]Processer - data'!H363,"")*IF($C363&lt;&gt;"",IF($F363="Halm",Landbrug!C$16*Landbrug!C$17,IF(LEFT($D363,5)="Areal", IF($G363="Ton",Landbrug!C$18,1),1)),1)*IF($F363="Grøntsager",IF($A363="Grøntsager i drivhus",Landbrug!C$51,1-Landbrug!C$51),1)</f>
        <v>#REF!</v>
      </c>
      <c r="I363" s="303" t="e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input'!$A$3:$A$230,$A$1)),IF(VLOOKUP($A363,[1]!Table1[#All],2,FALSE)="Resultat",SUMIF($F$1:$F362,$D363,I$1:I362)+SUMIF($F364:$F$490,$D363,I364:I$490),0))*'[1]Processer - data'!I363,"")*IF($C363&lt;&gt;"",IF($F363="Halm",Landbrug!D$16*Landbrug!D$17,IF(LEFT($D363,5)="Areal", IF($G363="Ton",Landbrug!D$18,1),1)),1)*IF($F363="Grøntsager",IF($A363="Grøntsager i drivhus",Landbrug!D$51,1-Landbrug!D$51),1)</f>
        <v>#REF!</v>
      </c>
      <c r="J363" s="304" t="e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input'!$A$3:$A$230,$A$1)),IF(VLOOKUP($A363,[1]!Table1[#All],2,FALSE)="Resultat",SUMIF($F$1:$F362,$D363,J$1:J362)+SUMIF($F364:$F$490,$D363,J364:J$490),0))*'[1]Processer - data'!J363,"")*IF($C363&lt;&gt;"",IF($F363="Halm",Landbrug!E$16*Landbrug!E$17,IF(LEFT($D363,5)="Areal", IF($G363="Ton",Landbrug!E$18,1),1)),1)*IF($F363="Grøntsager",IF($A363="Grøntsager i drivhus",Landbrug!E$51,1-Landbrug!E$51),1)</f>
        <v>#REF!</v>
      </c>
    </row>
    <row r="364" spans="1:10" x14ac:dyDescent="0.25">
      <c r="A364" t="str">
        <f>IF('[1]Processer - data'!A364&lt;&gt;"",'[1]Processer - data'!A364,"")</f>
        <v>Juletræsmark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OC12</v>
      </c>
      <c r="D364" t="str">
        <f>IF('[1]Processer - data'!D364&lt;&gt;"",'[1]Processer - data'!D364,"")</f>
        <v>Areal-juletræer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Gødning</v>
      </c>
      <c r="G364" t="str">
        <f>IF('[1]Processer - data'!G364&lt;&gt;"",'[1]Processer - data'!G364,"")</f>
        <v>kg N</v>
      </c>
      <c r="H364" s="302" t="e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input'!$A$3:$A$230,$A$1)),IF(VLOOKUP($A364,[1]!Table1[#All],2,FALSE)="Resultat",SUMIF($F$1:$F363,$D364,H$1:H363)+SUMIF($F365:$F$490,$D364,H365:H$490),0))*'[1]Processer - data'!H364,"")*IF($C364&lt;&gt;"",IF($F364="Halm",Landbrug!C$16*Landbrug!C$17,IF(LEFT($D364,5)="Areal", IF($G364="Ton",Landbrug!C$18,1),1)),1)*IF($F364="Grøntsager",IF($A364="Grøntsager i drivhus",Landbrug!C$51,1-Landbrug!C$51),1)</f>
        <v>#REF!</v>
      </c>
      <c r="I364" s="303" t="e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input'!$A$3:$A$230,$A$1)),IF(VLOOKUP($A364,[1]!Table1[#All],2,FALSE)="Resultat",SUMIF($F$1:$F363,$D364,I$1:I363)+SUMIF($F365:$F$490,$D364,I365:I$490),0))*'[1]Processer - data'!I364,"")*IF($C364&lt;&gt;"",IF($F364="Halm",Landbrug!D$16*Landbrug!D$17,IF(LEFT($D364,5)="Areal", IF($G364="Ton",Landbrug!D$18,1),1)),1)*IF($F364="Grøntsager",IF($A364="Grøntsager i drivhus",Landbrug!D$51,1-Landbrug!D$51),1)</f>
        <v>#REF!</v>
      </c>
      <c r="J364" s="304" t="e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input'!$A$3:$A$230,$A$1)),IF(VLOOKUP($A364,[1]!Table1[#All],2,FALSE)="Resultat",SUMIF($F$1:$F363,$D364,J$1:J363)+SUMIF($F365:$F$490,$D364,J365:J$490),0))*'[1]Processer - data'!J364,"")*IF($C364&lt;&gt;"",IF($F364="Halm",Landbrug!E$16*Landbrug!E$17,IF(LEFT($D364,5)="Areal", IF($G364="Ton",Landbrug!E$18,1),1)),1)*IF($F364="Grøntsager",IF($A364="Grøntsager i drivhus",Landbrug!E$51,1-Landbrug!E$51),1)</f>
        <v>#REF!</v>
      </c>
    </row>
    <row r="365" spans="1:10" x14ac:dyDescent="0.25">
      <c r="A365" t="str">
        <f>IF('[1]Processer - data'!A365&lt;&gt;"",'[1]Processer - data'!A365,"")</f>
        <v>Juletræsmark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Areal-juletræer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CO2 - atmosfære</v>
      </c>
      <c r="G365" t="str">
        <f>IF('[1]Processer - data'!G365&lt;&gt;"",'[1]Processer - data'!G365,"")</f>
        <v>t CO2-ækvivalenter</v>
      </c>
      <c r="H365" s="302" t="e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input'!$A$3:$A$230,$A$1)),IF(VLOOKUP($A365,[1]!Table1[#All],2,FALSE)="Resultat",SUMIF($F$1:$F364,$D365,H$1:H364)+SUMIF($F366:$F$490,$D365,H366:H$490),0))*'[1]Processer - data'!H365,"")*IF($C365&lt;&gt;"",IF($F365="Halm",Landbrug!C$16*Landbrug!C$17,IF(LEFT($D365,5)="Areal", IF($G365="Ton",Landbrug!C$18,1),1)),1)*IF($F365="Grøntsager",IF($A365="Grøntsager i drivhus",Landbrug!C$51,1-Landbrug!C$51),1)</f>
        <v>#REF!</v>
      </c>
      <c r="I365" s="303" t="e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input'!$A$3:$A$230,$A$1)),IF(VLOOKUP($A365,[1]!Table1[#All],2,FALSE)="Resultat",SUMIF($F$1:$F364,$D365,I$1:I364)+SUMIF($F366:$F$490,$D365,I366:I$490),0))*'[1]Processer - data'!I365,"")*IF($C365&lt;&gt;"",IF($F365="Halm",Landbrug!D$16*Landbrug!D$17,IF(LEFT($D365,5)="Areal", IF($G365="Ton",Landbrug!D$18,1),1)),1)*IF($F365="Grøntsager",IF($A365="Grøntsager i drivhus",Landbrug!D$51,1-Landbrug!D$51),1)</f>
        <v>#REF!</v>
      </c>
      <c r="J365" s="304" t="e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input'!$A$3:$A$230,$A$1)),IF(VLOOKUP($A365,[1]!Table1[#All],2,FALSE)="Resultat",SUMIF($F$1:$F364,$D365,J$1:J364)+SUMIF($F366:$F$490,$D365,J366:J$490),0))*'[1]Processer - data'!J365,"")*IF($C365&lt;&gt;"",IF($F365="Halm",Landbrug!E$16*Landbrug!E$17,IF(LEFT($D365,5)="Areal", IF($G365="Ton",Landbrug!E$18,1),1)),1)*IF($F365="Grøntsager",IF($A365="Grøntsager i drivhus",Landbrug!E$51,1-Landbrug!E$51),1)</f>
        <v>#REF!</v>
      </c>
    </row>
    <row r="366" spans="1:10" x14ac:dyDescent="0.25">
      <c r="A366" t="str">
        <f>IF('[1]Processer - data'!A366&lt;&gt;"",'[1]Processer - data'!A366,"")</f>
        <v>Pil- og poppeldyrkning</v>
      </c>
      <c r="B366" t="str">
        <f>IF('[1]Processer - data'!B366&lt;&gt;"",'[1]Processer - data'!B366,"")</f>
        <v>Konventionel</v>
      </c>
      <c r="C366" t="str">
        <f>IF('[1]Processer - data'!C366&lt;&gt;"",'[1]Processer - data'!C366,"")</f>
        <v>JB1-10</v>
      </c>
      <c r="D366" t="str">
        <f>IF('[1]Processer - data'!D366&lt;&gt;"",'[1]Processer - data'!D366,"")</f>
        <v>Areal-pil-poppel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Pil &amp; poppel</v>
      </c>
      <c r="G366" t="str">
        <f>IF('[1]Processer - data'!G366&lt;&gt;"",'[1]Processer - data'!G366,"")</f>
        <v>Ton</v>
      </c>
      <c r="H366" s="302" t="e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input'!$A$3:$A$230,$A$1)),IF(VLOOKUP($A366,[1]!Table1[#All],2,FALSE)="Resultat",SUMIF($F$1:$F365,$D366,H$1:H365)+SUMIF($F367:$F$490,$D366,H367:H$490),0))*'[1]Processer - data'!H366,"")*IF($C366&lt;&gt;"",IF($F366="Halm",Landbrug!C$16*Landbrug!C$17,IF(LEFT($D366,5)="Areal", IF($G366="Ton",Landbrug!C$18,1),1)),1)*IF($F366="Grøntsager",IF($A366="Grøntsager i drivhus",Landbrug!C$51,1-Landbrug!C$51),1)</f>
        <v>#REF!</v>
      </c>
      <c r="I366" s="303" t="e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input'!$A$3:$A$230,$A$1)),IF(VLOOKUP($A366,[1]!Table1[#All],2,FALSE)="Resultat",SUMIF($F$1:$F365,$D366,I$1:I365)+SUMIF($F367:$F$490,$D366,I367:I$490),0))*'[1]Processer - data'!I366,"")*IF($C366&lt;&gt;"",IF($F366="Halm",Landbrug!D$16*Landbrug!D$17,IF(LEFT($D366,5)="Areal", IF($G366="Ton",Landbrug!D$18,1),1)),1)*IF($F366="Grøntsager",IF($A366="Grøntsager i drivhus",Landbrug!D$51,1-Landbrug!D$51),1)</f>
        <v>#REF!</v>
      </c>
      <c r="J366" s="304" t="e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input'!$A$3:$A$230,$A$1)),IF(VLOOKUP($A366,[1]!Table1[#All],2,FALSE)="Resultat",SUMIF($F$1:$F365,$D366,J$1:J365)+SUMIF($F367:$F$490,$D366,J367:J$490),0))*'[1]Processer - data'!J366,"")*IF($C366&lt;&gt;"",IF($F366="Halm",Landbrug!E$16*Landbrug!E$17,IF(LEFT($D366,5)="Areal", IF($G366="Ton",Landbrug!E$18,1),1)),1)*IF($F366="Grøntsager",IF($A366="Grøntsager i drivhus",Landbrug!E$51,1-Landbrug!E$51),1)</f>
        <v>#REF!</v>
      </c>
    </row>
    <row r="367" spans="1:10" x14ac:dyDescent="0.25">
      <c r="A367" t="str">
        <f>IF('[1]Processer - data'!A367&lt;&gt;"",'[1]Processer - data'!A367,"")</f>
        <v>Pil- og poppeldyrkning</v>
      </c>
      <c r="B367" t="str">
        <f>IF('[1]Processer - data'!B367&lt;&gt;"",'[1]Processer - data'!B367,"")</f>
        <v>Konventionel</v>
      </c>
      <c r="C367" t="str">
        <f>IF('[1]Processer - data'!C367&lt;&gt;"",'[1]Processer - data'!C367,"")</f>
        <v>JB1-10</v>
      </c>
      <c r="D367" t="str">
        <f>IF('[1]Processer - data'!D367&lt;&gt;"",'[1]Processer - data'!D367,"")</f>
        <v>Areal-pil-poppel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2" t="e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input'!$A$3:$A$230,$A$1)),IF(VLOOKUP($A367,[1]!Table1[#All],2,FALSE)="Resultat",SUMIF($F$1:$F366,$D367,H$1:H366)+SUMIF($F368:$F$490,$D367,H368:H$490),0))*'[1]Processer - data'!H367,"")*IF($C367&lt;&gt;"",IF($F367="Halm",Landbrug!C$16*Landbrug!C$17,IF(LEFT($D367,5)="Areal", IF($G367="Ton",Landbrug!C$18,1),1)),1)*IF($F367="Grøntsager",IF($A367="Grøntsager i drivhus",Landbrug!C$51,1-Landbrug!C$51),1)</f>
        <v>#REF!</v>
      </c>
      <c r="I367" s="303" t="e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input'!$A$3:$A$230,$A$1)),IF(VLOOKUP($A367,[1]!Table1[#All],2,FALSE)="Resultat",SUMIF($F$1:$F366,$D367,I$1:I366)+SUMIF($F368:$F$490,$D367,I368:I$490),0))*'[1]Processer - data'!I367,"")*IF($C367&lt;&gt;"",IF($F367="Halm",Landbrug!D$16*Landbrug!D$17,IF(LEFT($D367,5)="Areal", IF($G367="Ton",Landbrug!D$18,1),1)),1)*IF($F367="Grøntsager",IF($A367="Grøntsager i drivhus",Landbrug!D$51,1-Landbrug!D$51),1)</f>
        <v>#REF!</v>
      </c>
      <c r="J367" s="304" t="e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input'!$A$3:$A$230,$A$1)),IF(VLOOKUP($A367,[1]!Table1[#All],2,FALSE)="Resultat",SUMIF($F$1:$F366,$D367,J$1:J366)+SUMIF($F368:$F$490,$D367,J368:J$490),0))*'[1]Processer - data'!J367,"")*IF($C367&lt;&gt;"",IF($F367="Halm",Landbrug!E$16*Landbrug!E$17,IF(LEFT($D367,5)="Areal", IF($G367="Ton",Landbrug!E$18,1),1)),1)*IF($F367="Grøntsager",IF($A367="Grøntsager i drivhus",Landbrug!E$51,1-Landbrug!E$51),1)</f>
        <v>#REF!</v>
      </c>
    </row>
    <row r="368" spans="1:10" x14ac:dyDescent="0.25">
      <c r="A368" t="str">
        <f>IF('[1]Processer - data'!A368&lt;&gt;"",'[1]Processer - data'!A368,"")</f>
        <v>Pil- og poppeldyrkning</v>
      </c>
      <c r="B368" t="str">
        <f>IF('[1]Processer - data'!B368&lt;&gt;"",'[1]Processer - data'!B368,"")</f>
        <v>Konventionel</v>
      </c>
      <c r="C368" t="str">
        <f>IF('[1]Processer - data'!C368&lt;&gt;"",'[1]Processer - data'!C368,"")</f>
        <v>JB1-10</v>
      </c>
      <c r="D368" t="str">
        <f>IF('[1]Processer - data'!D368&lt;&gt;"",'[1]Processer - data'!D368,"")</f>
        <v>Areal-pil-poppel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2" t="e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input'!$A$3:$A$230,$A$1)),IF(VLOOKUP($A368,[1]!Table1[#All],2,FALSE)="Resultat",SUMIF($F$1:$F367,$D368,H$1:H367)+SUMIF($F369:$F$490,$D368,H369:H$490),0))*'[1]Processer - data'!H368,"")*IF($C368&lt;&gt;"",IF($F368="Halm",Landbrug!C$16*Landbrug!C$17,IF(LEFT($D368,5)="Areal", IF($G368="Ton",Landbrug!C$18,1),1)),1)*IF($F368="Grøntsager",IF($A368="Grøntsager i drivhus",Landbrug!C$51,1-Landbrug!C$51),1)</f>
        <v>#REF!</v>
      </c>
      <c r="I368" s="303" t="e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input'!$A$3:$A$230,$A$1)),IF(VLOOKUP($A368,[1]!Table1[#All],2,FALSE)="Resultat",SUMIF($F$1:$F367,$D368,I$1:I367)+SUMIF($F369:$F$490,$D368,I369:I$490),0))*'[1]Processer - data'!I368,"")*IF($C368&lt;&gt;"",IF($F368="Halm",Landbrug!D$16*Landbrug!D$17,IF(LEFT($D368,5)="Areal", IF($G368="Ton",Landbrug!D$18,1),1)),1)*IF($F368="Grøntsager",IF($A368="Grøntsager i drivhus",Landbrug!D$51,1-Landbrug!D$51),1)</f>
        <v>#REF!</v>
      </c>
      <c r="J368" s="304" t="e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input'!$A$3:$A$230,$A$1)),IF(VLOOKUP($A368,[1]!Table1[#All],2,FALSE)="Resultat",SUMIF($F$1:$F367,$D368,J$1:J367)+SUMIF($F369:$F$490,$D368,J369:J$490),0))*'[1]Processer - data'!J368,"")*IF($C368&lt;&gt;"",IF($F368="Halm",Landbrug!E$16*Landbrug!E$17,IF(LEFT($D368,5)="Areal", IF($G368="Ton",Landbrug!E$18,1),1)),1)*IF($F368="Grøntsager",IF($A368="Grøntsager i drivhus",Landbrug!E$51,1-Landbrug!E$51),1)</f>
        <v>#REF!</v>
      </c>
    </row>
    <row r="369" spans="1:10" x14ac:dyDescent="0.25">
      <c r="A369" t="str">
        <f>IF('[1]Processer - data'!A369&lt;&gt;"",'[1]Processer - data'!A369,"")</f>
        <v>Pil- og poppeldyrkning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OC6</v>
      </c>
      <c r="D369" t="str">
        <f>IF('[1]Processer - data'!D369&lt;&gt;"",'[1]Processer - data'!D369,"")</f>
        <v>Areal-pil-poppel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Pil &amp; poppel</v>
      </c>
      <c r="G369" t="str">
        <f>IF('[1]Processer - data'!G369&lt;&gt;"",'[1]Processer - data'!G369,"")</f>
        <v>Ton</v>
      </c>
      <c r="H369" s="302" t="e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input'!$A$3:$A$230,$A$1)),IF(VLOOKUP($A369,[1]!Table1[#All],2,FALSE)="Resultat",SUMIF($F$1:$F368,$D369,H$1:H368)+SUMIF($F370:$F$490,$D369,H370:H$490),0))*'[1]Processer - data'!H369,"")*IF($C369&lt;&gt;"",IF($F369="Halm",Landbrug!C$16*Landbrug!C$17,IF(LEFT($D369,5)="Areal", IF($G369="Ton",Landbrug!C$18,1),1)),1)*IF($F369="Grøntsager",IF($A369="Grøntsager i drivhus",Landbrug!C$51,1-Landbrug!C$51),1)</f>
        <v>#REF!</v>
      </c>
      <c r="I369" s="303" t="e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input'!$A$3:$A$230,$A$1)),IF(VLOOKUP($A369,[1]!Table1[#All],2,FALSE)="Resultat",SUMIF($F$1:$F368,$D369,I$1:I368)+SUMIF($F370:$F$490,$D369,I370:I$490),0))*'[1]Processer - data'!I369,"")*IF($C369&lt;&gt;"",IF($F369="Halm",Landbrug!D$16*Landbrug!D$17,IF(LEFT($D369,5)="Areal", IF($G369="Ton",Landbrug!D$18,1),1)),1)*IF($F369="Grøntsager",IF($A369="Grøntsager i drivhus",Landbrug!D$51,1-Landbrug!D$51),1)</f>
        <v>#REF!</v>
      </c>
      <c r="J369" s="304" t="e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input'!$A$3:$A$230,$A$1)),IF(VLOOKUP($A369,[1]!Table1[#All],2,FALSE)="Resultat",SUMIF($F$1:$F368,$D369,J$1:J368)+SUMIF($F370:$F$490,$D369,J370:J$490),0))*'[1]Processer - data'!J369,"")*IF($C369&lt;&gt;"",IF($F369="Halm",Landbrug!E$16*Landbrug!E$17,IF(LEFT($D369,5)="Areal", IF($G369="Ton",Landbrug!E$18,1),1)),1)*IF($F369="Grøntsager",IF($A369="Grøntsager i drivhus",Landbrug!E$51,1-Landbrug!E$51),1)</f>
        <v>#REF!</v>
      </c>
    </row>
    <row r="370" spans="1:10" x14ac:dyDescent="0.25">
      <c r="A370" t="str">
        <f>IF('[1]Processer - data'!A370&lt;&gt;"",'[1]Processer - data'!A370,"")</f>
        <v>Pil- og poppeldyrkning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OC6</v>
      </c>
      <c r="D370" t="str">
        <f>IF('[1]Processer - data'!D370&lt;&gt;"",'[1]Processer - data'!D370,"")</f>
        <v>Areal-pil-poppel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2" t="e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input'!$A$3:$A$230,$A$1)),IF(VLOOKUP($A370,[1]!Table1[#All],2,FALSE)="Resultat",SUMIF($F$1:$F369,$D370,H$1:H369)+SUMIF($F371:$F$490,$D370,H371:H$490),0))*'[1]Processer - data'!H370,"")*IF($C370&lt;&gt;"",IF($F370="Halm",Landbrug!C$16*Landbrug!C$17,IF(LEFT($D370,5)="Areal", IF($G370="Ton",Landbrug!C$18,1),1)),1)*IF($F370="Grøntsager",IF($A370="Grøntsager i drivhus",Landbrug!C$51,1-Landbrug!C$51),1)</f>
        <v>#REF!</v>
      </c>
      <c r="I370" s="303" t="e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input'!$A$3:$A$230,$A$1)),IF(VLOOKUP($A370,[1]!Table1[#All],2,FALSE)="Resultat",SUMIF($F$1:$F369,$D370,I$1:I369)+SUMIF($F371:$F$490,$D370,I371:I$490),0))*'[1]Processer - data'!I370,"")*IF($C370&lt;&gt;"",IF($F370="Halm",Landbrug!D$16*Landbrug!D$17,IF(LEFT($D370,5)="Areal", IF($G370="Ton",Landbrug!D$18,1),1)),1)*IF($F370="Grøntsager",IF($A370="Grøntsager i drivhus",Landbrug!D$51,1-Landbrug!D$51),1)</f>
        <v>#REF!</v>
      </c>
      <c r="J370" s="304" t="e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input'!$A$3:$A$230,$A$1)),IF(VLOOKUP($A370,[1]!Table1[#All],2,FALSE)="Resultat",SUMIF($F$1:$F369,$D370,J$1:J369)+SUMIF($F371:$F$490,$D370,J371:J$490),0))*'[1]Processer - data'!J370,"")*IF($C370&lt;&gt;"",IF($F370="Halm",Landbrug!E$16*Landbrug!E$17,IF(LEFT($D370,5)="Areal", IF($G370="Ton",Landbrug!E$18,1),1)),1)*IF($F370="Grøntsager",IF($A370="Grøntsager i drivhus",Landbrug!E$51,1-Landbrug!E$51),1)</f>
        <v>#REF!</v>
      </c>
    </row>
    <row r="371" spans="1:10" x14ac:dyDescent="0.25">
      <c r="A371" t="str">
        <f>IF('[1]Processer - data'!A371&lt;&gt;"",'[1]Processer - data'!A371,"")</f>
        <v>Pil- og poppeldyrkning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OC6</v>
      </c>
      <c r="D371" t="str">
        <f>IF('[1]Processer - data'!D371&lt;&gt;"",'[1]Processer - data'!D371,"")</f>
        <v>Areal-pil-poppel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2" t="e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input'!$A$3:$A$230,$A$1)),IF(VLOOKUP($A371,[1]!Table1[#All],2,FALSE)="Resultat",SUMIF($F$1:$F370,$D371,H$1:H370)+SUMIF($F372:$F$490,$D371,H372:H$490),0))*'[1]Processer - data'!H371,"")*IF($C371&lt;&gt;"",IF($F371="Halm",Landbrug!C$16*Landbrug!C$17,IF(LEFT($D371,5)="Areal", IF($G371="Ton",Landbrug!C$18,1),1)),1)*IF($F371="Grøntsager",IF($A371="Grøntsager i drivhus",Landbrug!C$51,1-Landbrug!C$51),1)</f>
        <v>#REF!</v>
      </c>
      <c r="I371" s="303" t="e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input'!$A$3:$A$230,$A$1)),IF(VLOOKUP($A371,[1]!Table1[#All],2,FALSE)="Resultat",SUMIF($F$1:$F370,$D371,I$1:I370)+SUMIF($F372:$F$490,$D371,I372:I$490),0))*'[1]Processer - data'!I371,"")*IF($C371&lt;&gt;"",IF($F371="Halm",Landbrug!D$16*Landbrug!D$17,IF(LEFT($D371,5)="Areal", IF($G371="Ton",Landbrug!D$18,1),1)),1)*IF($F371="Grøntsager",IF($A371="Grøntsager i drivhus",Landbrug!D$51,1-Landbrug!D$51),1)</f>
        <v>#REF!</v>
      </c>
      <c r="J371" s="304" t="e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input'!$A$3:$A$230,$A$1)),IF(VLOOKUP($A371,[1]!Table1[#All],2,FALSE)="Resultat",SUMIF($F$1:$F370,$D371,J$1:J370)+SUMIF($F372:$F$490,$D371,J372:J$490),0))*'[1]Processer - data'!J371,"")*IF($C371&lt;&gt;"",IF($F371="Halm",Landbrug!E$16*Landbrug!E$17,IF(LEFT($D371,5)="Areal", IF($G371="Ton",Landbrug!E$18,1),1)),1)*IF($F371="Grøntsager",IF($A371="Grøntsager i drivhus",Landbrug!E$51,1-Landbrug!E$51),1)</f>
        <v>#REF!</v>
      </c>
    </row>
    <row r="372" spans="1:10" x14ac:dyDescent="0.25">
      <c r="A372" t="str">
        <f>IF('[1]Processer - data'!A372&lt;&gt;"",'[1]Processer - data'!A372,"")</f>
        <v>Pil- og poppeldyrkning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OC12</v>
      </c>
      <c r="D372" t="str">
        <f>IF('[1]Processer - data'!D372&lt;&gt;"",'[1]Processer - data'!D372,"")</f>
        <v>Areal-pil-poppel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Pil &amp; poppel</v>
      </c>
      <c r="G372" t="str">
        <f>IF('[1]Processer - data'!G372&lt;&gt;"",'[1]Processer - data'!G372,"")</f>
        <v>Ton</v>
      </c>
      <c r="H372" s="302" t="e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input'!$A$3:$A$230,$A$1)),IF(VLOOKUP($A372,[1]!Table1[#All],2,FALSE)="Resultat",SUMIF($F$1:$F371,$D372,H$1:H371)+SUMIF($F373:$F$490,$D372,H373:H$490),0))*'[1]Processer - data'!H372,"")*IF($C372&lt;&gt;"",IF($F372="Halm",Landbrug!C$16*Landbrug!C$17,IF(LEFT($D372,5)="Areal", IF($G372="Ton",Landbrug!C$18,1),1)),1)*IF($F372="Grøntsager",IF($A372="Grøntsager i drivhus",Landbrug!C$51,1-Landbrug!C$51),1)</f>
        <v>#REF!</v>
      </c>
      <c r="I372" s="303" t="e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input'!$A$3:$A$230,$A$1)),IF(VLOOKUP($A372,[1]!Table1[#All],2,FALSE)="Resultat",SUMIF($F$1:$F371,$D372,I$1:I371)+SUMIF($F373:$F$490,$D372,I373:I$490),0))*'[1]Processer - data'!I372,"")*IF($C372&lt;&gt;"",IF($F372="Halm",Landbrug!D$16*Landbrug!D$17,IF(LEFT($D372,5)="Areal", IF($G372="Ton",Landbrug!D$18,1),1)),1)*IF($F372="Grøntsager",IF($A372="Grøntsager i drivhus",Landbrug!D$51,1-Landbrug!D$51),1)</f>
        <v>#REF!</v>
      </c>
      <c r="J372" s="304" t="e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input'!$A$3:$A$230,$A$1)),IF(VLOOKUP($A372,[1]!Table1[#All],2,FALSE)="Resultat",SUMIF($F$1:$F371,$D372,J$1:J371)+SUMIF($F373:$F$490,$D372,J373:J$490),0))*'[1]Processer - data'!J372,"")*IF($C372&lt;&gt;"",IF($F372="Halm",Landbrug!E$16*Landbrug!E$17,IF(LEFT($D372,5)="Areal", IF($G372="Ton",Landbrug!E$18,1),1)),1)*IF($F372="Grøntsager",IF($A372="Grøntsager i drivhus",Landbrug!E$51,1-Landbrug!E$51),1)</f>
        <v>#REF!</v>
      </c>
    </row>
    <row r="373" spans="1:10" x14ac:dyDescent="0.25">
      <c r="A373" t="str">
        <f>IF('[1]Processer - data'!A373&lt;&gt;"",'[1]Processer - data'!A373,"")</f>
        <v>Pil- og poppeldyrkning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OC12</v>
      </c>
      <c r="D373" t="str">
        <f>IF('[1]Processer - data'!D373&lt;&gt;"",'[1]Processer - data'!D373,"")</f>
        <v>Areal-pil-poppel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2" t="e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input'!$A$3:$A$230,$A$1)),IF(VLOOKUP($A373,[1]!Table1[#All],2,FALSE)="Resultat",SUMIF($F$1:$F372,$D373,H$1:H372)+SUMIF($F374:$F$490,$D373,H374:H$490),0))*'[1]Processer - data'!H373,"")*IF($C373&lt;&gt;"",IF($F373="Halm",Landbrug!C$16*Landbrug!C$17,IF(LEFT($D373,5)="Areal", IF($G373="Ton",Landbrug!C$18,1),1)),1)*IF($F373="Grøntsager",IF($A373="Grøntsager i drivhus",Landbrug!C$51,1-Landbrug!C$51),1)</f>
        <v>#REF!</v>
      </c>
      <c r="I373" s="303" t="e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input'!$A$3:$A$230,$A$1)),IF(VLOOKUP($A373,[1]!Table1[#All],2,FALSE)="Resultat",SUMIF($F$1:$F372,$D373,I$1:I372)+SUMIF($F374:$F$490,$D373,I374:I$490),0))*'[1]Processer - data'!I373,"")*IF($C373&lt;&gt;"",IF($F373="Halm",Landbrug!D$16*Landbrug!D$17,IF(LEFT($D373,5)="Areal", IF($G373="Ton",Landbrug!D$18,1),1)),1)*IF($F373="Grøntsager",IF($A373="Grøntsager i drivhus",Landbrug!D$51,1-Landbrug!D$51),1)</f>
        <v>#REF!</v>
      </c>
      <c r="J373" s="304" t="e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input'!$A$3:$A$230,$A$1)),IF(VLOOKUP($A373,[1]!Table1[#All],2,FALSE)="Resultat",SUMIF($F$1:$F372,$D373,J$1:J372)+SUMIF($F374:$F$490,$D373,J374:J$490),0))*'[1]Processer - data'!J373,"")*IF($C373&lt;&gt;"",IF($F373="Halm",Landbrug!E$16*Landbrug!E$17,IF(LEFT($D373,5)="Areal", IF($G373="Ton",Landbrug!E$18,1),1)),1)*IF($F373="Grøntsager",IF($A373="Grøntsager i drivhus",Landbrug!E$51,1-Landbrug!E$51),1)</f>
        <v>#REF!</v>
      </c>
    </row>
    <row r="374" spans="1:10" x14ac:dyDescent="0.25">
      <c r="A374" t="str">
        <f>IF('[1]Processer - data'!A374&lt;&gt;"",'[1]Processer - data'!A374,"")</f>
        <v>Pil- og poppeldyrkning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OC12</v>
      </c>
      <c r="D374" t="str">
        <f>IF('[1]Processer - data'!D374&lt;&gt;"",'[1]Processer - data'!D374,"")</f>
        <v>Areal-pil-poppel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2" t="e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input'!$A$3:$A$230,$A$1)),IF(VLOOKUP($A374,[1]!Table1[#All],2,FALSE)="Resultat",SUMIF($F$1:$F373,$D374,H$1:H373)+SUMIF($F375:$F$490,$D374,H375:H$490),0))*'[1]Processer - data'!H374,"")*IF($C374&lt;&gt;"",IF($F374="Halm",Landbrug!C$16*Landbrug!C$17,IF(LEFT($D374,5)="Areal", IF($G374="Ton",Landbrug!C$18,1),1)),1)*IF($F374="Grøntsager",IF($A374="Grøntsager i drivhus",Landbrug!C$51,1-Landbrug!C$51),1)</f>
        <v>#REF!</v>
      </c>
      <c r="I374" s="303" t="e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input'!$A$3:$A$230,$A$1)),IF(VLOOKUP($A374,[1]!Table1[#All],2,FALSE)="Resultat",SUMIF($F$1:$F373,$D374,I$1:I373)+SUMIF($F375:$F$490,$D374,I375:I$490),0))*'[1]Processer - data'!I374,"")*IF($C374&lt;&gt;"",IF($F374="Halm",Landbrug!D$16*Landbrug!D$17,IF(LEFT($D374,5)="Areal", IF($G374="Ton",Landbrug!D$18,1),1)),1)*IF($F374="Grøntsager",IF($A374="Grøntsager i drivhus",Landbrug!D$51,1-Landbrug!D$51),1)</f>
        <v>#REF!</v>
      </c>
      <c r="J374" s="304" t="e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input'!$A$3:$A$230,$A$1)),IF(VLOOKUP($A374,[1]!Table1[#All],2,FALSE)="Resultat",SUMIF($F$1:$F373,$D374,J$1:J373)+SUMIF($F375:$F$490,$D374,J375:J$490),0))*'[1]Processer - data'!J374,"")*IF($C374&lt;&gt;"",IF($F374="Halm",Landbrug!E$16*Landbrug!E$17,IF(LEFT($D374,5)="Areal", IF($G374="Ton",Landbrug!E$18,1),1)),1)*IF($F374="Grøntsager",IF($A374="Grøntsager i drivhus",Landbrug!E$51,1-Landbrug!E$51),1)</f>
        <v>#REF!</v>
      </c>
    </row>
    <row r="375" spans="1:10" x14ac:dyDescent="0.25">
      <c r="A375" t="str">
        <f>IF('[1]Processer - data'!A375&lt;&gt;"",'[1]Processer - data'!A375,"")</f>
        <v>Pil- og poppeldyrkning</v>
      </c>
      <c r="B375" t="str">
        <f>IF('[1]Processer - data'!B375&lt;&gt;"",'[1]Processer - data'!B375,"")</f>
        <v>Økologisk</v>
      </c>
      <c r="C375" t="str">
        <f>IF('[1]Processer - data'!C375&lt;&gt;"",'[1]Processer - data'!C375,"")</f>
        <v>JB1-10</v>
      </c>
      <c r="D375" t="str">
        <f>IF('[1]Processer - data'!D375&lt;&gt;"",'[1]Processer - data'!D375,"")</f>
        <v>Areal-pil-poppel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Pil &amp; poppel</v>
      </c>
      <c r="G375" t="str">
        <f>IF('[1]Processer - data'!G375&lt;&gt;"",'[1]Processer - data'!G375,"")</f>
        <v>Ton</v>
      </c>
      <c r="H375" s="302" t="e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input'!$A$3:$A$230,$A$1)),IF(VLOOKUP($A375,[1]!Table1[#All],2,FALSE)="Resultat",SUMIF($F$1:$F374,$D375,H$1:H374)+SUMIF($F376:$F$490,$D375,H376:H$490),0))*'[1]Processer - data'!H375,"")*IF($C375&lt;&gt;"",IF($F375="Halm",Landbrug!C$16*Landbrug!C$17,IF(LEFT($D375,5)="Areal", IF($G375="Ton",Landbrug!C$18,1),1)),1)*IF($F375="Grøntsager",IF($A375="Grøntsager i drivhus",Landbrug!C$51,1-Landbrug!C$51),1)</f>
        <v>#REF!</v>
      </c>
      <c r="I375" s="303" t="e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input'!$A$3:$A$230,$A$1)),IF(VLOOKUP($A375,[1]!Table1[#All],2,FALSE)="Resultat",SUMIF($F$1:$F374,$D375,I$1:I374)+SUMIF($F376:$F$490,$D375,I376:I$490),0))*'[1]Processer - data'!I375,"")*IF($C375&lt;&gt;"",IF($F375="Halm",Landbrug!D$16*Landbrug!D$17,IF(LEFT($D375,5)="Areal", IF($G375="Ton",Landbrug!D$18,1),1)),1)*IF($F375="Grøntsager",IF($A375="Grøntsager i drivhus",Landbrug!D$51,1-Landbrug!D$51),1)</f>
        <v>#REF!</v>
      </c>
      <c r="J375" s="304" t="e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input'!$A$3:$A$230,$A$1)),IF(VLOOKUP($A375,[1]!Table1[#All],2,FALSE)="Resultat",SUMIF($F$1:$F374,$D375,J$1:J374)+SUMIF($F376:$F$490,$D375,J376:J$490),0))*'[1]Processer - data'!J375,"")*IF($C375&lt;&gt;"",IF($F375="Halm",Landbrug!E$16*Landbrug!E$17,IF(LEFT($D375,5)="Areal", IF($G375="Ton",Landbrug!E$18,1),1)),1)*IF($F375="Grøntsager",IF($A375="Grøntsager i drivhus",Landbrug!E$51,1-Landbrug!E$51),1)</f>
        <v>#REF!</v>
      </c>
    </row>
    <row r="376" spans="1:10" x14ac:dyDescent="0.25">
      <c r="A376" t="str">
        <f>IF('[1]Processer - data'!A376&lt;&gt;"",'[1]Processer - data'!A376,"")</f>
        <v>Pil- og poppeldyrkning</v>
      </c>
      <c r="B376" t="str">
        <f>IF('[1]Processer - data'!B376&lt;&gt;"",'[1]Processer - data'!B376,"")</f>
        <v>Økologisk</v>
      </c>
      <c r="C376" t="str">
        <f>IF('[1]Processer - data'!C376&lt;&gt;"",'[1]Processer - data'!C376,"")</f>
        <v>JB1-10</v>
      </c>
      <c r="D376" t="str">
        <f>IF('[1]Processer - data'!D376&lt;&gt;"",'[1]Processer - data'!D376,"")</f>
        <v>Areal-pil-poppel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2" t="e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input'!$A$3:$A$230,$A$1)),IF(VLOOKUP($A376,[1]!Table1[#All],2,FALSE)="Resultat",SUMIF($F$1:$F375,$D376,H$1:H375)+SUMIF($F377:$F$490,$D376,H377:H$490),0))*'[1]Processer - data'!H376,"")*IF($C376&lt;&gt;"",IF($F376="Halm",Landbrug!C$16*Landbrug!C$17,IF(LEFT($D376,5)="Areal", IF($G376="Ton",Landbrug!C$18,1),1)),1)*IF($F376="Grøntsager",IF($A376="Grøntsager i drivhus",Landbrug!C$51,1-Landbrug!C$51),1)</f>
        <v>#REF!</v>
      </c>
      <c r="I376" s="303" t="e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input'!$A$3:$A$230,$A$1)),IF(VLOOKUP($A376,[1]!Table1[#All],2,FALSE)="Resultat",SUMIF($F$1:$F375,$D376,I$1:I375)+SUMIF($F377:$F$490,$D376,I377:I$490),0))*'[1]Processer - data'!I376,"")*IF($C376&lt;&gt;"",IF($F376="Halm",Landbrug!D$16*Landbrug!D$17,IF(LEFT($D376,5)="Areal", IF($G376="Ton",Landbrug!D$18,1),1)),1)*IF($F376="Grøntsager",IF($A376="Grøntsager i drivhus",Landbrug!D$51,1-Landbrug!D$51),1)</f>
        <v>#REF!</v>
      </c>
      <c r="J376" s="304" t="e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input'!$A$3:$A$230,$A$1)),IF(VLOOKUP($A376,[1]!Table1[#All],2,FALSE)="Resultat",SUMIF($F$1:$F375,$D376,J$1:J375)+SUMIF($F377:$F$490,$D376,J377:J$490),0))*'[1]Processer - data'!J376,"")*IF($C376&lt;&gt;"",IF($F376="Halm",Landbrug!E$16*Landbrug!E$17,IF(LEFT($D376,5)="Areal", IF($G376="Ton",Landbrug!E$18,1),1)),1)*IF($F376="Grøntsager",IF($A376="Grøntsager i drivhus",Landbrug!E$51,1-Landbrug!E$51),1)</f>
        <v>#REF!</v>
      </c>
    </row>
    <row r="377" spans="1:10" x14ac:dyDescent="0.25">
      <c r="A377" t="str">
        <f>IF('[1]Processer - data'!A377&lt;&gt;"",'[1]Processer - data'!A377,"")</f>
        <v>Pil- og poppeldyrkning</v>
      </c>
      <c r="B377" t="str">
        <f>IF('[1]Processer - data'!B377&lt;&gt;"",'[1]Processer - data'!B377,"")</f>
        <v>Økologisk</v>
      </c>
      <c r="C377" t="str">
        <f>IF('[1]Processer - data'!C377&lt;&gt;"",'[1]Processer - data'!C377,"")</f>
        <v>JB1-10</v>
      </c>
      <c r="D377" t="str">
        <f>IF('[1]Processer - data'!D377&lt;&gt;"",'[1]Processer - data'!D377,"")</f>
        <v>Areal-pil-poppel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2" t="e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input'!$A$3:$A$230,$A$1)),IF(VLOOKUP($A377,[1]!Table1[#All],2,FALSE)="Resultat",SUMIF($F$1:$F376,$D377,H$1:H376)+SUMIF($F378:$F$490,$D377,H378:H$490),0))*'[1]Processer - data'!H377,"")*IF($C377&lt;&gt;"",IF($F377="Halm",Landbrug!C$16*Landbrug!C$17,IF(LEFT($D377,5)="Areal", IF($G377="Ton",Landbrug!C$18,1),1)),1)*IF($F377="Grøntsager",IF($A377="Grøntsager i drivhus",Landbrug!C$51,1-Landbrug!C$51),1)</f>
        <v>#REF!</v>
      </c>
      <c r="I377" s="303" t="e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input'!$A$3:$A$230,$A$1)),IF(VLOOKUP($A377,[1]!Table1[#All],2,FALSE)="Resultat",SUMIF($F$1:$F376,$D377,I$1:I376)+SUMIF($F378:$F$490,$D377,I378:I$490),0))*'[1]Processer - data'!I377,"")*IF($C377&lt;&gt;"",IF($F377="Halm",Landbrug!D$16*Landbrug!D$17,IF(LEFT($D377,5)="Areal", IF($G377="Ton",Landbrug!D$18,1),1)),1)*IF($F377="Grøntsager",IF($A377="Grøntsager i drivhus",Landbrug!D$51,1-Landbrug!D$51),1)</f>
        <v>#REF!</v>
      </c>
      <c r="J377" s="304" t="e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input'!$A$3:$A$230,$A$1)),IF(VLOOKUP($A377,[1]!Table1[#All],2,FALSE)="Resultat",SUMIF($F$1:$F376,$D377,J$1:J376)+SUMIF($F378:$F$490,$D377,J378:J$490),0))*'[1]Processer - data'!J377,"")*IF($C377&lt;&gt;"",IF($F377="Halm",Landbrug!E$16*Landbrug!E$17,IF(LEFT($D377,5)="Areal", IF($G377="Ton",Landbrug!E$18,1),1)),1)*IF($F377="Grøntsager",IF($A377="Grøntsager i drivhus",Landbrug!E$51,1-Landbrug!E$51),1)</f>
        <v>#REF!</v>
      </c>
    </row>
    <row r="378" spans="1:10" x14ac:dyDescent="0.25">
      <c r="A378" t="str">
        <f>IF('[1]Processer - data'!A378&lt;&gt;"",'[1]Processer - data'!A378,"")</f>
        <v>Pil- og poppeldyrkning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OC6</v>
      </c>
      <c r="D378" t="str">
        <f>IF('[1]Processer - data'!D378&lt;&gt;"",'[1]Processer - data'!D378,"")</f>
        <v>Areal-pil-poppel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Pil &amp; poppel</v>
      </c>
      <c r="G378" t="str">
        <f>IF('[1]Processer - data'!G378&lt;&gt;"",'[1]Processer - data'!G378,"")</f>
        <v>Ton</v>
      </c>
      <c r="H378" s="302" t="e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input'!$A$3:$A$230,$A$1)),IF(VLOOKUP($A378,[1]!Table1[#All],2,FALSE)="Resultat",SUMIF($F$1:$F377,$D378,H$1:H377)+SUMIF($F379:$F$490,$D378,H379:H$490),0))*'[1]Processer - data'!H378,"")*IF($C378&lt;&gt;"",IF($F378="Halm",Landbrug!C$16*Landbrug!C$17,IF(LEFT($D378,5)="Areal", IF($G378="Ton",Landbrug!C$18,1),1)),1)*IF($F378="Grøntsager",IF($A378="Grøntsager i drivhus",Landbrug!C$51,1-Landbrug!C$51),1)</f>
        <v>#REF!</v>
      </c>
      <c r="I378" s="303" t="e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input'!$A$3:$A$230,$A$1)),IF(VLOOKUP($A378,[1]!Table1[#All],2,FALSE)="Resultat",SUMIF($F$1:$F377,$D378,I$1:I377)+SUMIF($F379:$F$490,$D378,I379:I$490),0))*'[1]Processer - data'!I378,"")*IF($C378&lt;&gt;"",IF($F378="Halm",Landbrug!D$16*Landbrug!D$17,IF(LEFT($D378,5)="Areal", IF($G378="Ton",Landbrug!D$18,1),1)),1)*IF($F378="Grøntsager",IF($A378="Grøntsager i drivhus",Landbrug!D$51,1-Landbrug!D$51),1)</f>
        <v>#REF!</v>
      </c>
      <c r="J378" s="304" t="e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input'!$A$3:$A$230,$A$1)),IF(VLOOKUP($A378,[1]!Table1[#All],2,FALSE)="Resultat",SUMIF($F$1:$F377,$D378,J$1:J377)+SUMIF($F379:$F$490,$D378,J379:J$490),0))*'[1]Processer - data'!J378,"")*IF($C378&lt;&gt;"",IF($F378="Halm",Landbrug!E$16*Landbrug!E$17,IF(LEFT($D378,5)="Areal", IF($G378="Ton",Landbrug!E$18,1),1)),1)*IF($F378="Grøntsager",IF($A378="Grøntsager i drivhus",Landbrug!E$51,1-Landbrug!E$51),1)</f>
        <v>#REF!</v>
      </c>
    </row>
    <row r="379" spans="1:10" x14ac:dyDescent="0.25">
      <c r="A379" t="str">
        <f>IF('[1]Processer - data'!A379&lt;&gt;"",'[1]Processer - data'!A379,"")</f>
        <v>Pil- og poppeldyrkning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OC6</v>
      </c>
      <c r="D379" t="str">
        <f>IF('[1]Processer - data'!D379&lt;&gt;"",'[1]Processer - data'!D379,"")</f>
        <v>Areal-pil-poppel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2" t="e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input'!$A$3:$A$230,$A$1)),IF(VLOOKUP($A379,[1]!Table1[#All],2,FALSE)="Resultat",SUMIF($F$1:$F378,$D379,H$1:H378)+SUMIF($F380:$F$490,$D379,H380:H$490),0))*'[1]Processer - data'!H379,"")*IF($C379&lt;&gt;"",IF($F379="Halm",Landbrug!C$16*Landbrug!C$17,IF(LEFT($D379,5)="Areal", IF($G379="Ton",Landbrug!C$18,1),1)),1)*IF($F379="Grøntsager",IF($A379="Grøntsager i drivhus",Landbrug!C$51,1-Landbrug!C$51),1)</f>
        <v>#REF!</v>
      </c>
      <c r="I379" s="303" t="e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input'!$A$3:$A$230,$A$1)),IF(VLOOKUP($A379,[1]!Table1[#All],2,FALSE)="Resultat",SUMIF($F$1:$F378,$D379,I$1:I378)+SUMIF($F380:$F$490,$D379,I380:I$490),0))*'[1]Processer - data'!I379,"")*IF($C379&lt;&gt;"",IF($F379="Halm",Landbrug!D$16*Landbrug!D$17,IF(LEFT($D379,5)="Areal", IF($G379="Ton",Landbrug!D$18,1),1)),1)*IF($F379="Grøntsager",IF($A379="Grøntsager i drivhus",Landbrug!D$51,1-Landbrug!D$51),1)</f>
        <v>#REF!</v>
      </c>
      <c r="J379" s="304" t="e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input'!$A$3:$A$230,$A$1)),IF(VLOOKUP($A379,[1]!Table1[#All],2,FALSE)="Resultat",SUMIF($F$1:$F378,$D379,J$1:J378)+SUMIF($F380:$F$490,$D379,J380:J$490),0))*'[1]Processer - data'!J379,"")*IF($C379&lt;&gt;"",IF($F379="Halm",Landbrug!E$16*Landbrug!E$17,IF(LEFT($D379,5)="Areal", IF($G379="Ton",Landbrug!E$18,1),1)),1)*IF($F379="Grøntsager",IF($A379="Grøntsager i drivhus",Landbrug!E$51,1-Landbrug!E$51),1)</f>
        <v>#REF!</v>
      </c>
    </row>
    <row r="380" spans="1:10" x14ac:dyDescent="0.25">
      <c r="A380" t="str">
        <f>IF('[1]Processer - data'!A380&lt;&gt;"",'[1]Processer - data'!A380,"")</f>
        <v>Pil- og poppeldyrkning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OC6</v>
      </c>
      <c r="D380" t="str">
        <f>IF('[1]Processer - data'!D380&lt;&gt;"",'[1]Processer - data'!D380,"")</f>
        <v>Areal-pil-poppel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2" t="e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input'!$A$3:$A$230,$A$1)),IF(VLOOKUP($A380,[1]!Table1[#All],2,FALSE)="Resultat",SUMIF($F$1:$F379,$D380,H$1:H379)+SUMIF($F381:$F$490,$D380,H381:H$490),0))*'[1]Processer - data'!H380,"")*IF($C380&lt;&gt;"",IF($F380="Halm",Landbrug!C$16*Landbrug!C$17,IF(LEFT($D380,5)="Areal", IF($G380="Ton",Landbrug!C$18,1),1)),1)*IF($F380="Grøntsager",IF($A380="Grøntsager i drivhus",Landbrug!C$51,1-Landbrug!C$51),1)</f>
        <v>#REF!</v>
      </c>
      <c r="I380" s="303" t="e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input'!$A$3:$A$230,$A$1)),IF(VLOOKUP($A380,[1]!Table1[#All],2,FALSE)="Resultat",SUMIF($F$1:$F379,$D380,I$1:I379)+SUMIF($F381:$F$490,$D380,I381:I$490),0))*'[1]Processer - data'!I380,"")*IF($C380&lt;&gt;"",IF($F380="Halm",Landbrug!D$16*Landbrug!D$17,IF(LEFT($D380,5)="Areal", IF($G380="Ton",Landbrug!D$18,1),1)),1)*IF($F380="Grøntsager",IF($A380="Grøntsager i drivhus",Landbrug!D$51,1-Landbrug!D$51),1)</f>
        <v>#REF!</v>
      </c>
      <c r="J380" s="304" t="e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input'!$A$3:$A$230,$A$1)),IF(VLOOKUP($A380,[1]!Table1[#All],2,FALSE)="Resultat",SUMIF($F$1:$F379,$D380,J$1:J379)+SUMIF($F381:$F$490,$D380,J381:J$490),0))*'[1]Processer - data'!J380,"")*IF($C380&lt;&gt;"",IF($F380="Halm",Landbrug!E$16*Landbrug!E$17,IF(LEFT($D380,5)="Areal", IF($G380="Ton",Landbrug!E$18,1),1)),1)*IF($F380="Grøntsager",IF($A380="Grøntsager i drivhus",Landbrug!E$51,1-Landbrug!E$51),1)</f>
        <v>#REF!</v>
      </c>
    </row>
    <row r="381" spans="1:10" x14ac:dyDescent="0.25">
      <c r="A381" t="str">
        <f>IF('[1]Processer - data'!A381&lt;&gt;"",'[1]Processer - data'!A381,"")</f>
        <v>Pil- og poppeldyrkning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OC12</v>
      </c>
      <c r="D381" t="str">
        <f>IF('[1]Processer - data'!D381&lt;&gt;"",'[1]Processer - data'!D381,"")</f>
        <v>Areal-pil-poppel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Pil &amp; poppel</v>
      </c>
      <c r="G381" t="str">
        <f>IF('[1]Processer - data'!G381&lt;&gt;"",'[1]Processer - data'!G381,"")</f>
        <v>Ton</v>
      </c>
      <c r="H381" s="302" t="e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input'!$A$3:$A$230,$A$1)),IF(VLOOKUP($A381,[1]!Table1[#All],2,FALSE)="Resultat",SUMIF($F$1:$F380,$D381,H$1:H380)+SUMIF($F382:$F$490,$D381,H382:H$490),0))*'[1]Processer - data'!H381,"")*IF($C381&lt;&gt;"",IF($F381="Halm",Landbrug!C$16*Landbrug!C$17,IF(LEFT($D381,5)="Areal", IF($G381="Ton",Landbrug!C$18,1),1)),1)*IF($F381="Grøntsager",IF($A381="Grøntsager i drivhus",Landbrug!C$51,1-Landbrug!C$51),1)</f>
        <v>#REF!</v>
      </c>
      <c r="I381" s="303" t="e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input'!$A$3:$A$230,$A$1)),IF(VLOOKUP($A381,[1]!Table1[#All],2,FALSE)="Resultat",SUMIF($F$1:$F380,$D381,I$1:I380)+SUMIF($F382:$F$490,$D381,I382:I$490),0))*'[1]Processer - data'!I381,"")*IF($C381&lt;&gt;"",IF($F381="Halm",Landbrug!D$16*Landbrug!D$17,IF(LEFT($D381,5)="Areal", IF($G381="Ton",Landbrug!D$18,1),1)),1)*IF($F381="Grøntsager",IF($A381="Grøntsager i drivhus",Landbrug!D$51,1-Landbrug!D$51),1)</f>
        <v>#REF!</v>
      </c>
      <c r="J381" s="304" t="e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input'!$A$3:$A$230,$A$1)),IF(VLOOKUP($A381,[1]!Table1[#All],2,FALSE)="Resultat",SUMIF($F$1:$F380,$D381,J$1:J380)+SUMIF($F382:$F$490,$D381,J382:J$490),0))*'[1]Processer - data'!J381,"")*IF($C381&lt;&gt;"",IF($F381="Halm",Landbrug!E$16*Landbrug!E$17,IF(LEFT($D381,5)="Areal", IF($G381="Ton",Landbrug!E$18,1),1)),1)*IF($F381="Grøntsager",IF($A381="Grøntsager i drivhus",Landbrug!E$51,1-Landbrug!E$51),1)</f>
        <v>#REF!</v>
      </c>
    </row>
    <row r="382" spans="1:10" x14ac:dyDescent="0.25">
      <c r="A382" t="str">
        <f>IF('[1]Processer - data'!A382&lt;&gt;"",'[1]Processer - data'!A382,"")</f>
        <v>Pil- og poppeldyrkning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OC12</v>
      </c>
      <c r="D382" t="str">
        <f>IF('[1]Processer - data'!D382&lt;&gt;"",'[1]Processer - data'!D382,"")</f>
        <v>Areal-pil-poppel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2" t="e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input'!$A$3:$A$230,$A$1)),IF(VLOOKUP($A382,[1]!Table1[#All],2,FALSE)="Resultat",SUMIF($F$1:$F381,$D382,H$1:H381)+SUMIF($F383:$F$490,$D382,H383:H$490),0))*'[1]Processer - data'!H382,"")*IF($C382&lt;&gt;"",IF($F382="Halm",Landbrug!C$16*Landbrug!C$17,IF(LEFT($D382,5)="Areal", IF($G382="Ton",Landbrug!C$18,1),1)),1)*IF($F382="Grøntsager",IF($A382="Grøntsager i drivhus",Landbrug!C$51,1-Landbrug!C$51),1)</f>
        <v>#REF!</v>
      </c>
      <c r="I382" s="303" t="e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input'!$A$3:$A$230,$A$1)),IF(VLOOKUP($A382,[1]!Table1[#All],2,FALSE)="Resultat",SUMIF($F$1:$F381,$D382,I$1:I381)+SUMIF($F383:$F$490,$D382,I383:I$490),0))*'[1]Processer - data'!I382,"")*IF($C382&lt;&gt;"",IF($F382="Halm",Landbrug!D$16*Landbrug!D$17,IF(LEFT($D382,5)="Areal", IF($G382="Ton",Landbrug!D$18,1),1)),1)*IF($F382="Grøntsager",IF($A382="Grøntsager i drivhus",Landbrug!D$51,1-Landbrug!D$51),1)</f>
        <v>#REF!</v>
      </c>
      <c r="J382" s="304" t="e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input'!$A$3:$A$230,$A$1)),IF(VLOOKUP($A382,[1]!Table1[#All],2,FALSE)="Resultat",SUMIF($F$1:$F381,$D382,J$1:J381)+SUMIF($F383:$F$490,$D382,J383:J$490),0))*'[1]Processer - data'!J382,"")*IF($C382&lt;&gt;"",IF($F382="Halm",Landbrug!E$16*Landbrug!E$17,IF(LEFT($D382,5)="Areal", IF($G382="Ton",Landbrug!E$18,1),1)),1)*IF($F382="Grøntsager",IF($A382="Grøntsager i drivhus",Landbrug!E$51,1-Landbrug!E$51),1)</f>
        <v>#REF!</v>
      </c>
    </row>
    <row r="383" spans="1:10" x14ac:dyDescent="0.25">
      <c r="A383" t="str">
        <f>IF('[1]Processer - data'!A383&lt;&gt;"",'[1]Processer - data'!A383,"")</f>
        <v>Pil- og poppeldyrkning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OC12</v>
      </c>
      <c r="D383" t="str">
        <f>IF('[1]Processer - data'!D383&lt;&gt;"",'[1]Processer - data'!D383,"")</f>
        <v>Areal-pil-poppel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2" t="e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input'!$A$3:$A$230,$A$1)),IF(VLOOKUP($A383,[1]!Table1[#All],2,FALSE)="Resultat",SUMIF($F$1:$F382,$D383,H$1:H382)+SUMIF($F384:$F$490,$D383,H384:H$490),0))*'[1]Processer - data'!H383,"")*IF($C383&lt;&gt;"",IF($F383="Halm",Landbrug!C$16*Landbrug!C$17,IF(LEFT($D383,5)="Areal", IF($G383="Ton",Landbrug!C$18,1),1)),1)*IF($F383="Grøntsager",IF($A383="Grøntsager i drivhus",Landbrug!C$51,1-Landbrug!C$51),1)</f>
        <v>#REF!</v>
      </c>
      <c r="I383" s="303" t="e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input'!$A$3:$A$230,$A$1)),IF(VLOOKUP($A383,[1]!Table1[#All],2,FALSE)="Resultat",SUMIF($F$1:$F382,$D383,I$1:I382)+SUMIF($F384:$F$490,$D383,I384:I$490),0))*'[1]Processer - data'!I383,"")*IF($C383&lt;&gt;"",IF($F383="Halm",Landbrug!D$16*Landbrug!D$17,IF(LEFT($D383,5)="Areal", IF($G383="Ton",Landbrug!D$18,1),1)),1)*IF($F383="Grøntsager",IF($A383="Grøntsager i drivhus",Landbrug!D$51,1-Landbrug!D$51),1)</f>
        <v>#REF!</v>
      </c>
      <c r="J383" s="304" t="e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input'!$A$3:$A$230,$A$1)),IF(VLOOKUP($A383,[1]!Table1[#All],2,FALSE)="Resultat",SUMIF($F$1:$F382,$D383,J$1:J382)+SUMIF($F384:$F$490,$D383,J384:J$490),0))*'[1]Processer - data'!J383,"")*IF($C383&lt;&gt;"",IF($F383="Halm",Landbrug!E$16*Landbrug!E$17,IF(LEFT($D383,5)="Areal", IF($G383="Ton",Landbrug!E$18,1),1)),1)*IF($F383="Grøntsager",IF($A383="Grøntsager i drivhus",Landbrug!E$51,1-Landbrug!E$51),1)</f>
        <v>#REF!</v>
      </c>
    </row>
    <row r="384" spans="1:10" x14ac:dyDescent="0.25">
      <c r="A384" t="str">
        <f>IF('[1]Processer - data'!A384&lt;&gt;"",'[1]Processer - data'!A384,"")</f>
        <v>Permanent græs</v>
      </c>
      <c r="B384" t="str">
        <f>IF('[1]Processer - data'!B384&lt;&gt;"",'[1]Processer - data'!B384,"")</f>
        <v>Konventionel</v>
      </c>
      <c r="C384" t="str">
        <f>IF('[1]Processer - data'!C384&lt;&gt;"",'[1]Processer - data'!C384,"")</f>
        <v>JB1-10</v>
      </c>
      <c r="D384" t="str">
        <f>IF('[1]Processer - data'!D384&lt;&gt;"",'[1]Processer - data'!D384,"")</f>
        <v>Areal-permanent græs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Græs</v>
      </c>
      <c r="G384" t="str">
        <f>IF('[1]Processer - data'!G384&lt;&gt;"",'[1]Processer - data'!G384,"")</f>
        <v>Ton</v>
      </c>
      <c r="H384" s="302" t="e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input'!$A$3:$A$230,$A$1)),IF(VLOOKUP($A384,[1]!Table1[#All],2,FALSE)="Resultat",SUMIF($F$1:$F383,$D384,H$1:H383)+SUMIF($F385:$F$490,$D384,H385:H$490),0))*'[1]Processer - data'!H384,"")*IF($C384&lt;&gt;"",IF($F384="Halm",Landbrug!C$16*Landbrug!C$17,IF(LEFT($D384,5)="Areal", IF($G384="Ton",Landbrug!C$18,1),1)),1)*IF($F384="Grøntsager",IF($A384="Grøntsager i drivhus",Landbrug!C$51,1-Landbrug!C$51),1)</f>
        <v>#REF!</v>
      </c>
      <c r="I384" s="303" t="e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input'!$A$3:$A$230,$A$1)),IF(VLOOKUP($A384,[1]!Table1[#All],2,FALSE)="Resultat",SUMIF($F$1:$F383,$D384,I$1:I383)+SUMIF($F385:$F$490,$D384,I385:I$490),0))*'[1]Processer - data'!I384,"")*IF($C384&lt;&gt;"",IF($F384="Halm",Landbrug!D$16*Landbrug!D$17,IF(LEFT($D384,5)="Areal", IF($G384="Ton",Landbrug!D$18,1),1)),1)*IF($F384="Grøntsager",IF($A384="Grøntsager i drivhus",Landbrug!D$51,1-Landbrug!D$51),1)</f>
        <v>#REF!</v>
      </c>
      <c r="J384" s="304" t="e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input'!$A$3:$A$230,$A$1)),IF(VLOOKUP($A384,[1]!Table1[#All],2,FALSE)="Resultat",SUMIF($F$1:$F383,$D384,J$1:J383)+SUMIF($F385:$F$490,$D384,J385:J$490),0))*'[1]Processer - data'!J384,"")*IF($C384&lt;&gt;"",IF($F384="Halm",Landbrug!E$16*Landbrug!E$17,IF(LEFT($D384,5)="Areal", IF($G384="Ton",Landbrug!E$18,1),1)),1)*IF($F384="Grøntsager",IF($A384="Grøntsager i drivhus",Landbrug!E$51,1-Landbrug!E$51),1)</f>
        <v>#REF!</v>
      </c>
    </row>
    <row r="385" spans="1:10" x14ac:dyDescent="0.25">
      <c r="A385" t="str">
        <f>IF('[1]Processer - data'!A385&lt;&gt;"",'[1]Processer - data'!A385,"")</f>
        <v>Permanent græs</v>
      </c>
      <c r="B385" t="str">
        <f>IF('[1]Processer - data'!B385&lt;&gt;"",'[1]Processer - data'!B385,"")</f>
        <v>Konventionel</v>
      </c>
      <c r="C385" t="str">
        <f>IF('[1]Processer - data'!C385&lt;&gt;"",'[1]Processer - data'!C385,"")</f>
        <v>JB1-10</v>
      </c>
      <c r="D385" t="str">
        <f>IF('[1]Processer - data'!D385&lt;&gt;"",'[1]Processer - data'!D385,"")</f>
        <v>Areal-permanent græs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2" t="e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input'!$A$3:$A$230,$A$1)),IF(VLOOKUP($A385,[1]!Table1[#All],2,FALSE)="Resultat",SUMIF($F$1:$F384,$D385,H$1:H384)+SUMIF($F386:$F$490,$D385,H386:H$490),0))*'[1]Processer - data'!H385,"")*IF($C385&lt;&gt;"",IF($F385="Halm",Landbrug!C$16*Landbrug!C$17,IF(LEFT($D385,5)="Areal", IF($G385="Ton",Landbrug!C$18,1),1)),1)*IF($F385="Grøntsager",IF($A385="Grøntsager i drivhus",Landbrug!C$51,1-Landbrug!C$51),1)</f>
        <v>#REF!</v>
      </c>
      <c r="I385" s="303" t="e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input'!$A$3:$A$230,$A$1)),IF(VLOOKUP($A385,[1]!Table1[#All],2,FALSE)="Resultat",SUMIF($F$1:$F384,$D385,I$1:I384)+SUMIF($F386:$F$490,$D385,I386:I$490),0))*'[1]Processer - data'!I385,"")*IF($C385&lt;&gt;"",IF($F385="Halm",Landbrug!D$16*Landbrug!D$17,IF(LEFT($D385,5)="Areal", IF($G385="Ton",Landbrug!D$18,1),1)),1)*IF($F385="Grøntsager",IF($A385="Grøntsager i drivhus",Landbrug!D$51,1-Landbrug!D$51),1)</f>
        <v>#REF!</v>
      </c>
      <c r="J385" s="304" t="e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input'!$A$3:$A$230,$A$1)),IF(VLOOKUP($A385,[1]!Table1[#All],2,FALSE)="Resultat",SUMIF($F$1:$F384,$D385,J$1:J384)+SUMIF($F386:$F$490,$D385,J386:J$490),0))*'[1]Processer - data'!J385,"")*IF($C385&lt;&gt;"",IF($F385="Halm",Landbrug!E$16*Landbrug!E$17,IF(LEFT($D385,5)="Areal", IF($G385="Ton",Landbrug!E$18,1),1)),1)*IF($F385="Grøntsager",IF($A385="Grøntsager i drivhus",Landbrug!E$51,1-Landbrug!E$51),1)</f>
        <v>#REF!</v>
      </c>
    </row>
    <row r="386" spans="1:10" x14ac:dyDescent="0.25">
      <c r="A386" t="str">
        <f>IF('[1]Processer - data'!A386&lt;&gt;"",'[1]Processer - data'!A386,"")</f>
        <v>Permanent græs</v>
      </c>
      <c r="B386" t="str">
        <f>IF('[1]Processer - data'!B386&lt;&gt;"",'[1]Processer - data'!B386,"")</f>
        <v>Konventionel</v>
      </c>
      <c r="C386" t="str">
        <f>IF('[1]Processer - data'!C386&lt;&gt;"",'[1]Processer - data'!C386,"")</f>
        <v>JB1-10</v>
      </c>
      <c r="D386" t="str">
        <f>IF('[1]Processer - data'!D386&lt;&gt;"",'[1]Processer - data'!D386,"")</f>
        <v>Areal-permanent græs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2" t="e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input'!$A$3:$A$230,$A$1)),IF(VLOOKUP($A386,[1]!Table1[#All],2,FALSE)="Resultat",SUMIF($F$1:$F385,$D386,H$1:H385)+SUMIF($F387:$F$490,$D386,H387:H$490),0))*'[1]Processer - data'!H386,"")*IF($C386&lt;&gt;"",IF($F386="Halm",Landbrug!C$16*Landbrug!C$17,IF(LEFT($D386,5)="Areal", IF($G386="Ton",Landbrug!C$18,1),1)),1)*IF($F386="Grøntsager",IF($A386="Grøntsager i drivhus",Landbrug!C$51,1-Landbrug!C$51),1)</f>
        <v>#REF!</v>
      </c>
      <c r="I386" s="303" t="e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input'!$A$3:$A$230,$A$1)),IF(VLOOKUP($A386,[1]!Table1[#All],2,FALSE)="Resultat",SUMIF($F$1:$F385,$D386,I$1:I385)+SUMIF($F387:$F$490,$D386,I387:I$490),0))*'[1]Processer - data'!I386,"")*IF($C386&lt;&gt;"",IF($F386="Halm",Landbrug!D$16*Landbrug!D$17,IF(LEFT($D386,5)="Areal", IF($G386="Ton",Landbrug!D$18,1),1)),1)*IF($F386="Grøntsager",IF($A386="Grøntsager i drivhus",Landbrug!D$51,1-Landbrug!D$51),1)</f>
        <v>#REF!</v>
      </c>
      <c r="J386" s="304" t="e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input'!$A$3:$A$230,$A$1)),IF(VLOOKUP($A386,[1]!Table1[#All],2,FALSE)="Resultat",SUMIF($F$1:$F385,$D386,J$1:J385)+SUMIF($F387:$F$490,$D386,J387:J$490),0))*'[1]Processer - data'!J386,"")*IF($C386&lt;&gt;"",IF($F386="Halm",Landbrug!E$16*Landbrug!E$17,IF(LEFT($D386,5)="Areal", IF($G386="Ton",Landbrug!E$18,1),1)),1)*IF($F386="Grøntsager",IF($A386="Grøntsager i drivhus",Landbrug!E$51,1-Landbrug!E$51),1)</f>
        <v>#REF!</v>
      </c>
    </row>
    <row r="387" spans="1:10" x14ac:dyDescent="0.25">
      <c r="A387" t="str">
        <f>IF('[1]Processer - data'!A387&lt;&gt;"",'[1]Processer - data'!A387,"")</f>
        <v>Permanent græs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OC6</v>
      </c>
      <c r="D387" t="str">
        <f>IF('[1]Processer - data'!D387&lt;&gt;"",'[1]Processer - data'!D387,"")</f>
        <v>Areal-permanent græs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Græs</v>
      </c>
      <c r="G387" t="str">
        <f>IF('[1]Processer - data'!G387&lt;&gt;"",'[1]Processer - data'!G387,"")</f>
        <v>Ton</v>
      </c>
      <c r="H387" s="302" t="e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input'!$A$3:$A$230,$A$1)),IF(VLOOKUP($A387,[1]!Table1[#All],2,FALSE)="Resultat",SUMIF($F$1:$F386,$D387,H$1:H386)+SUMIF($F388:$F$490,$D387,H388:H$490),0))*'[1]Processer - data'!H387,"")*IF($C387&lt;&gt;"",IF($F387="Halm",Landbrug!C$16*Landbrug!C$17,IF(LEFT($D387,5)="Areal", IF($G387="Ton",Landbrug!C$18,1),1)),1)*IF($F387="Grøntsager",IF($A387="Grøntsager i drivhus",Landbrug!C$51,1-Landbrug!C$51),1)</f>
        <v>#REF!</v>
      </c>
      <c r="I387" s="303" t="e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input'!$A$3:$A$230,$A$1)),IF(VLOOKUP($A387,[1]!Table1[#All],2,FALSE)="Resultat",SUMIF($F$1:$F386,$D387,I$1:I386)+SUMIF($F388:$F$490,$D387,I388:I$490),0))*'[1]Processer - data'!I387,"")*IF($C387&lt;&gt;"",IF($F387="Halm",Landbrug!D$16*Landbrug!D$17,IF(LEFT($D387,5)="Areal", IF($G387="Ton",Landbrug!D$18,1),1)),1)*IF($F387="Grøntsager",IF($A387="Grøntsager i drivhus",Landbrug!D$51,1-Landbrug!D$51),1)</f>
        <v>#REF!</v>
      </c>
      <c r="J387" s="304" t="e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input'!$A$3:$A$230,$A$1)),IF(VLOOKUP($A387,[1]!Table1[#All],2,FALSE)="Resultat",SUMIF($F$1:$F386,$D387,J$1:J386)+SUMIF($F388:$F$490,$D387,J388:J$490),0))*'[1]Processer - data'!J387,"")*IF($C387&lt;&gt;"",IF($F387="Halm",Landbrug!E$16*Landbrug!E$17,IF(LEFT($D387,5)="Areal", IF($G387="Ton",Landbrug!E$18,1),1)),1)*IF($F387="Grøntsager",IF($A387="Grøntsager i drivhus",Landbrug!E$51,1-Landbrug!E$51),1)</f>
        <v>#REF!</v>
      </c>
    </row>
    <row r="388" spans="1:10" x14ac:dyDescent="0.25">
      <c r="A388" t="str">
        <f>IF('[1]Processer - data'!A388&lt;&gt;"",'[1]Processer - data'!A388,"")</f>
        <v>Permanent græs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OC6</v>
      </c>
      <c r="D388" t="str">
        <f>IF('[1]Processer - data'!D388&lt;&gt;"",'[1]Processer - data'!D388,"")</f>
        <v>Areal-permanent græs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2" t="e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input'!$A$3:$A$230,$A$1)),IF(VLOOKUP($A388,[1]!Table1[#All],2,FALSE)="Resultat",SUMIF($F$1:$F387,$D388,H$1:H387)+SUMIF($F389:$F$490,$D388,H389:H$490),0))*'[1]Processer - data'!H388,"")*IF($C388&lt;&gt;"",IF($F388="Halm",Landbrug!C$16*Landbrug!C$17,IF(LEFT($D388,5)="Areal", IF($G388="Ton",Landbrug!C$18,1),1)),1)*IF($F388="Grøntsager",IF($A388="Grøntsager i drivhus",Landbrug!C$51,1-Landbrug!C$51),1)</f>
        <v>#REF!</v>
      </c>
      <c r="I388" s="303" t="e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input'!$A$3:$A$230,$A$1)),IF(VLOOKUP($A388,[1]!Table1[#All],2,FALSE)="Resultat",SUMIF($F$1:$F387,$D388,I$1:I387)+SUMIF($F389:$F$490,$D388,I389:I$490),0))*'[1]Processer - data'!I388,"")*IF($C388&lt;&gt;"",IF($F388="Halm",Landbrug!D$16*Landbrug!D$17,IF(LEFT($D388,5)="Areal", IF($G388="Ton",Landbrug!D$18,1),1)),1)*IF($F388="Grøntsager",IF($A388="Grøntsager i drivhus",Landbrug!D$51,1-Landbrug!D$51),1)</f>
        <v>#REF!</v>
      </c>
      <c r="J388" s="304" t="e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input'!$A$3:$A$230,$A$1)),IF(VLOOKUP($A388,[1]!Table1[#All],2,FALSE)="Resultat",SUMIF($F$1:$F387,$D388,J$1:J387)+SUMIF($F389:$F$490,$D388,J389:J$490),0))*'[1]Processer - data'!J388,"")*IF($C388&lt;&gt;"",IF($F388="Halm",Landbrug!E$16*Landbrug!E$17,IF(LEFT($D388,5)="Areal", IF($G388="Ton",Landbrug!E$18,1),1)),1)*IF($F388="Grøntsager",IF($A388="Grøntsager i drivhus",Landbrug!E$51,1-Landbrug!E$51),1)</f>
        <v>#REF!</v>
      </c>
    </row>
    <row r="389" spans="1:10" x14ac:dyDescent="0.25">
      <c r="A389" t="str">
        <f>IF('[1]Processer - data'!A389&lt;&gt;"",'[1]Processer - data'!A389,"")</f>
        <v>Permanent græs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OC6</v>
      </c>
      <c r="D389" t="str">
        <f>IF('[1]Processer - data'!D389&lt;&gt;"",'[1]Processer - data'!D389,"")</f>
        <v>Areal-permanent græs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2" t="e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input'!$A$3:$A$230,$A$1)),IF(VLOOKUP($A389,[1]!Table1[#All],2,FALSE)="Resultat",SUMIF($F$1:$F388,$D389,H$1:H388)+SUMIF($F390:$F$490,$D389,H390:H$490),0))*'[1]Processer - data'!H389,"")*IF($C389&lt;&gt;"",IF($F389="Halm",Landbrug!C$16*Landbrug!C$17,IF(LEFT($D389,5)="Areal", IF($G389="Ton",Landbrug!C$18,1),1)),1)*IF($F389="Grøntsager",IF($A389="Grøntsager i drivhus",Landbrug!C$51,1-Landbrug!C$51),1)</f>
        <v>#REF!</v>
      </c>
      <c r="I389" s="303" t="e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input'!$A$3:$A$230,$A$1)),IF(VLOOKUP($A389,[1]!Table1[#All],2,FALSE)="Resultat",SUMIF($F$1:$F388,$D389,I$1:I388)+SUMIF($F390:$F$490,$D389,I390:I$490),0))*'[1]Processer - data'!I389,"")*IF($C389&lt;&gt;"",IF($F389="Halm",Landbrug!D$16*Landbrug!D$17,IF(LEFT($D389,5)="Areal", IF($G389="Ton",Landbrug!D$18,1),1)),1)*IF($F389="Grøntsager",IF($A389="Grøntsager i drivhus",Landbrug!D$51,1-Landbrug!D$51),1)</f>
        <v>#REF!</v>
      </c>
      <c r="J389" s="304" t="e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input'!$A$3:$A$230,$A$1)),IF(VLOOKUP($A389,[1]!Table1[#All],2,FALSE)="Resultat",SUMIF($F$1:$F388,$D389,J$1:J388)+SUMIF($F390:$F$490,$D389,J390:J$490),0))*'[1]Processer - data'!J389,"")*IF($C389&lt;&gt;"",IF($F389="Halm",Landbrug!E$16*Landbrug!E$17,IF(LEFT($D389,5)="Areal", IF($G389="Ton",Landbrug!E$18,1),1)),1)*IF($F389="Grøntsager",IF($A389="Grøntsager i drivhus",Landbrug!E$51,1-Landbrug!E$51),1)</f>
        <v>#REF!</v>
      </c>
    </row>
    <row r="390" spans="1:10" x14ac:dyDescent="0.25">
      <c r="A390" t="str">
        <f>IF('[1]Processer - data'!A390&lt;&gt;"",'[1]Processer - data'!A390,"")</f>
        <v>Permanent græs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OC12</v>
      </c>
      <c r="D390" t="str">
        <f>IF('[1]Processer - data'!D390&lt;&gt;"",'[1]Processer - data'!D390,"")</f>
        <v>Areal-permanent græs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Græs</v>
      </c>
      <c r="G390" t="str">
        <f>IF('[1]Processer - data'!G390&lt;&gt;"",'[1]Processer - data'!G390,"")</f>
        <v>Ton</v>
      </c>
      <c r="H390" s="302" t="e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input'!$A$3:$A$230,$A$1)),IF(VLOOKUP($A390,[1]!Table1[#All],2,FALSE)="Resultat",SUMIF($F$1:$F389,$D390,H$1:H389)+SUMIF($F391:$F$490,$D390,H391:H$490),0))*'[1]Processer - data'!H390,"")*IF($C390&lt;&gt;"",IF($F390="Halm",Landbrug!C$16*Landbrug!C$17,IF(LEFT($D390,5)="Areal", IF($G390="Ton",Landbrug!C$18,1),1)),1)*IF($F390="Grøntsager",IF($A390="Grøntsager i drivhus",Landbrug!C$51,1-Landbrug!C$51),1)</f>
        <v>#REF!</v>
      </c>
      <c r="I390" s="303" t="e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input'!$A$3:$A$230,$A$1)),IF(VLOOKUP($A390,[1]!Table1[#All],2,FALSE)="Resultat",SUMIF($F$1:$F389,$D390,I$1:I389)+SUMIF($F391:$F$490,$D390,I391:I$490),0))*'[1]Processer - data'!I390,"")*IF($C390&lt;&gt;"",IF($F390="Halm",Landbrug!D$16*Landbrug!D$17,IF(LEFT($D390,5)="Areal", IF($G390="Ton",Landbrug!D$18,1),1)),1)*IF($F390="Grøntsager",IF($A390="Grøntsager i drivhus",Landbrug!D$51,1-Landbrug!D$51),1)</f>
        <v>#REF!</v>
      </c>
      <c r="J390" s="304" t="e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input'!$A$3:$A$230,$A$1)),IF(VLOOKUP($A390,[1]!Table1[#All],2,FALSE)="Resultat",SUMIF($F$1:$F389,$D390,J$1:J389)+SUMIF($F391:$F$490,$D390,J391:J$490),0))*'[1]Processer - data'!J390,"")*IF($C390&lt;&gt;"",IF($F390="Halm",Landbrug!E$16*Landbrug!E$17,IF(LEFT($D390,5)="Areal", IF($G390="Ton",Landbrug!E$18,1),1)),1)*IF($F390="Grøntsager",IF($A390="Grøntsager i drivhus",Landbrug!E$51,1-Landbrug!E$51),1)</f>
        <v>#REF!</v>
      </c>
    </row>
    <row r="391" spans="1:10" x14ac:dyDescent="0.25">
      <c r="A391" t="str">
        <f>IF('[1]Processer - data'!A391&lt;&gt;"",'[1]Processer - data'!A391,"")</f>
        <v>Permanent græs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OC12</v>
      </c>
      <c r="D391" t="str">
        <f>IF('[1]Processer - data'!D391&lt;&gt;"",'[1]Processer - data'!D391,"")</f>
        <v>Areal-permanent græs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2" t="e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input'!$A$3:$A$230,$A$1)),IF(VLOOKUP($A391,[1]!Table1[#All],2,FALSE)="Resultat",SUMIF($F$1:$F390,$D391,H$1:H390)+SUMIF($F392:$F$490,$D391,H392:H$490),0))*'[1]Processer - data'!H391,"")*IF($C391&lt;&gt;"",IF($F391="Halm",Landbrug!C$16*Landbrug!C$17,IF(LEFT($D391,5)="Areal", IF($G391="Ton",Landbrug!C$18,1),1)),1)*IF($F391="Grøntsager",IF($A391="Grøntsager i drivhus",Landbrug!C$51,1-Landbrug!C$51),1)</f>
        <v>#REF!</v>
      </c>
      <c r="I391" s="303" t="e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input'!$A$3:$A$230,$A$1)),IF(VLOOKUP($A391,[1]!Table1[#All],2,FALSE)="Resultat",SUMIF($F$1:$F390,$D391,I$1:I390)+SUMIF($F392:$F$490,$D391,I392:I$490),0))*'[1]Processer - data'!I391,"")*IF($C391&lt;&gt;"",IF($F391="Halm",Landbrug!D$16*Landbrug!D$17,IF(LEFT($D391,5)="Areal", IF($G391="Ton",Landbrug!D$18,1),1)),1)*IF($F391="Grøntsager",IF($A391="Grøntsager i drivhus",Landbrug!D$51,1-Landbrug!D$51),1)</f>
        <v>#REF!</v>
      </c>
      <c r="J391" s="304" t="e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input'!$A$3:$A$230,$A$1)),IF(VLOOKUP($A391,[1]!Table1[#All],2,FALSE)="Resultat",SUMIF($F$1:$F390,$D391,J$1:J390)+SUMIF($F392:$F$490,$D391,J392:J$490),0))*'[1]Processer - data'!J391,"")*IF($C391&lt;&gt;"",IF($F391="Halm",Landbrug!E$16*Landbrug!E$17,IF(LEFT($D391,5)="Areal", IF($G391="Ton",Landbrug!E$18,1),1)),1)*IF($F391="Grøntsager",IF($A391="Grøntsager i drivhus",Landbrug!E$51,1-Landbrug!E$51),1)</f>
        <v>#REF!</v>
      </c>
    </row>
    <row r="392" spans="1:10" x14ac:dyDescent="0.25">
      <c r="A392" t="str">
        <f>IF('[1]Processer - data'!A392&lt;&gt;"",'[1]Processer - data'!A392,"")</f>
        <v>Permanent græs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OC12</v>
      </c>
      <c r="D392" t="str">
        <f>IF('[1]Processer - data'!D392&lt;&gt;"",'[1]Processer - data'!D392,"")</f>
        <v>Areal-permanent græs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2" t="e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input'!$A$3:$A$230,$A$1)),IF(VLOOKUP($A392,[1]!Table1[#All],2,FALSE)="Resultat",SUMIF($F$1:$F391,$D392,H$1:H391)+SUMIF($F393:$F$490,$D392,H393:H$490),0))*'[1]Processer - data'!H392,"")*IF($C392&lt;&gt;"",IF($F392="Halm",Landbrug!C$16*Landbrug!C$17,IF(LEFT($D392,5)="Areal", IF($G392="Ton",Landbrug!C$18,1),1)),1)*IF($F392="Grøntsager",IF($A392="Grøntsager i drivhus",Landbrug!C$51,1-Landbrug!C$51),1)</f>
        <v>#REF!</v>
      </c>
      <c r="I392" s="303" t="e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input'!$A$3:$A$230,$A$1)),IF(VLOOKUP($A392,[1]!Table1[#All],2,FALSE)="Resultat",SUMIF($F$1:$F391,$D392,I$1:I391)+SUMIF($F393:$F$490,$D392,I393:I$490),0))*'[1]Processer - data'!I392,"")*IF($C392&lt;&gt;"",IF($F392="Halm",Landbrug!D$16*Landbrug!D$17,IF(LEFT($D392,5)="Areal", IF($G392="Ton",Landbrug!D$18,1),1)),1)*IF($F392="Grøntsager",IF($A392="Grøntsager i drivhus",Landbrug!D$51,1-Landbrug!D$51),1)</f>
        <v>#REF!</v>
      </c>
      <c r="J392" s="304" t="e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input'!$A$3:$A$230,$A$1)),IF(VLOOKUP($A392,[1]!Table1[#All],2,FALSE)="Resultat",SUMIF($F$1:$F391,$D392,J$1:J391)+SUMIF($F393:$F$490,$D392,J393:J$490),0))*'[1]Processer - data'!J392,"")*IF($C392&lt;&gt;"",IF($F392="Halm",Landbrug!E$16*Landbrug!E$17,IF(LEFT($D392,5)="Areal", IF($G392="Ton",Landbrug!E$18,1),1)),1)*IF($F392="Grøntsager",IF($A392="Grøntsager i drivhus",Landbrug!E$51,1-Landbrug!E$51),1)</f>
        <v>#REF!</v>
      </c>
    </row>
    <row r="393" spans="1:10" x14ac:dyDescent="0.25">
      <c r="A393" t="str">
        <f>IF('[1]Processer - data'!A393&lt;&gt;"",'[1]Processer - data'!A393,"")</f>
        <v>Permanent græs</v>
      </c>
      <c r="B393" t="str">
        <f>IF('[1]Processer - data'!B393&lt;&gt;"",'[1]Processer - data'!B393,"")</f>
        <v>Økologisk</v>
      </c>
      <c r="C393" t="str">
        <f>IF('[1]Processer - data'!C393&lt;&gt;"",'[1]Processer - data'!C393,"")</f>
        <v>JB1-10</v>
      </c>
      <c r="D393" t="str">
        <f>IF('[1]Processer - data'!D393&lt;&gt;"",'[1]Processer - data'!D393,"")</f>
        <v>Areal-permanent græs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Græs</v>
      </c>
      <c r="G393" t="str">
        <f>IF('[1]Processer - data'!G393&lt;&gt;"",'[1]Processer - data'!G393,"")</f>
        <v>Ton</v>
      </c>
      <c r="H393" s="302" t="e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input'!$A$3:$A$230,$A$1)),IF(VLOOKUP($A393,[1]!Table1[#All],2,FALSE)="Resultat",SUMIF($F$1:$F392,$D393,H$1:H392)+SUMIF($F394:$F$490,$D393,H394:H$490),0))*'[1]Processer - data'!H393,"")*IF($C393&lt;&gt;"",IF($F393="Halm",Landbrug!C$16*Landbrug!C$17,IF(LEFT($D393,5)="Areal", IF($G393="Ton",Landbrug!C$18,1),1)),1)*IF($F393="Grøntsager",IF($A393="Grøntsager i drivhus",Landbrug!C$51,1-Landbrug!C$51),1)</f>
        <v>#REF!</v>
      </c>
      <c r="I393" s="303" t="e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input'!$A$3:$A$230,$A$1)),IF(VLOOKUP($A393,[1]!Table1[#All],2,FALSE)="Resultat",SUMIF($F$1:$F392,$D393,I$1:I392)+SUMIF($F394:$F$490,$D393,I394:I$490),0))*'[1]Processer - data'!I393,"")*IF($C393&lt;&gt;"",IF($F393="Halm",Landbrug!D$16*Landbrug!D$17,IF(LEFT($D393,5)="Areal", IF($G393="Ton",Landbrug!D$18,1),1)),1)*IF($F393="Grøntsager",IF($A393="Grøntsager i drivhus",Landbrug!D$51,1-Landbrug!D$51),1)</f>
        <v>#REF!</v>
      </c>
      <c r="J393" s="304" t="e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input'!$A$3:$A$230,$A$1)),IF(VLOOKUP($A393,[1]!Table1[#All],2,FALSE)="Resultat",SUMIF($F$1:$F392,$D393,J$1:J392)+SUMIF($F394:$F$490,$D393,J394:J$490),0))*'[1]Processer - data'!J393,"")*IF($C393&lt;&gt;"",IF($F393="Halm",Landbrug!E$16*Landbrug!E$17,IF(LEFT($D393,5)="Areal", IF($G393="Ton",Landbrug!E$18,1),1)),1)*IF($F393="Grøntsager",IF($A393="Grøntsager i drivhus",Landbrug!E$51,1-Landbrug!E$51),1)</f>
        <v>#REF!</v>
      </c>
    </row>
    <row r="394" spans="1:10" x14ac:dyDescent="0.25">
      <c r="A394" t="str">
        <f>IF('[1]Processer - data'!A394&lt;&gt;"",'[1]Processer - data'!A394,"")</f>
        <v>Permanent græs</v>
      </c>
      <c r="B394" t="str">
        <f>IF('[1]Processer - data'!B394&lt;&gt;"",'[1]Processer - data'!B394,"")</f>
        <v>Økologisk</v>
      </c>
      <c r="C394" t="str">
        <f>IF('[1]Processer - data'!C394&lt;&gt;"",'[1]Processer - data'!C394,"")</f>
        <v>JB1-10</v>
      </c>
      <c r="D394" t="str">
        <f>IF('[1]Processer - data'!D394&lt;&gt;"",'[1]Processer - data'!D394,"")</f>
        <v>Areal-permanent græs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2" t="e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input'!$A$3:$A$230,$A$1)),IF(VLOOKUP($A394,[1]!Table1[#All],2,FALSE)="Resultat",SUMIF($F$1:$F393,$D394,H$1:H393)+SUMIF($F395:$F$490,$D394,H395:H$490),0))*'[1]Processer - data'!H394,"")*IF($C394&lt;&gt;"",IF($F394="Halm",Landbrug!C$16*Landbrug!C$17,IF(LEFT($D394,5)="Areal", IF($G394="Ton",Landbrug!C$18,1),1)),1)*IF($F394="Grøntsager",IF($A394="Grøntsager i drivhus",Landbrug!C$51,1-Landbrug!C$51),1)</f>
        <v>#REF!</v>
      </c>
      <c r="I394" s="303" t="e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input'!$A$3:$A$230,$A$1)),IF(VLOOKUP($A394,[1]!Table1[#All],2,FALSE)="Resultat",SUMIF($F$1:$F393,$D394,I$1:I393)+SUMIF($F395:$F$490,$D394,I395:I$490),0))*'[1]Processer - data'!I394,"")*IF($C394&lt;&gt;"",IF($F394="Halm",Landbrug!D$16*Landbrug!D$17,IF(LEFT($D394,5)="Areal", IF($G394="Ton",Landbrug!D$18,1),1)),1)*IF($F394="Grøntsager",IF($A394="Grøntsager i drivhus",Landbrug!D$51,1-Landbrug!D$51),1)</f>
        <v>#REF!</v>
      </c>
      <c r="J394" s="304" t="e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input'!$A$3:$A$230,$A$1)),IF(VLOOKUP($A394,[1]!Table1[#All],2,FALSE)="Resultat",SUMIF($F$1:$F393,$D394,J$1:J393)+SUMIF($F395:$F$490,$D394,J395:J$490),0))*'[1]Processer - data'!J394,"")*IF($C394&lt;&gt;"",IF($F394="Halm",Landbrug!E$16*Landbrug!E$17,IF(LEFT($D394,5)="Areal", IF($G394="Ton",Landbrug!E$18,1),1)),1)*IF($F394="Grøntsager",IF($A394="Grøntsager i drivhus",Landbrug!E$51,1-Landbrug!E$51),1)</f>
        <v>#REF!</v>
      </c>
    </row>
    <row r="395" spans="1:10" x14ac:dyDescent="0.25">
      <c r="A395" t="str">
        <f>IF('[1]Processer - data'!A395&lt;&gt;"",'[1]Processer - data'!A395,"")</f>
        <v>Permanent græs</v>
      </c>
      <c r="B395" t="str">
        <f>IF('[1]Processer - data'!B395&lt;&gt;"",'[1]Processer - data'!B395,"")</f>
        <v>Økologisk</v>
      </c>
      <c r="C395" t="str">
        <f>IF('[1]Processer - data'!C395&lt;&gt;"",'[1]Processer - data'!C395,"")</f>
        <v>JB1-10</v>
      </c>
      <c r="D395" t="str">
        <f>IF('[1]Processer - data'!D395&lt;&gt;"",'[1]Processer - data'!D395,"")</f>
        <v>Areal-permanent græs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2" t="e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input'!$A$3:$A$230,$A$1)),IF(VLOOKUP($A395,[1]!Table1[#All],2,FALSE)="Resultat",SUMIF($F$1:$F394,$D395,H$1:H394)+SUMIF($F396:$F$490,$D395,H396:H$490),0))*'[1]Processer - data'!H395,"")*IF($C395&lt;&gt;"",IF($F395="Halm",Landbrug!C$16*Landbrug!C$17,IF(LEFT($D395,5)="Areal", IF($G395="Ton",Landbrug!C$18,1),1)),1)*IF($F395="Grøntsager",IF($A395="Grøntsager i drivhus",Landbrug!C$51,1-Landbrug!C$51),1)</f>
        <v>#REF!</v>
      </c>
      <c r="I395" s="303" t="e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input'!$A$3:$A$230,$A$1)),IF(VLOOKUP($A395,[1]!Table1[#All],2,FALSE)="Resultat",SUMIF($F$1:$F394,$D395,I$1:I394)+SUMIF($F396:$F$490,$D395,I396:I$490),0))*'[1]Processer - data'!I395,"")*IF($C395&lt;&gt;"",IF($F395="Halm",Landbrug!D$16*Landbrug!D$17,IF(LEFT($D395,5)="Areal", IF($G395="Ton",Landbrug!D$18,1),1)),1)*IF($F395="Grøntsager",IF($A395="Grøntsager i drivhus",Landbrug!D$51,1-Landbrug!D$51),1)</f>
        <v>#REF!</v>
      </c>
      <c r="J395" s="304" t="e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input'!$A$3:$A$230,$A$1)),IF(VLOOKUP($A395,[1]!Table1[#All],2,FALSE)="Resultat",SUMIF($F$1:$F394,$D395,J$1:J394)+SUMIF($F396:$F$490,$D395,J396:J$490),0))*'[1]Processer - data'!J395,"")*IF($C395&lt;&gt;"",IF($F395="Halm",Landbrug!E$16*Landbrug!E$17,IF(LEFT($D395,5)="Areal", IF($G395="Ton",Landbrug!E$18,1),1)),1)*IF($F395="Grøntsager",IF($A395="Grøntsager i drivhus",Landbrug!E$51,1-Landbrug!E$51),1)</f>
        <v>#REF!</v>
      </c>
    </row>
    <row r="396" spans="1:10" x14ac:dyDescent="0.25">
      <c r="A396" t="str">
        <f>IF('[1]Processer - data'!A396&lt;&gt;"",'[1]Processer - data'!A396,"")</f>
        <v>Permanent græs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OC6</v>
      </c>
      <c r="D396" t="str">
        <f>IF('[1]Processer - data'!D396&lt;&gt;"",'[1]Processer - data'!D396,"")</f>
        <v>Areal-permanent græs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Græs</v>
      </c>
      <c r="G396" t="str">
        <f>IF('[1]Processer - data'!G396&lt;&gt;"",'[1]Processer - data'!G396,"")</f>
        <v>Ton</v>
      </c>
      <c r="H396" s="302" t="e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input'!$A$3:$A$230,$A$1)),IF(VLOOKUP($A396,[1]!Table1[#All],2,FALSE)="Resultat",SUMIF($F$1:$F395,$D396,H$1:H395)+SUMIF($F397:$F$490,$D396,H397:H$490),0))*'[1]Processer - data'!H396,"")*IF($C396&lt;&gt;"",IF($F396="Halm",Landbrug!C$16*Landbrug!C$17,IF(LEFT($D396,5)="Areal", IF($G396="Ton",Landbrug!C$18,1),1)),1)*IF($F396="Grøntsager",IF($A396="Grøntsager i drivhus",Landbrug!C$51,1-Landbrug!C$51),1)</f>
        <v>#REF!</v>
      </c>
      <c r="I396" s="303" t="e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input'!$A$3:$A$230,$A$1)),IF(VLOOKUP($A396,[1]!Table1[#All],2,FALSE)="Resultat",SUMIF($F$1:$F395,$D396,I$1:I395)+SUMIF($F397:$F$490,$D396,I397:I$490),0))*'[1]Processer - data'!I396,"")*IF($C396&lt;&gt;"",IF($F396="Halm",Landbrug!D$16*Landbrug!D$17,IF(LEFT($D396,5)="Areal", IF($G396="Ton",Landbrug!D$18,1),1)),1)*IF($F396="Grøntsager",IF($A396="Grøntsager i drivhus",Landbrug!D$51,1-Landbrug!D$51),1)</f>
        <v>#REF!</v>
      </c>
      <c r="J396" s="304" t="e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input'!$A$3:$A$230,$A$1)),IF(VLOOKUP($A396,[1]!Table1[#All],2,FALSE)="Resultat",SUMIF($F$1:$F395,$D396,J$1:J395)+SUMIF($F397:$F$490,$D396,J397:J$490),0))*'[1]Processer - data'!J396,"")*IF($C396&lt;&gt;"",IF($F396="Halm",Landbrug!E$16*Landbrug!E$17,IF(LEFT($D396,5)="Areal", IF($G396="Ton",Landbrug!E$18,1),1)),1)*IF($F396="Grøntsager",IF($A396="Grøntsager i drivhus",Landbrug!E$51,1-Landbrug!E$51),1)</f>
        <v>#REF!</v>
      </c>
    </row>
    <row r="397" spans="1:10" x14ac:dyDescent="0.25">
      <c r="A397" t="str">
        <f>IF('[1]Processer - data'!A397&lt;&gt;"",'[1]Processer - data'!A397,"")</f>
        <v>Permanent græs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OC6</v>
      </c>
      <c r="D397" t="str">
        <f>IF('[1]Processer - data'!D397&lt;&gt;"",'[1]Processer - data'!D397,"")</f>
        <v>Areal-permanent græs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2" t="e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input'!$A$3:$A$230,$A$1)),IF(VLOOKUP($A397,[1]!Table1[#All],2,FALSE)="Resultat",SUMIF($F$1:$F396,$D397,H$1:H396)+SUMIF($F398:$F$490,$D397,H398:H$490),0))*'[1]Processer - data'!H397,"")*IF($C397&lt;&gt;"",IF($F397="Halm",Landbrug!C$16*Landbrug!C$17,IF(LEFT($D397,5)="Areal", IF($G397="Ton",Landbrug!C$18,1),1)),1)*IF($F397="Grøntsager",IF($A397="Grøntsager i drivhus",Landbrug!C$51,1-Landbrug!C$51),1)</f>
        <v>#REF!</v>
      </c>
      <c r="I397" s="303" t="e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input'!$A$3:$A$230,$A$1)),IF(VLOOKUP($A397,[1]!Table1[#All],2,FALSE)="Resultat",SUMIF($F$1:$F396,$D397,I$1:I396)+SUMIF($F398:$F$490,$D397,I398:I$490),0))*'[1]Processer - data'!I397,"")*IF($C397&lt;&gt;"",IF($F397="Halm",Landbrug!D$16*Landbrug!D$17,IF(LEFT($D397,5)="Areal", IF($G397="Ton",Landbrug!D$18,1),1)),1)*IF($F397="Grøntsager",IF($A397="Grøntsager i drivhus",Landbrug!D$51,1-Landbrug!D$51),1)</f>
        <v>#REF!</v>
      </c>
      <c r="J397" s="304" t="e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input'!$A$3:$A$230,$A$1)),IF(VLOOKUP($A397,[1]!Table1[#All],2,FALSE)="Resultat",SUMIF($F$1:$F396,$D397,J$1:J396)+SUMIF($F398:$F$490,$D397,J398:J$490),0))*'[1]Processer - data'!J397,"")*IF($C397&lt;&gt;"",IF($F397="Halm",Landbrug!E$16*Landbrug!E$17,IF(LEFT($D397,5)="Areal", IF($G397="Ton",Landbrug!E$18,1),1)),1)*IF($F397="Grøntsager",IF($A397="Grøntsager i drivhus",Landbrug!E$51,1-Landbrug!E$51),1)</f>
        <v>#REF!</v>
      </c>
    </row>
    <row r="398" spans="1:10" x14ac:dyDescent="0.25">
      <c r="A398" t="str">
        <f>IF('[1]Processer - data'!A398&lt;&gt;"",'[1]Processer - data'!A398,"")</f>
        <v>Permanent græs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OC6</v>
      </c>
      <c r="D398" t="str">
        <f>IF('[1]Processer - data'!D398&lt;&gt;"",'[1]Processer - data'!D398,"")</f>
        <v>Areal-permanent græs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2" t="e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input'!$A$3:$A$230,$A$1)),IF(VLOOKUP($A398,[1]!Table1[#All],2,FALSE)="Resultat",SUMIF($F$1:$F397,$D398,H$1:H397)+SUMIF($F399:$F$490,$D398,H399:H$490),0))*'[1]Processer - data'!H398,"")*IF($C398&lt;&gt;"",IF($F398="Halm",Landbrug!C$16*Landbrug!C$17,IF(LEFT($D398,5)="Areal", IF($G398="Ton",Landbrug!C$18,1),1)),1)*IF($F398="Grøntsager",IF($A398="Grøntsager i drivhus",Landbrug!C$51,1-Landbrug!C$51),1)</f>
        <v>#REF!</v>
      </c>
      <c r="I398" s="303" t="e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input'!$A$3:$A$230,$A$1)),IF(VLOOKUP($A398,[1]!Table1[#All],2,FALSE)="Resultat",SUMIF($F$1:$F397,$D398,I$1:I397)+SUMIF($F399:$F$490,$D398,I399:I$490),0))*'[1]Processer - data'!I398,"")*IF($C398&lt;&gt;"",IF($F398="Halm",Landbrug!D$16*Landbrug!D$17,IF(LEFT($D398,5)="Areal", IF($G398="Ton",Landbrug!D$18,1),1)),1)*IF($F398="Grøntsager",IF($A398="Grøntsager i drivhus",Landbrug!D$51,1-Landbrug!D$51),1)</f>
        <v>#REF!</v>
      </c>
      <c r="J398" s="304" t="e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input'!$A$3:$A$230,$A$1)),IF(VLOOKUP($A398,[1]!Table1[#All],2,FALSE)="Resultat",SUMIF($F$1:$F397,$D398,J$1:J397)+SUMIF($F399:$F$490,$D398,J399:J$490),0))*'[1]Processer - data'!J398,"")*IF($C398&lt;&gt;"",IF($F398="Halm",Landbrug!E$16*Landbrug!E$17,IF(LEFT($D398,5)="Areal", IF($G398="Ton",Landbrug!E$18,1),1)),1)*IF($F398="Grøntsager",IF($A398="Grøntsager i drivhus",Landbrug!E$51,1-Landbrug!E$51),1)</f>
        <v>#REF!</v>
      </c>
    </row>
    <row r="399" spans="1:10" x14ac:dyDescent="0.25">
      <c r="A399" t="str">
        <f>IF('[1]Processer - data'!A399&lt;&gt;"",'[1]Processer - data'!A399,"")</f>
        <v>Permanent græs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OC12</v>
      </c>
      <c r="D399" t="str">
        <f>IF('[1]Processer - data'!D399&lt;&gt;"",'[1]Processer - data'!D399,"")</f>
        <v>Areal-permanent græs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Græs</v>
      </c>
      <c r="G399" t="str">
        <f>IF('[1]Processer - data'!G399&lt;&gt;"",'[1]Processer - data'!G399,"")</f>
        <v>Ton</v>
      </c>
      <c r="H399" s="302" t="e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input'!$A$3:$A$230,$A$1)),IF(VLOOKUP($A399,[1]!Table1[#All],2,FALSE)="Resultat",SUMIF($F$1:$F398,$D399,H$1:H398)+SUMIF($F400:$F$490,$D399,H400:H$490),0))*'[1]Processer - data'!H399,"")*IF($C399&lt;&gt;"",IF($F399="Halm",Landbrug!C$16*Landbrug!C$17,IF(LEFT($D399,5)="Areal", IF($G399="Ton",Landbrug!C$18,1),1)),1)*IF($F399="Grøntsager",IF($A399="Grøntsager i drivhus",Landbrug!C$51,1-Landbrug!C$51),1)</f>
        <v>#REF!</v>
      </c>
      <c r="I399" s="303" t="e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input'!$A$3:$A$230,$A$1)),IF(VLOOKUP($A399,[1]!Table1[#All],2,FALSE)="Resultat",SUMIF($F$1:$F398,$D399,I$1:I398)+SUMIF($F400:$F$490,$D399,I400:I$490),0))*'[1]Processer - data'!I399,"")*IF($C399&lt;&gt;"",IF($F399="Halm",Landbrug!D$16*Landbrug!D$17,IF(LEFT($D399,5)="Areal", IF($G399="Ton",Landbrug!D$18,1),1)),1)*IF($F399="Grøntsager",IF($A399="Grøntsager i drivhus",Landbrug!D$51,1-Landbrug!D$51),1)</f>
        <v>#REF!</v>
      </c>
      <c r="J399" s="304" t="e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input'!$A$3:$A$230,$A$1)),IF(VLOOKUP($A399,[1]!Table1[#All],2,FALSE)="Resultat",SUMIF($F$1:$F398,$D399,J$1:J398)+SUMIF($F400:$F$490,$D399,J400:J$490),0))*'[1]Processer - data'!J399,"")*IF($C399&lt;&gt;"",IF($F399="Halm",Landbrug!E$16*Landbrug!E$17,IF(LEFT($D399,5)="Areal", IF($G399="Ton",Landbrug!E$18,1),1)),1)*IF($F399="Grøntsager",IF($A399="Grøntsager i drivhus",Landbrug!E$51,1-Landbrug!E$51),1)</f>
        <v>#REF!</v>
      </c>
    </row>
    <row r="400" spans="1:10" x14ac:dyDescent="0.25">
      <c r="A400" t="str">
        <f>IF('[1]Processer - data'!A400&lt;&gt;"",'[1]Processer - data'!A400,"")</f>
        <v>Permanent græs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OC12</v>
      </c>
      <c r="D400" t="str">
        <f>IF('[1]Processer - data'!D400&lt;&gt;"",'[1]Processer - data'!D400,"")</f>
        <v>Areal-permanent græs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2" t="e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input'!$A$3:$A$230,$A$1)),IF(VLOOKUP($A400,[1]!Table1[#All],2,FALSE)="Resultat",SUMIF($F$1:$F399,$D400,H$1:H399)+SUMIF($F401:$F$490,$D400,H401:H$490),0))*'[1]Processer - data'!H400,"")*IF($C400&lt;&gt;"",IF($F400="Halm",Landbrug!C$16*Landbrug!C$17,IF(LEFT($D400,5)="Areal", IF($G400="Ton",Landbrug!C$18,1),1)),1)*IF($F400="Grøntsager",IF($A400="Grøntsager i drivhus",Landbrug!C$51,1-Landbrug!C$51),1)</f>
        <v>#REF!</v>
      </c>
      <c r="I400" s="303" t="e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input'!$A$3:$A$230,$A$1)),IF(VLOOKUP($A400,[1]!Table1[#All],2,FALSE)="Resultat",SUMIF($F$1:$F399,$D400,I$1:I399)+SUMIF($F401:$F$490,$D400,I401:I$490),0))*'[1]Processer - data'!I400,"")*IF($C400&lt;&gt;"",IF($F400="Halm",Landbrug!D$16*Landbrug!D$17,IF(LEFT($D400,5)="Areal", IF($G400="Ton",Landbrug!D$18,1),1)),1)*IF($F400="Grøntsager",IF($A400="Grøntsager i drivhus",Landbrug!D$51,1-Landbrug!D$51),1)</f>
        <v>#REF!</v>
      </c>
      <c r="J400" s="304" t="e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input'!$A$3:$A$230,$A$1)),IF(VLOOKUP($A400,[1]!Table1[#All],2,FALSE)="Resultat",SUMIF($F$1:$F399,$D400,J$1:J399)+SUMIF($F401:$F$490,$D400,J401:J$490),0))*'[1]Processer - data'!J400,"")*IF($C400&lt;&gt;"",IF($F400="Halm",Landbrug!E$16*Landbrug!E$17,IF(LEFT($D400,5)="Areal", IF($G400="Ton",Landbrug!E$18,1),1)),1)*IF($F400="Grøntsager",IF($A400="Grøntsager i drivhus",Landbrug!E$51,1-Landbrug!E$51),1)</f>
        <v>#REF!</v>
      </c>
    </row>
    <row r="401" spans="1:10" x14ac:dyDescent="0.25">
      <c r="A401" t="str">
        <f>IF('[1]Processer - data'!A401&lt;&gt;"",'[1]Processer - data'!A401,"")</f>
        <v>Permanent græs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OC12</v>
      </c>
      <c r="D401" t="str">
        <f>IF('[1]Processer - data'!D401&lt;&gt;"",'[1]Processer - data'!D401,"")</f>
        <v>Areal-permanent græs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2" t="e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input'!$A$3:$A$230,$A$1)),IF(VLOOKUP($A401,[1]!Table1[#All],2,FALSE)="Resultat",SUMIF($F$1:$F400,$D401,H$1:H400)+SUMIF($F402:$F$490,$D401,H402:H$490),0))*'[1]Processer - data'!H401,"")*IF($C401&lt;&gt;"",IF($F401="Halm",Landbrug!C$16*Landbrug!C$17,IF(LEFT($D401,5)="Areal", IF($G401="Ton",Landbrug!C$18,1),1)),1)*IF($F401="Grøntsager",IF($A401="Grøntsager i drivhus",Landbrug!C$51,1-Landbrug!C$51),1)</f>
        <v>#REF!</v>
      </c>
      <c r="I401" s="303" t="e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input'!$A$3:$A$230,$A$1)),IF(VLOOKUP($A401,[1]!Table1[#All],2,FALSE)="Resultat",SUMIF($F$1:$F400,$D401,I$1:I400)+SUMIF($F402:$F$490,$D401,I402:I$490),0))*'[1]Processer - data'!I401,"")*IF($C401&lt;&gt;"",IF($F401="Halm",Landbrug!D$16*Landbrug!D$17,IF(LEFT($D401,5)="Areal", IF($G401="Ton",Landbrug!D$18,1),1)),1)*IF($F401="Grøntsager",IF($A401="Grøntsager i drivhus",Landbrug!D$51,1-Landbrug!D$51),1)</f>
        <v>#REF!</v>
      </c>
      <c r="J401" s="304" t="e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input'!$A$3:$A$230,$A$1)),IF(VLOOKUP($A401,[1]!Table1[#All],2,FALSE)="Resultat",SUMIF($F$1:$F400,$D401,J$1:J400)+SUMIF($F402:$F$490,$D401,J402:J$490),0))*'[1]Processer - data'!J401,"")*IF($C401&lt;&gt;"",IF($F401="Halm",Landbrug!E$16*Landbrug!E$17,IF(LEFT($D401,5)="Areal", IF($G401="Ton",Landbrug!E$18,1),1)),1)*IF($F401="Grøntsager",IF($A401="Grøntsager i drivhus",Landbrug!E$51,1-Landbrug!E$51),1)</f>
        <v>#REF!</v>
      </c>
    </row>
    <row r="402" spans="1:10" x14ac:dyDescent="0.25">
      <c r="A402" t="str">
        <f>IF('[1]Processer - data'!A402&lt;&gt;"",'[1]Processer - data'!A402,"")</f>
        <v>Tømmerproduktion</v>
      </c>
      <c r="B402" t="str">
        <f>IF('[1]Processer - data'!B402&lt;&gt;"",'[1]Processer - data'!B402,"")</f>
        <v/>
      </c>
      <c r="C402" t="str">
        <f>IF('[1]Processer - data'!C402&lt;&gt;"",'[1]Processer - data'!C402,"")</f>
        <v/>
      </c>
      <c r="D402" t="str">
        <f>IF('[1]Processer - data'!D402&lt;&gt;"",'[1]Processer - data'!D402,"")</f>
        <v>Træer</v>
      </c>
      <c r="E402" t="str">
        <f>IF('[1]Processer - data'!E402&lt;&gt;"",'[1]Processer - data'!E402,"")</f>
        <v>m3</v>
      </c>
      <c r="F402" t="str">
        <f>IF('[1]Processer - data'!F402&lt;&gt;"",'[1]Processer - data'!F402,"")</f>
        <v>Træmaterialer</v>
      </c>
      <c r="G402" t="str">
        <f>IF('[1]Processer - data'!G402&lt;&gt;"",'[1]Processer - data'!G402,"")</f>
        <v>m3</v>
      </c>
      <c r="H402" s="302" t="e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input'!$A$3:$A$230,$A$1)),IF(VLOOKUP($A402,[1]!Table1[#All],2,FALSE)="Resultat",SUMIF($F$1:$F401,$D402,H$1:H401)+SUMIF($F403:$F$490,$D402,H403:H$490),0))*'[1]Processer - data'!H402,"")*IF($C402&lt;&gt;"",IF($F402="Halm",Landbrug!C$16*Landbrug!C$17,IF(LEFT($D402,5)="Areal", IF($G402="Ton",Landbrug!C$18,1),1)),1)*IF($F402="Grøntsager",IF($A402="Grøntsager i drivhus",Landbrug!C$51,1-Landbrug!C$51),1)</f>
        <v>#REF!</v>
      </c>
      <c r="I402" s="303" t="e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input'!$A$3:$A$230,$A$1)),IF(VLOOKUP($A402,[1]!Table1[#All],2,FALSE)="Resultat",SUMIF($F$1:$F401,$D402,I$1:I401)+SUMIF($F403:$F$490,$D402,I403:I$490),0))*'[1]Processer - data'!I402,"")*IF($C402&lt;&gt;"",IF($F402="Halm",Landbrug!D$16*Landbrug!D$17,IF(LEFT($D402,5)="Areal", IF($G402="Ton",Landbrug!D$18,1),1)),1)*IF($F402="Grøntsager",IF($A402="Grøntsager i drivhus",Landbrug!D$51,1-Landbrug!D$51),1)</f>
        <v>#REF!</v>
      </c>
      <c r="J402" s="304" t="e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input'!$A$3:$A$230,$A$1)),IF(VLOOKUP($A402,[1]!Table1[#All],2,FALSE)="Resultat",SUMIF($F$1:$F401,$D402,J$1:J401)+SUMIF($F403:$F$490,$D402,J403:J$490),0))*'[1]Processer - data'!J402,"")*IF($C402&lt;&gt;"",IF($F402="Halm",Landbrug!E$16*Landbrug!E$17,IF(LEFT($D402,5)="Areal", IF($G402="Ton",Landbrug!E$18,1),1)),1)*IF($F402="Grøntsager",IF($A402="Grøntsager i drivhus",Landbrug!E$51,1-Landbrug!E$51),1)</f>
        <v>#REF!</v>
      </c>
    </row>
    <row r="403" spans="1:10" x14ac:dyDescent="0.25">
      <c r="A403" t="str">
        <f>IF('[1]Processer - data'!A403&lt;&gt;"",'[1]Processer - data'!A403,"")</f>
        <v>Tømmerproduktion</v>
      </c>
      <c r="B403" t="str">
        <f>IF('[1]Processer - data'!B403&lt;&gt;"",'[1]Processer - data'!B403,"")</f>
        <v/>
      </c>
      <c r="C403" t="str">
        <f>IF('[1]Processer - data'!C403&lt;&gt;"",'[1]Processer - data'!C403,"")</f>
        <v/>
      </c>
      <c r="D403" t="str">
        <f>IF('[1]Processer - data'!D403&lt;&gt;"",'[1]Processer - data'!D403,"")</f>
        <v>Træer</v>
      </c>
      <c r="E403" t="str">
        <f>IF('[1]Processer - data'!E403&lt;&gt;"",'[1]Processer - data'!E403,"")</f>
        <v>m3</v>
      </c>
      <c r="F403" t="str">
        <f>IF('[1]Processer - data'!F403&lt;&gt;"",'[1]Processer - data'!F403,"")</f>
        <v>Træ til energi</v>
      </c>
      <c r="G403" t="str">
        <f>IF('[1]Processer - data'!G403&lt;&gt;"",'[1]Processer - data'!G403,"")</f>
        <v>m3</v>
      </c>
      <c r="H403" s="302" t="e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input'!$A$3:$A$230,$A$1)),IF(VLOOKUP($A403,[1]!Table1[#All],2,FALSE)="Resultat",SUMIF($F$1:$F402,$D403,H$1:H402)+SUMIF($F404:$F$490,$D403,H404:H$490),0))*'[1]Processer - data'!H403,"")*IF($C403&lt;&gt;"",IF($F403="Halm",Landbrug!C$16*Landbrug!C$17,IF(LEFT($D403,5)="Areal", IF($G403="Ton",Landbrug!C$18,1),1)),1)*IF($F403="Grøntsager",IF($A403="Grøntsager i drivhus",Landbrug!C$51,1-Landbrug!C$51),1)</f>
        <v>#REF!</v>
      </c>
      <c r="I403" s="303" t="e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input'!$A$3:$A$230,$A$1)),IF(VLOOKUP($A403,[1]!Table1[#All],2,FALSE)="Resultat",SUMIF($F$1:$F402,$D403,I$1:I402)+SUMIF($F404:$F$490,$D403,I404:I$490),0))*'[1]Processer - data'!I403,"")*IF($C403&lt;&gt;"",IF($F403="Halm",Landbrug!D$16*Landbrug!D$17,IF(LEFT($D403,5)="Areal", IF($G403="Ton",Landbrug!D$18,1),1)),1)*IF($F403="Grøntsager",IF($A403="Grøntsager i drivhus",Landbrug!D$51,1-Landbrug!D$51),1)</f>
        <v>#REF!</v>
      </c>
      <c r="J403" s="304" t="e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input'!$A$3:$A$230,$A$1)),IF(VLOOKUP($A403,[1]!Table1[#All],2,FALSE)="Resultat",SUMIF($F$1:$F402,$D403,J$1:J402)+SUMIF($F404:$F$490,$D403,J404:J$490),0))*'[1]Processer - data'!J403,"")*IF($C403&lt;&gt;"",IF($F403="Halm",Landbrug!E$16*Landbrug!E$17,IF(LEFT($D403,5)="Areal", IF($G403="Ton",Landbrug!E$18,1),1)),1)*IF($F403="Grøntsager",IF($A403="Grøntsager i drivhus",Landbrug!E$51,1-Landbrug!E$51),1)</f>
        <v>#REF!</v>
      </c>
    </row>
    <row r="404" spans="1:10" x14ac:dyDescent="0.25">
      <c r="A404" t="str">
        <f>IF('[1]Processer - data'!A404&lt;&gt;"",'[1]Processer - data'!A404,"")</f>
        <v>Mejeri</v>
      </c>
      <c r="B404" t="str">
        <f>IF('[1]Processer - data'!B404&lt;&gt;"",'[1]Processer - data'!B404,"")</f>
        <v/>
      </c>
      <c r="C404" t="str">
        <f>IF('[1]Processer - data'!C404&lt;&gt;"",'[1]Processer - data'!C404,"")</f>
        <v/>
      </c>
      <c r="D404" t="str">
        <f>IF('[1]Processer - data'!D404&lt;&gt;"",'[1]Processer - data'!D404,"")</f>
        <v>Råmælk</v>
      </c>
      <c r="E404" t="str">
        <f>IF('[1]Processer - data'!E404&lt;&gt;"",'[1]Processer - data'!E404,"")</f>
        <v>Ton</v>
      </c>
      <c r="F404" t="str">
        <f>IF('[1]Processer - data'!F404&lt;&gt;"",'[1]Processer - data'!F404,"")</f>
        <v>Mejeriprodukter</v>
      </c>
      <c r="G404" t="str">
        <f>IF('[1]Processer - data'!G404&lt;&gt;"",'[1]Processer - data'!G404,"")</f>
        <v>Ton</v>
      </c>
      <c r="H404" s="302" t="e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input'!$A$3:$A$230,$A$1)),IF(VLOOKUP($A404,[1]!Table1[#All],2,FALSE)="Resultat",SUMIF($F$1:$F403,$D404,H$1:H403)+SUMIF($F405:$F$490,$D404,H405:H$490),0))*'[1]Processer - data'!H404,"")*IF($C404&lt;&gt;"",IF($F404="Halm",Landbrug!C$16*Landbrug!C$17,IF(LEFT($D404,5)="Areal", IF($G404="Ton",Landbrug!C$18,1),1)),1)*IF($F404="Grøntsager",IF($A404="Grøntsager i drivhus",Landbrug!C$51,1-Landbrug!C$51),1)</f>
        <v>#REF!</v>
      </c>
      <c r="I404" s="303" t="e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input'!$A$3:$A$230,$A$1)),IF(VLOOKUP($A404,[1]!Table1[#All],2,FALSE)="Resultat",SUMIF($F$1:$F403,$D404,I$1:I403)+SUMIF($F405:$F$490,$D404,I405:I$490),0))*'[1]Processer - data'!I404,"")*IF($C404&lt;&gt;"",IF($F404="Halm",Landbrug!D$16*Landbrug!D$17,IF(LEFT($D404,5)="Areal", IF($G404="Ton",Landbrug!D$18,1),1)),1)*IF($F404="Grøntsager",IF($A404="Grøntsager i drivhus",Landbrug!D$51,1-Landbrug!D$51),1)</f>
        <v>#REF!</v>
      </c>
      <c r="J404" s="304" t="e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input'!$A$3:$A$230,$A$1)),IF(VLOOKUP($A404,[1]!Table1[#All],2,FALSE)="Resultat",SUMIF($F$1:$F403,$D404,J$1:J403)+SUMIF($F405:$F$490,$D404,J405:J$490),0))*'[1]Processer - data'!J404,"")*IF($C404&lt;&gt;"",IF($F404="Halm",Landbrug!E$16*Landbrug!E$17,IF(LEFT($D404,5)="Areal", IF($G404="Ton",Landbrug!E$18,1),1)),1)*IF($F404="Grøntsager",IF($A404="Grøntsager i drivhus",Landbrug!E$51,1-Landbrug!E$51),1)</f>
        <v>#REF!</v>
      </c>
    </row>
    <row r="405" spans="1:10" x14ac:dyDescent="0.25">
      <c r="A405" t="str">
        <f>IF('[1]Processer - data'!A405&lt;&gt;"",'[1]Processer - data'!A405,"")</f>
        <v>Mejeri</v>
      </c>
      <c r="B405" t="str">
        <f>IF('[1]Processer - data'!B405&lt;&gt;"",'[1]Processer - data'!B405,"")</f>
        <v/>
      </c>
      <c r="C405" t="str">
        <f>IF('[1]Processer - data'!C405&lt;&gt;"",'[1]Processer - data'!C405,"")</f>
        <v/>
      </c>
      <c r="D405" t="str">
        <f>IF('[1]Processer - data'!D405&lt;&gt;"",'[1]Processer - data'!D405,"")</f>
        <v>Råmælk</v>
      </c>
      <c r="E405" t="str">
        <f>IF('[1]Processer - data'!E405&lt;&gt;"",'[1]Processer - data'!E405,"")</f>
        <v>Ton</v>
      </c>
      <c r="F405" t="str">
        <f>IF('[1]Processer - data'!F405&lt;&gt;"",'[1]Processer - data'!F405,"")</f>
        <v>Spildevandsslam</v>
      </c>
      <c r="G405" t="str">
        <f>IF('[1]Processer - data'!G405&lt;&gt;"",'[1]Processer - data'!G405,"")</f>
        <v>Ton</v>
      </c>
      <c r="H405" s="302" t="e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input'!$A$3:$A$230,$A$1)),IF(VLOOKUP($A405,[1]!Table1[#All],2,FALSE)="Resultat",SUMIF($F$1:$F404,$D405,H$1:H404)+SUMIF($F407:$F$490,$D405,H407:H$490),0))*'[1]Processer - data'!H405,"")*IF($C405&lt;&gt;"",IF($F405="Halm",Landbrug!C$16*Landbrug!C$17,IF(LEFT($D405,5)="Areal", IF($G405="Ton",Landbrug!C$18,1),1)),1)*IF($F405="Grøntsager",IF($A405="Grøntsager i drivhus",Landbrug!C$51,1-Landbrug!C$51),1)</f>
        <v>#REF!</v>
      </c>
      <c r="I405" s="303" t="e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input'!$A$3:$A$230,$A$1)),IF(VLOOKUP($A405,[1]!Table1[#All],2,FALSE)="Resultat",SUMIF($F$1:$F404,$D405,I$1:I404)+SUMIF($F407:$F$490,$D405,I407:I$490),0))*'[1]Processer - data'!I405,"")*IF($C405&lt;&gt;"",IF($F405="Halm",Landbrug!D$16*Landbrug!D$17,IF(LEFT($D405,5)="Areal", IF($G405="Ton",Landbrug!D$18,1),1)),1)*IF($F405="Grøntsager",IF($A405="Grøntsager i drivhus",Landbrug!D$51,1-Landbrug!D$51),1)</f>
        <v>#REF!</v>
      </c>
      <c r="J405" s="304" t="e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input'!$A$3:$A$230,$A$1)),IF(VLOOKUP($A405,[1]!Table1[#All],2,FALSE)="Resultat",SUMIF($F$1:$F404,$D405,J$1:J404)+SUMIF($F407:$F$490,$D405,J407:J$490),0))*'[1]Processer - data'!J405,"")*IF($C405&lt;&gt;"",IF($F405="Halm",Landbrug!E$16*Landbrug!E$17,IF(LEFT($D405,5)="Areal", IF($G405="Ton",Landbrug!E$18,1),1)),1)*IF($F405="Grøntsager",IF($A405="Grøntsager i drivhus",Landbrug!E$51,1-Landbrug!E$51),1)</f>
        <v>#REF!</v>
      </c>
    </row>
    <row r="406" spans="1:10" s="171" customFormat="1" x14ac:dyDescent="0.25">
      <c r="A406" s="171" t="str">
        <f>IF('[1]Processer - data'!A406&lt;&gt;"",'[1]Processer - data'!A406,"")</f>
        <v>Mejeri</v>
      </c>
      <c r="B406" s="171" t="str">
        <f>IF('[1]Processer - data'!B406&lt;&gt;"",'[1]Processer - data'!B406,"")</f>
        <v/>
      </c>
      <c r="C406" s="171" t="str">
        <f>IF('[1]Processer - data'!C406&lt;&gt;"",'[1]Processer - data'!C406,"")</f>
        <v/>
      </c>
      <c r="D406" s="171" t="str">
        <f>IF('[1]Processer - data'!D406&lt;&gt;"",'[1]Processer - data'!D406,"")</f>
        <v>Råmælk</v>
      </c>
      <c r="E406" s="171" t="str">
        <f>IF('[1]Processer - data'!E406&lt;&gt;"",'[1]Processer - data'!E406,"")</f>
        <v>Ton</v>
      </c>
      <c r="F406" s="171" t="str">
        <f>IF('[1]Processer - data'!F406&lt;&gt;"",'[1]Processer - data'!F406,"")</f>
        <v>Industriaffald</v>
      </c>
      <c r="G406" s="171" t="str">
        <f>IF('[1]Processer - data'!G406&lt;&gt;"",'[1]Processer - data'!G406,"")</f>
        <v>Ton</v>
      </c>
      <c r="H406" s="302" t="e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input'!$A$3:$A$230,$A$1)),IF(VLOOKUP($A406,[1]!Table1[#All],2,FALSE)="Resultat",SUMIF($F$1:$F405,$D406,H$1:H405)+SUMIF($F408:$F$490,$D406,H408:H$490),0))*'[1]Processer - data'!H406,"")*IF($C406&lt;&gt;"",IF($F406="Halm",Landbrug!C$16*Landbrug!C$17,IF(LEFT($D406,5)="Areal", IF($G406="Ton",Landbrug!C$18,1),1)),1)*IF($F406="Grøntsager",IF($A406="Grøntsager i drivhus",Landbrug!C$51,1-Landbrug!C$51),1)</f>
        <v>#REF!</v>
      </c>
      <c r="I406" s="303" t="e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input'!$A$3:$A$230,$A$1)),IF(VLOOKUP($A406,[1]!Table1[#All],2,FALSE)="Resultat",SUMIF($F$1:$F405,$D406,I$1:I405)+SUMIF($F408:$F$490,$D406,I408:I$490),0))*'[1]Processer - data'!I406,"")*IF($C406&lt;&gt;"",IF($F406="Halm",Landbrug!D$16*Landbrug!D$17,IF(LEFT($D406,5)="Areal", IF($G406="Ton",Landbrug!D$18,1),1)),1)*IF($F406="Grøntsager",IF($A406="Grøntsager i drivhus",Landbrug!D$51,1-Landbrug!D$51),1)</f>
        <v>#REF!</v>
      </c>
      <c r="J406" s="304" t="e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input'!$A$3:$A$230,$A$1)),IF(VLOOKUP($A406,[1]!Table1[#All],2,FALSE)="Resultat",SUMIF($F$1:$F405,$D406,J$1:J405)+SUMIF($F408:$F$490,$D406,J408:J$490),0))*'[1]Processer - data'!J406,"")*IF($C406&lt;&gt;"",IF($F406="Halm",Landbrug!E$16*Landbrug!E$17,IF(LEFT($D406,5)="Areal", IF($G406="Ton",Landbrug!E$18,1),1)),1)*IF($F406="Grøntsager",IF($A406="Grøntsager i drivhus",Landbrug!E$51,1-Landbrug!E$51),1)</f>
        <v>#REF!</v>
      </c>
    </row>
    <row r="407" spans="1:10" x14ac:dyDescent="0.25">
      <c r="A407" t="str">
        <f>IF('[1]Processer - data'!A407&lt;&gt;"",'[1]Processer - data'!A407,"")</f>
        <v>Mejeri</v>
      </c>
      <c r="B407" t="str">
        <f>IF('[1]Processer - data'!B407&lt;&gt;"",'[1]Processer - data'!B407,"")</f>
        <v/>
      </c>
      <c r="C407" t="str">
        <f>IF('[1]Processer - data'!C407&lt;&gt;"",'[1]Processer - data'!C407,"")</f>
        <v/>
      </c>
      <c r="D407" t="str">
        <f>IF('[1]Processer - data'!D407&lt;&gt;"",'[1]Processer - data'!D407,"")</f>
        <v>Råmælk</v>
      </c>
      <c r="E407" t="str">
        <f>IF('[1]Processer - data'!E407&lt;&gt;"",'[1]Processer - data'!E407,"")</f>
        <v>Ton</v>
      </c>
      <c r="F407" t="str">
        <f>IF('[1]Processer - data'!F407&lt;&gt;"",'[1]Processer - data'!F407,"")</f>
        <v>Mælk til foder</v>
      </c>
      <c r="G407" t="str">
        <f>IF('[1]Processer - data'!G407&lt;&gt;"",'[1]Processer - data'!G407,"")</f>
        <v>Ton</v>
      </c>
      <c r="H407" s="302" t="e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input'!$A$3:$A$230,$A$1)),IF(VLOOKUP($A407,[1]!Table1[#All],2,FALSE)="Resultat",SUMIF($F$1:$F405,$D407,H$1:H405)+SUMIF($F408:$F$490,$D407,H408:H$490),0))*'[1]Processer - data'!H407,"")*IF($C407&lt;&gt;"",IF($F407="Halm",Landbrug!C$16*Landbrug!C$17,IF(LEFT($D407,5)="Areal", IF($G407="Ton",Landbrug!C$18,1),1)),1)*IF($F407="Grøntsager",IF($A407="Grøntsager i drivhus",Landbrug!C$51,1-Landbrug!C$51),1)</f>
        <v>#REF!</v>
      </c>
      <c r="I407" s="303" t="e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input'!$A$3:$A$230,$A$1)),IF(VLOOKUP($A407,[1]!Table1[#All],2,FALSE)="Resultat",SUMIF($F$1:$F405,$D407,I$1:I405)+SUMIF($F408:$F$490,$D407,I408:I$490),0))*'[1]Processer - data'!I407,"")*IF($C407&lt;&gt;"",IF($F407="Halm",Landbrug!D$16*Landbrug!D$17,IF(LEFT($D407,5)="Areal", IF($G407="Ton",Landbrug!D$18,1),1)),1)*IF($F407="Grøntsager",IF($A407="Grøntsager i drivhus",Landbrug!D$51,1-Landbrug!D$51),1)</f>
        <v>#REF!</v>
      </c>
      <c r="J407" s="304" t="e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input'!$A$3:$A$230,$A$1)),IF(VLOOKUP($A407,[1]!Table1[#All],2,FALSE)="Resultat",SUMIF($F$1:$F405,$D407,J$1:J405)+SUMIF($F408:$F$490,$D407,J408:J$490),0))*'[1]Processer - data'!J407,"")*IF($C407&lt;&gt;"",IF($F407="Halm",Landbrug!E$16*Landbrug!E$17,IF(LEFT($D407,5)="Areal", IF($G407="Ton",Landbrug!E$18,1),1)),1)*IF($F407="Grøntsager",IF($A407="Grøntsager i drivhus",Landbrug!E$51,1-Landbrug!E$51),1)</f>
        <v>#REF!</v>
      </c>
    </row>
    <row r="408" spans="1:10" x14ac:dyDescent="0.25">
      <c r="A408" t="str">
        <f>IF('[1]Processer - data'!A408&lt;&gt;"",'[1]Processer - data'!A408,"")</f>
        <v>Slagteri</v>
      </c>
      <c r="B408" t="str">
        <f>IF('[1]Processer - data'!B408&lt;&gt;"",'[1]Processer - data'!B408,"")</f>
        <v/>
      </c>
      <c r="C408" t="str">
        <f>IF('[1]Processer - data'!C408&lt;&gt;"",'[1]Processer - data'!C408,"")</f>
        <v/>
      </c>
      <c r="D408" t="str">
        <f>IF('[1]Processer - data'!D408&lt;&gt;"",'[1]Processer - data'!D408,"")</f>
        <v>Slagtesvin</v>
      </c>
      <c r="E408" t="str">
        <f>IF('[1]Processer - data'!E408&lt;&gt;"",'[1]Processer - data'!E408,"")</f>
        <v>Antal</v>
      </c>
      <c r="F408" t="str">
        <f>IF('[1]Processer - data'!F408&lt;&gt;"",'[1]Processer - data'!F408,"")</f>
        <v>Svinekød</v>
      </c>
      <c r="G408" t="str">
        <f>IF('[1]Processer - data'!G408&lt;&gt;"",'[1]Processer - data'!G408,"")</f>
        <v>Ton</v>
      </c>
      <c r="H408" s="302" t="e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input'!$A$3:$A$230,$A$1)),IF(VLOOKUP($A408,[1]!Table1[#All],2,FALSE)="Resultat",SUMIF($F$1:$F407,$D408,H$1:H407)+SUMIF($F409:$F$490,$D408,H409:H$490),0))*'[1]Processer - data'!H408,"")*IF($C408&lt;&gt;"",IF($F408="Halm",Landbrug!C$16*Landbrug!C$17,IF(LEFT($D408,5)="Areal", IF($G408="Ton",Landbrug!C$18,1),1)),1)*IF($F408="Grøntsager",IF($A408="Grøntsager i drivhus",Landbrug!C$51,1-Landbrug!C$51),1)</f>
        <v>#REF!</v>
      </c>
      <c r="I408" s="303" t="e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input'!$A$3:$A$230,$A$1)),IF(VLOOKUP($A408,[1]!Table1[#All],2,FALSE)="Resultat",SUMIF($F$1:$F407,$D408,I$1:I407)+SUMIF($F409:$F$490,$D408,I409:I$490),0))*'[1]Processer - data'!I408,"")*IF($C408&lt;&gt;"",IF($F408="Halm",Landbrug!D$16*Landbrug!D$17,IF(LEFT($D408,5)="Areal", IF($G408="Ton",Landbrug!D$18,1),1)),1)*IF($F408="Grøntsager",IF($A408="Grøntsager i drivhus",Landbrug!D$51,1-Landbrug!D$51),1)</f>
        <v>#REF!</v>
      </c>
      <c r="J408" s="304" t="e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input'!$A$3:$A$230,$A$1)),IF(VLOOKUP($A408,[1]!Table1[#All],2,FALSE)="Resultat",SUMIF($F$1:$F407,$D408,J$1:J407)+SUMIF($F409:$F$490,$D408,J409:J$490),0))*'[1]Processer - data'!J408,"")*IF($C408&lt;&gt;"",IF($F408="Halm",Landbrug!E$16*Landbrug!E$17,IF(LEFT($D408,5)="Areal", IF($G408="Ton",Landbrug!E$18,1),1)),1)*IF($F408="Grøntsager",IF($A408="Grøntsager i drivhus",Landbrug!E$51,1-Landbrug!E$51),1)</f>
        <v>#REF!</v>
      </c>
    </row>
    <row r="409" spans="1:10" x14ac:dyDescent="0.25">
      <c r="A409" t="str">
        <f>IF('[1]Processer - data'!A409&lt;&gt;"",'[1]Processer - data'!A409,"")</f>
        <v>Slagteri</v>
      </c>
      <c r="B409" t="str">
        <f>IF('[1]Processer - data'!B409&lt;&gt;"",'[1]Processer - data'!B409,"")</f>
        <v/>
      </c>
      <c r="C409" t="str">
        <f>IF('[1]Processer - data'!C409&lt;&gt;"",'[1]Processer - data'!C409,"")</f>
        <v/>
      </c>
      <c r="D409" t="str">
        <f>IF('[1]Processer - data'!D409&lt;&gt;"",'[1]Processer - data'!D409,"")</f>
        <v>Slagtesvin</v>
      </c>
      <c r="E409" t="str">
        <f>IF('[1]Processer - data'!E409&lt;&gt;"",'[1]Processer - data'!E409,"")</f>
        <v>Antal</v>
      </c>
      <c r="F409" t="str">
        <f>IF('[1]Processer - data'!F409&lt;&gt;"",'[1]Processer - data'!F409,"")</f>
        <v>Industriaffald</v>
      </c>
      <c r="G409" t="str">
        <f>IF('[1]Processer - data'!G409&lt;&gt;"",'[1]Processer - data'!G409,"")</f>
        <v>Ton</v>
      </c>
      <c r="H409" s="302" t="e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input'!$A$3:$A$230,$A$1)),IF(VLOOKUP($A409,[1]!Table1[#All],2,FALSE)="Resultat",SUMIF($F$1:$F408,$D409,H$1:H408)+SUMIF($F410:$F$490,$D409,H410:H$490),0))*'[1]Processer - data'!H409,"")*IF($C409&lt;&gt;"",IF($F409="Halm",Landbrug!C$16*Landbrug!C$17,IF(LEFT($D409,5)="Areal", IF($G409="Ton",Landbrug!C$18,1),1)),1)*IF($F409="Grøntsager",IF($A409="Grøntsager i drivhus",Landbrug!C$51,1-Landbrug!C$51),1)</f>
        <v>#REF!</v>
      </c>
      <c r="I409" s="303" t="e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input'!$A$3:$A$230,$A$1)),IF(VLOOKUP($A409,[1]!Table1[#All],2,FALSE)="Resultat",SUMIF($F$1:$F408,$D409,I$1:I408)+SUMIF($F410:$F$490,$D409,I410:I$490),0))*'[1]Processer - data'!I409,"")*IF($C409&lt;&gt;"",IF($F409="Halm",Landbrug!D$16*Landbrug!D$17,IF(LEFT($D409,5)="Areal", IF($G409="Ton",Landbrug!D$18,1),1)),1)*IF($F409="Grøntsager",IF($A409="Grøntsager i drivhus",Landbrug!D$51,1-Landbrug!D$51),1)</f>
        <v>#REF!</v>
      </c>
      <c r="J409" s="304" t="e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input'!$A$3:$A$230,$A$1)),IF(VLOOKUP($A409,[1]!Table1[#All],2,FALSE)="Resultat",SUMIF($F$1:$F408,$D409,J$1:J408)+SUMIF($F410:$F$490,$D409,J410:J$490),0))*'[1]Processer - data'!J409,"")*IF($C409&lt;&gt;"",IF($F409="Halm",Landbrug!E$16*Landbrug!E$17,IF(LEFT($D409,5)="Areal", IF($G409="Ton",Landbrug!E$18,1),1)),1)*IF($F409="Grøntsager",IF($A409="Grøntsager i drivhus",Landbrug!E$51,1-Landbrug!E$51),1)</f>
        <v>#REF!</v>
      </c>
    </row>
    <row r="410" spans="1:10" x14ac:dyDescent="0.25">
      <c r="A410" t="str">
        <f>IF('[1]Processer - data'!A410&lt;&gt;"",'[1]Processer - data'!A410,"")</f>
        <v>Slagteri</v>
      </c>
      <c r="B410" t="str">
        <f>IF('[1]Processer - data'!B410&lt;&gt;"",'[1]Processer - data'!B410,"")</f>
        <v/>
      </c>
      <c r="C410" t="str">
        <f>IF('[1]Processer - data'!C410&lt;&gt;"",'[1]Processer - data'!C410,"")</f>
        <v/>
      </c>
      <c r="D410" t="str">
        <f>IF('[1]Processer - data'!D410&lt;&gt;"",'[1]Processer - data'!D410,"")</f>
        <v>Slagtesvin</v>
      </c>
      <c r="E410" t="str">
        <f>IF('[1]Processer - data'!E410&lt;&gt;"",'[1]Processer - data'!E410,"")</f>
        <v>Antal</v>
      </c>
      <c r="F410" t="str">
        <f>IF('[1]Processer - data'!F410&lt;&gt;"",'[1]Processer - data'!F410,"")</f>
        <v>Slagteriaffald til foder</v>
      </c>
      <c r="G410" t="str">
        <f>IF('[1]Processer - data'!G410&lt;&gt;"",'[1]Processer - data'!G410,"")</f>
        <v>Ton</v>
      </c>
      <c r="H410" s="302" t="e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input'!$A$3:$A$230,$A$1)),IF(VLOOKUP($A410,[1]!Table1[#All],2,FALSE)="Resultat",SUMIF($F$1:$F409,$D410,H$1:H409)+SUMIF($F411:$F$490,$D410,H411:H$490),0))*'[1]Processer - data'!H410,"")*IF($C410&lt;&gt;"",IF($F410="Halm",Landbrug!C$16*Landbrug!C$17,IF(LEFT($D410,5)="Areal", IF($G410="Ton",Landbrug!C$18,1),1)),1)*IF($F410="Grøntsager",IF($A410="Grøntsager i drivhus",Landbrug!C$51,1-Landbrug!C$51),1)</f>
        <v>#REF!</v>
      </c>
      <c r="I410" s="303" t="e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input'!$A$3:$A$230,$A$1)),IF(VLOOKUP($A410,[1]!Table1[#All],2,FALSE)="Resultat",SUMIF($F$1:$F409,$D410,I$1:I409)+SUMIF($F411:$F$490,$D410,I411:I$490),0))*'[1]Processer - data'!I410,"")*IF($C410&lt;&gt;"",IF($F410="Halm",Landbrug!D$16*Landbrug!D$17,IF(LEFT($D410,5)="Areal", IF($G410="Ton",Landbrug!D$18,1),1)),1)*IF($F410="Grøntsager",IF($A410="Grøntsager i drivhus",Landbrug!D$51,1-Landbrug!D$51),1)</f>
        <v>#REF!</v>
      </c>
      <c r="J410" s="304" t="e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input'!$A$3:$A$230,$A$1)),IF(VLOOKUP($A410,[1]!Table1[#All],2,FALSE)="Resultat",SUMIF($F$1:$F409,$D410,J$1:J409)+SUMIF($F411:$F$490,$D410,J411:J$490),0))*'[1]Processer - data'!J410,"")*IF($C410&lt;&gt;"",IF($F410="Halm",Landbrug!E$16*Landbrug!E$17,IF(LEFT($D410,5)="Areal", IF($G410="Ton",Landbrug!E$18,1),1)),1)*IF($F410="Grøntsager",IF($A410="Grøntsager i drivhus",Landbrug!E$51,1-Landbrug!E$51),1)</f>
        <v>#REF!</v>
      </c>
    </row>
    <row r="411" spans="1:10" x14ac:dyDescent="0.25">
      <c r="A411" t="str">
        <f>IF('[1]Processer - data'!A411&lt;&gt;"",'[1]Processer - data'!A411,"")</f>
        <v>Slagteri</v>
      </c>
      <c r="B411" t="str">
        <f>IF('[1]Processer - data'!B411&lt;&gt;"",'[1]Processer - data'!B411,"")</f>
        <v/>
      </c>
      <c r="C411" t="str">
        <f>IF('[1]Processer - data'!C411&lt;&gt;"",'[1]Processer - data'!C411,"")</f>
        <v/>
      </c>
      <c r="D411" t="str">
        <f>IF('[1]Processer - data'!D411&lt;&gt;"",'[1]Processer - data'!D411,"")</f>
        <v>Slagtesvin</v>
      </c>
      <c r="E411" t="str">
        <f>IF('[1]Processer - data'!E411&lt;&gt;"",'[1]Processer - data'!E411,"")</f>
        <v>Antal</v>
      </c>
      <c r="F411" t="str">
        <f>IF('[1]Processer - data'!F411&lt;&gt;"",'[1]Processer - data'!F411,"")</f>
        <v>Slagteriaffald til andet</v>
      </c>
      <c r="G411" t="str">
        <f>IF('[1]Processer - data'!G411&lt;&gt;"",'[1]Processer - data'!G411,"")</f>
        <v>Ton</v>
      </c>
      <c r="H411" s="302" t="e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input'!$A$3:$A$230,$A$1)),IF(VLOOKUP($A411,[1]!Table1[#All],2,FALSE)="Resultat",SUMIF($F$1:$F410,$D411,H$1:H410)+SUMIF($F412:$F$490,$D411,H412:H$490),0))*'[1]Processer - data'!H411,"")*IF($C411&lt;&gt;"",IF($F411="Halm",Landbrug!C$16*Landbrug!C$17,IF(LEFT($D411,5)="Areal", IF($G411="Ton",Landbrug!C$18,1),1)),1)*IF($F411="Grøntsager",IF($A411="Grøntsager i drivhus",Landbrug!C$51,1-Landbrug!C$51),1)</f>
        <v>#REF!</v>
      </c>
      <c r="I411" s="303" t="e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input'!$A$3:$A$230,$A$1)),IF(VLOOKUP($A411,[1]!Table1[#All],2,FALSE)="Resultat",SUMIF($F$1:$F410,$D411,I$1:I410)+SUMIF($F412:$F$490,$D411,I412:I$490),0))*'[1]Processer - data'!I411,"")*IF($C411&lt;&gt;"",IF($F411="Halm",Landbrug!D$16*Landbrug!D$17,IF(LEFT($D411,5)="Areal", IF($G411="Ton",Landbrug!D$18,1),1)),1)*IF($F411="Grøntsager",IF($A411="Grøntsager i drivhus",Landbrug!D$51,1-Landbrug!D$51),1)</f>
        <v>#REF!</v>
      </c>
      <c r="J411" s="304" t="e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input'!$A$3:$A$230,$A$1)),IF(VLOOKUP($A411,[1]!Table1[#All],2,FALSE)="Resultat",SUMIF($F$1:$F410,$D411,J$1:J410)+SUMIF($F412:$F$490,$D411,J412:J$490),0))*'[1]Processer - data'!J411,"")*IF($C411&lt;&gt;"",IF($F411="Halm",Landbrug!E$16*Landbrug!E$17,IF(LEFT($D411,5)="Areal", IF($G411="Ton",Landbrug!E$18,1),1)),1)*IF($F411="Grøntsager",IF($A411="Grøntsager i drivhus",Landbrug!E$51,1-Landbrug!E$51),1)</f>
        <v>#REF!</v>
      </c>
    </row>
    <row r="412" spans="1:10" x14ac:dyDescent="0.25">
      <c r="A412" t="str">
        <f>IF('[1]Processer - data'!A412&lt;&gt;"",'[1]Processer - data'!A412,"")</f>
        <v>Slagteri</v>
      </c>
      <c r="B412" t="str">
        <f>IF('[1]Processer - data'!B412&lt;&gt;"",'[1]Processer - data'!B412,"")</f>
        <v/>
      </c>
      <c r="C412" t="str">
        <f>IF('[1]Processer - data'!C412&lt;&gt;"",'[1]Processer - data'!C412,"")</f>
        <v/>
      </c>
      <c r="D412" t="str">
        <f>IF('[1]Processer - data'!D412&lt;&gt;"",'[1]Processer - data'!D412,"")</f>
        <v>Slagtekøer</v>
      </c>
      <c r="E412" t="str">
        <f>IF('[1]Processer - data'!E412&lt;&gt;"",'[1]Processer - data'!E412,"")</f>
        <v>Antal</v>
      </c>
      <c r="F412" t="str">
        <f>IF('[1]Processer - data'!F412&lt;&gt;"",'[1]Processer - data'!F412,"")</f>
        <v>Oksekød</v>
      </c>
      <c r="G412" t="str">
        <f>IF('[1]Processer - data'!G412&lt;&gt;"",'[1]Processer - data'!G412,"")</f>
        <v>Ton</v>
      </c>
      <c r="H412" s="302" t="e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input'!$A$3:$A$230,$A$1)),IF(VLOOKUP($A412,[1]!Table1[#All],2,FALSE)="Resultat",SUMIF($F$1:$F411,$D412,H$1:H411)+SUMIF($F413:$F$490,$D412,H413:H$490),0))*'[1]Processer - data'!H412,"")*IF($C412&lt;&gt;"",IF($F412="Halm",Landbrug!C$16*Landbrug!C$17,IF(LEFT($D412,5)="Areal", IF($G412="Ton",Landbrug!C$18,1),1)),1)*IF($F412="Grøntsager",IF($A412="Grøntsager i drivhus",Landbrug!C$51,1-Landbrug!C$51),1)</f>
        <v>#REF!</v>
      </c>
      <c r="I412" s="303" t="e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input'!$A$3:$A$230,$A$1)),IF(VLOOKUP($A412,[1]!Table1[#All],2,FALSE)="Resultat",SUMIF($F$1:$F411,$D412,I$1:I411)+SUMIF($F413:$F$490,$D412,I413:I$490),0))*'[1]Processer - data'!I412,"")*IF($C412&lt;&gt;"",IF($F412="Halm",Landbrug!D$16*Landbrug!D$17,IF(LEFT($D412,5)="Areal", IF($G412="Ton",Landbrug!D$18,1),1)),1)*IF($F412="Grøntsager",IF($A412="Grøntsager i drivhus",Landbrug!D$51,1-Landbrug!D$51),1)</f>
        <v>#REF!</v>
      </c>
      <c r="J412" s="304" t="e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input'!$A$3:$A$230,$A$1)),IF(VLOOKUP($A412,[1]!Table1[#All],2,FALSE)="Resultat",SUMIF($F$1:$F411,$D412,J$1:J411)+SUMIF($F413:$F$490,$D412,J413:J$490),0))*'[1]Processer - data'!J412,"")*IF($C412&lt;&gt;"",IF($F412="Halm",Landbrug!E$16*Landbrug!E$17,IF(LEFT($D412,5)="Areal", IF($G412="Ton",Landbrug!E$18,1),1)),1)*IF($F412="Grøntsager",IF($A412="Grøntsager i drivhus",Landbrug!E$51,1-Landbrug!E$51),1)</f>
        <v>#REF!</v>
      </c>
    </row>
    <row r="413" spans="1:10" x14ac:dyDescent="0.25">
      <c r="A413" t="str">
        <f>IF('[1]Processer - data'!A413&lt;&gt;"",'[1]Processer - data'!A413,"")</f>
        <v>Slagteri</v>
      </c>
      <c r="B413" t="str">
        <f>IF('[1]Processer - data'!B413&lt;&gt;"",'[1]Processer - data'!B413,"")</f>
        <v/>
      </c>
      <c r="C413" t="str">
        <f>IF('[1]Processer - data'!C413&lt;&gt;"",'[1]Processer - data'!C413,"")</f>
        <v/>
      </c>
      <c r="D413" t="str">
        <f>IF('[1]Processer - data'!D413&lt;&gt;"",'[1]Processer - data'!D413,"")</f>
        <v>Slagtekøer</v>
      </c>
      <c r="E413" t="str">
        <f>IF('[1]Processer - data'!E413&lt;&gt;"",'[1]Processer - data'!E413,"")</f>
        <v>Antal</v>
      </c>
      <c r="F413" t="str">
        <f>IF('[1]Processer - data'!F413&lt;&gt;"",'[1]Processer - data'!F413,"")</f>
        <v>Industriaffald</v>
      </c>
      <c r="G413" t="str">
        <f>IF('[1]Processer - data'!G413&lt;&gt;"",'[1]Processer - data'!G413,"")</f>
        <v>Ton</v>
      </c>
      <c r="H413" s="302" t="e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input'!$A$3:$A$230,$A$1)),IF(VLOOKUP($A413,[1]!Table1[#All],2,FALSE)="Resultat",SUMIF($F$1:$F412,$D413,H$1:H412)+SUMIF($F414:$F$490,$D413,H414:H$490),0))*'[1]Processer - data'!H413,"")*IF($C413&lt;&gt;"",IF($F413="Halm",Landbrug!C$16*Landbrug!C$17,IF(LEFT($D413,5)="Areal", IF($G413="Ton",Landbrug!C$18,1),1)),1)*IF($F413="Grøntsager",IF($A413="Grøntsager i drivhus",Landbrug!C$51,1-Landbrug!C$51),1)</f>
        <v>#REF!</v>
      </c>
      <c r="I413" s="303" t="e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input'!$A$3:$A$230,$A$1)),IF(VLOOKUP($A413,[1]!Table1[#All],2,FALSE)="Resultat",SUMIF($F$1:$F412,$D413,I$1:I412)+SUMIF($F414:$F$490,$D413,I414:I$490),0))*'[1]Processer - data'!I413,"")*IF($C413&lt;&gt;"",IF($F413="Halm",Landbrug!D$16*Landbrug!D$17,IF(LEFT($D413,5)="Areal", IF($G413="Ton",Landbrug!D$18,1),1)),1)*IF($F413="Grøntsager",IF($A413="Grøntsager i drivhus",Landbrug!D$51,1-Landbrug!D$51),1)</f>
        <v>#REF!</v>
      </c>
      <c r="J413" s="304" t="e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input'!$A$3:$A$230,$A$1)),IF(VLOOKUP($A413,[1]!Table1[#All],2,FALSE)="Resultat",SUMIF($F$1:$F412,$D413,J$1:J412)+SUMIF($F414:$F$490,$D413,J414:J$490),0))*'[1]Processer - data'!J413,"")*IF($C413&lt;&gt;"",IF($F413="Halm",Landbrug!E$16*Landbrug!E$17,IF(LEFT($D413,5)="Areal", IF($G413="Ton",Landbrug!E$18,1),1)),1)*IF($F413="Grøntsager",IF($A413="Grøntsager i drivhus",Landbrug!E$51,1-Landbrug!E$51),1)</f>
        <v>#REF!</v>
      </c>
    </row>
    <row r="414" spans="1:10" x14ac:dyDescent="0.25">
      <c r="A414" t="str">
        <f>IF('[1]Processer - data'!A414&lt;&gt;"",'[1]Processer - data'!A414,"")</f>
        <v>Slagteri</v>
      </c>
      <c r="B414" t="str">
        <f>IF('[1]Processer - data'!B414&lt;&gt;"",'[1]Processer - data'!B414,"")</f>
        <v/>
      </c>
      <c r="C414" t="str">
        <f>IF('[1]Processer - data'!C414&lt;&gt;"",'[1]Processer - data'!C414,"")</f>
        <v/>
      </c>
      <c r="D414" t="str">
        <f>IF('[1]Processer - data'!D414&lt;&gt;"",'[1]Processer - data'!D414,"")</f>
        <v>Slagtekøer</v>
      </c>
      <c r="E414" t="str">
        <f>IF('[1]Processer - data'!E414&lt;&gt;"",'[1]Processer - data'!E414,"")</f>
        <v>Antal</v>
      </c>
      <c r="F414" t="str">
        <f>IF('[1]Processer - data'!F414&lt;&gt;"",'[1]Processer - data'!F414,"")</f>
        <v>Slagteriaffald til foder</v>
      </c>
      <c r="G414" t="str">
        <f>IF('[1]Processer - data'!G414&lt;&gt;"",'[1]Processer - data'!G414,"")</f>
        <v>Ton</v>
      </c>
      <c r="H414" s="302" t="e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input'!$A$3:$A$230,$A$1)),IF(VLOOKUP($A414,[1]!Table1[#All],2,FALSE)="Resultat",SUMIF($F$1:$F413,$D414,H$1:H413)+SUMIF($F415:$F$490,$D414,H415:H$490),0))*'[1]Processer - data'!H414,"")*IF($C414&lt;&gt;"",IF($F414="Halm",Landbrug!C$16*Landbrug!C$17,IF(LEFT($D414,5)="Areal", IF($G414="Ton",Landbrug!C$18,1),1)),1)*IF($F414="Grøntsager",IF($A414="Grøntsager i drivhus",Landbrug!C$51,1-Landbrug!C$51),1)</f>
        <v>#REF!</v>
      </c>
      <c r="I414" s="303" t="e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input'!$A$3:$A$230,$A$1)),IF(VLOOKUP($A414,[1]!Table1[#All],2,FALSE)="Resultat",SUMIF($F$1:$F413,$D414,I$1:I413)+SUMIF($F415:$F$490,$D414,I415:I$490),0))*'[1]Processer - data'!I414,"")*IF($C414&lt;&gt;"",IF($F414="Halm",Landbrug!D$16*Landbrug!D$17,IF(LEFT($D414,5)="Areal", IF($G414="Ton",Landbrug!D$18,1),1)),1)*IF($F414="Grøntsager",IF($A414="Grøntsager i drivhus",Landbrug!D$51,1-Landbrug!D$51),1)</f>
        <v>#REF!</v>
      </c>
      <c r="J414" s="304" t="e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input'!$A$3:$A$230,$A$1)),IF(VLOOKUP($A414,[1]!Table1[#All],2,FALSE)="Resultat",SUMIF($F$1:$F413,$D414,J$1:J413)+SUMIF($F415:$F$490,$D414,J415:J$490),0))*'[1]Processer - data'!J414,"")*IF($C414&lt;&gt;"",IF($F414="Halm",Landbrug!E$16*Landbrug!E$17,IF(LEFT($D414,5)="Areal", IF($G414="Ton",Landbrug!E$18,1),1)),1)*IF($F414="Grøntsager",IF($A414="Grøntsager i drivhus",Landbrug!E$51,1-Landbrug!E$51),1)</f>
        <v>#REF!</v>
      </c>
    </row>
    <row r="415" spans="1:10" x14ac:dyDescent="0.25">
      <c r="A415" t="str">
        <f>IF('[1]Processer - data'!A415&lt;&gt;"",'[1]Processer - data'!A415,"")</f>
        <v>Slagteri</v>
      </c>
      <c r="B415" t="str">
        <f>IF('[1]Processer - data'!B415&lt;&gt;"",'[1]Processer - data'!B415,"")</f>
        <v/>
      </c>
      <c r="C415" t="str">
        <f>IF('[1]Processer - data'!C415&lt;&gt;"",'[1]Processer - data'!C415,"")</f>
        <v/>
      </c>
      <c r="D415" t="str">
        <f>IF('[1]Processer - data'!D415&lt;&gt;"",'[1]Processer - data'!D415,"")</f>
        <v>Slagtekøer</v>
      </c>
      <c r="E415" t="str">
        <f>IF('[1]Processer - data'!E415&lt;&gt;"",'[1]Processer - data'!E415,"")</f>
        <v>Antal</v>
      </c>
      <c r="F415" t="str">
        <f>IF('[1]Processer - data'!F415&lt;&gt;"",'[1]Processer - data'!F415,"")</f>
        <v>Slagteriaffald til andet</v>
      </c>
      <c r="G415" t="str">
        <f>IF('[1]Processer - data'!G415&lt;&gt;"",'[1]Processer - data'!G415,"")</f>
        <v>Ton</v>
      </c>
      <c r="H415" s="302" t="e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input'!$A$3:$A$230,$A$1)),IF(VLOOKUP($A415,[1]!Table1[#All],2,FALSE)="Resultat",SUMIF($F$1:$F414,$D415,H$1:H414)+SUMIF($F416:$F$490,$D415,H416:H$490),0))*'[1]Processer - data'!H415,"")*IF($C415&lt;&gt;"",IF($F415="Halm",Landbrug!C$16*Landbrug!C$17,IF(LEFT($D415,5)="Areal", IF($G415="Ton",Landbrug!C$18,1),1)),1)*IF($F415="Grøntsager",IF($A415="Grøntsager i drivhus",Landbrug!C$51,1-Landbrug!C$51),1)</f>
        <v>#REF!</v>
      </c>
      <c r="I415" s="303" t="e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input'!$A$3:$A$230,$A$1)),IF(VLOOKUP($A415,[1]!Table1[#All],2,FALSE)="Resultat",SUMIF($F$1:$F414,$D415,I$1:I414)+SUMIF($F416:$F$490,$D415,I416:I$490),0))*'[1]Processer - data'!I415,"")*IF($C415&lt;&gt;"",IF($F415="Halm",Landbrug!D$16*Landbrug!D$17,IF(LEFT($D415,5)="Areal", IF($G415="Ton",Landbrug!D$18,1),1)),1)*IF($F415="Grøntsager",IF($A415="Grøntsager i drivhus",Landbrug!D$51,1-Landbrug!D$51),1)</f>
        <v>#REF!</v>
      </c>
      <c r="J415" s="304" t="e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input'!$A$3:$A$230,$A$1)),IF(VLOOKUP($A415,[1]!Table1[#All],2,FALSE)="Resultat",SUMIF($F$1:$F414,$D415,J$1:J414)+SUMIF($F416:$F$490,$D415,J416:J$490),0))*'[1]Processer - data'!J415,"")*IF($C415&lt;&gt;"",IF($F415="Halm",Landbrug!E$16*Landbrug!E$17,IF(LEFT($D415,5)="Areal", IF($G415="Ton",Landbrug!E$18,1),1)),1)*IF($F415="Grøntsager",IF($A415="Grøntsager i drivhus",Landbrug!E$51,1-Landbrug!E$51),1)</f>
        <v>#REF!</v>
      </c>
    </row>
    <row r="416" spans="1:10" x14ac:dyDescent="0.25">
      <c r="A416" t="str">
        <f>IF('[1]Processer - data'!A416&lt;&gt;"",'[1]Processer - data'!A416,"")</f>
        <v>Slagteri</v>
      </c>
      <c r="B416" t="str">
        <f>IF('[1]Processer - data'!B416&lt;&gt;"",'[1]Processer - data'!B416,"")</f>
        <v/>
      </c>
      <c r="C416" t="str">
        <f>IF('[1]Processer - data'!C416&lt;&gt;"",'[1]Processer - data'!C416,"")</f>
        <v/>
      </c>
      <c r="D416" t="str">
        <f>IF('[1]Processer - data'!D416&lt;&gt;"",'[1]Processer - data'!D416,"")</f>
        <v>Slagtefjerkræ</v>
      </c>
      <c r="E416" t="str">
        <f>IF('[1]Processer - data'!E416&lt;&gt;"",'[1]Processer - data'!E416,"")</f>
        <v>Antal</v>
      </c>
      <c r="F416" t="str">
        <f>IF('[1]Processer - data'!F416&lt;&gt;"",'[1]Processer - data'!F416,"")</f>
        <v>Fjerkrækød</v>
      </c>
      <c r="G416" t="str">
        <f>IF('[1]Processer - data'!G416&lt;&gt;"",'[1]Processer - data'!G416,"")</f>
        <v>Ton</v>
      </c>
      <c r="H416" s="302" t="e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input'!$A$3:$A$230,$A$1)),IF(VLOOKUP($A416,[1]!Table1[#All],2,FALSE)="Resultat",SUMIF($F$1:$F415,$D416,H$1:H415)+SUMIF($F417:$F$490,$D416,H417:H$490),0))*'[1]Processer - data'!H416,"")*IF($C416&lt;&gt;"",IF($F416="Halm",Landbrug!C$16*Landbrug!C$17,IF(LEFT($D416,5)="Areal", IF($G416="Ton",Landbrug!C$18,1),1)),1)*IF($F416="Grøntsager",IF($A416="Grøntsager i drivhus",Landbrug!C$51,1-Landbrug!C$51),1)</f>
        <v>#REF!</v>
      </c>
      <c r="I416" s="303" t="e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input'!$A$3:$A$230,$A$1)),IF(VLOOKUP($A416,[1]!Table1[#All],2,FALSE)="Resultat",SUMIF($F$1:$F415,$D416,I$1:I415)+SUMIF($F417:$F$490,$D416,I417:I$490),0))*'[1]Processer - data'!I416,"")*IF($C416&lt;&gt;"",IF($F416="Halm",Landbrug!D$16*Landbrug!D$17,IF(LEFT($D416,5)="Areal", IF($G416="Ton",Landbrug!D$18,1),1)),1)*IF($F416="Grøntsager",IF($A416="Grøntsager i drivhus",Landbrug!D$51,1-Landbrug!D$51),1)</f>
        <v>#REF!</v>
      </c>
      <c r="J416" s="304" t="e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input'!$A$3:$A$230,$A$1)),IF(VLOOKUP($A416,[1]!Table1[#All],2,FALSE)="Resultat",SUMIF($F$1:$F415,$D416,J$1:J415)+SUMIF($F417:$F$490,$D416,J417:J$490),0))*'[1]Processer - data'!J416,"")*IF($C416&lt;&gt;"",IF($F416="Halm",Landbrug!E$16*Landbrug!E$17,IF(LEFT($D416,5)="Areal", IF($G416="Ton",Landbrug!E$18,1),1)),1)*IF($F416="Grøntsager",IF($A416="Grøntsager i drivhus",Landbrug!E$51,1-Landbrug!E$51),1)</f>
        <v>#REF!</v>
      </c>
    </row>
    <row r="417" spans="1:15" ht="15.75" thickBot="1" x14ac:dyDescent="0.3">
      <c r="A417" t="str">
        <f>IF('[1]Processer - data'!A417&lt;&gt;"",'[1]Processer - data'!A417,"")</f>
        <v>Slagteri</v>
      </c>
      <c r="B417" t="str">
        <f>IF('[1]Processer - data'!B417&lt;&gt;"",'[1]Processer - data'!B417,"")</f>
        <v/>
      </c>
      <c r="C417" t="str">
        <f>IF('[1]Processer - data'!C417&lt;&gt;"",'[1]Processer - data'!C417,"")</f>
        <v/>
      </c>
      <c r="D417" t="str">
        <f>IF('[1]Processer - data'!D417&lt;&gt;"",'[1]Processer - data'!D417,"")</f>
        <v>Slagtefjerkræ</v>
      </c>
      <c r="E417" t="str">
        <f>IF('[1]Processer - data'!E417&lt;&gt;"",'[1]Processer - data'!E417,"")</f>
        <v>Antal</v>
      </c>
      <c r="F417" t="str">
        <f>IF('[1]Processer - data'!F417&lt;&gt;"",'[1]Processer - data'!F417,"")</f>
        <v>Industriaffald</v>
      </c>
      <c r="G417" t="str">
        <f>IF('[1]Processer - data'!G417&lt;&gt;"",'[1]Processer - data'!G417,"")</f>
        <v>Ton</v>
      </c>
      <c r="H417" s="308" t="e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input'!$A$3:$A$230,$A$1)),IF(VLOOKUP($A417,[1]!Table1[#All],2,FALSE)="Resultat",SUMIF($F$1:$F416,$D417,H$1:H416)+SUMIF($F418:$F$490,$D417,H418:H$490),0))*'[1]Processer - data'!H417,"")*IF($C417&lt;&gt;"",IF($F417="Halm",Landbrug!C$16*Landbrug!C$17,IF(LEFT($D417,5)="Areal", IF($G417="Ton",Landbrug!C$18,1),1)),1)*IF($F417="Grøntsager",IF($A417="Grøntsager i drivhus",Landbrug!C$51,1-Landbrug!C$51),1)</f>
        <v>#REF!</v>
      </c>
      <c r="I417" s="309" t="e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input'!$A$3:$A$230,$A$1)),IF(VLOOKUP($A417,[1]!Table1[#All],2,FALSE)="Resultat",SUMIF($F$1:$F416,$D417,I$1:I416)+SUMIF($F418:$F$490,$D417,I418:I$490),0))*'[1]Processer - data'!I417,"")*IF($C417&lt;&gt;"",IF($F417="Halm",Landbrug!D$16*Landbrug!D$17,IF(LEFT($D417,5)="Areal", IF($G417="Ton",Landbrug!D$18,1),1)),1)*IF($F417="Grøntsager",IF($A417="Grøntsager i drivhus",Landbrug!D$51,1-Landbrug!D$51),1)</f>
        <v>#REF!</v>
      </c>
      <c r="J417" s="310" t="e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input'!$A$3:$A$230,$A$1)),IF(VLOOKUP($A417,[1]!Table1[#All],2,FALSE)="Resultat",SUMIF($F$1:$F416,$D417,J$1:J416)+SUMIF($F418:$F$490,$D417,J418:J$490),0))*'[1]Processer - data'!J417,"")*IF($C417&lt;&gt;"",IF($F417="Halm",Landbrug!E$16*Landbrug!E$17,IF(LEFT($D417,5)="Areal", IF($G417="Ton",Landbrug!E$18,1),1)),1)*IF($F417="Grøntsager",IF($A417="Grøntsager i drivhus",Landbrug!E$51,1-Landbrug!E$51),1)</f>
        <v>#REF!</v>
      </c>
    </row>
    <row r="418" spans="1:15" x14ac:dyDescent="0.25">
      <c r="A418" t="str">
        <f>IF('[1]Processer - data'!A418&lt;&gt;"",'[1]Processer - data'!A418,"")</f>
        <v>Foderproduktion</v>
      </c>
      <c r="B418" t="str">
        <f>IF('[1]Processer - data'!B418&lt;&gt;"",'[1]Processer - data'!B418,"")</f>
        <v/>
      </c>
      <c r="C418" t="str">
        <f>IF('[1]Processer - data'!C418&lt;&gt;"",'[1]Processer - data'!C418,"")</f>
        <v/>
      </c>
      <c r="D418" t="str">
        <f>IF('[1]Processer - data'!D418&lt;&gt;"",'[1]Processer - data'!D418,"")</f>
        <v>Korn</v>
      </c>
      <c r="E418" t="str">
        <f>IF('[1]Processer - data'!E418&lt;&gt;"",'[1]Processer - data'!E418,"")</f>
        <v>Ton</v>
      </c>
      <c r="F418" t="str">
        <f>IF('[1]Processer - data'!F418&lt;&gt;"",'[1]Processer - data'!F418,"")</f>
        <v>Foder</v>
      </c>
      <c r="G418" t="str">
        <f>IF('[1]Processer - data'!G418&lt;&gt;"",'[1]Processer - data'!G418,"")</f>
        <v>FE</v>
      </c>
      <c r="H418" s="277" t="e">
        <f>SUMIFS('Forbrug af biomasse'!$E$1:$E$425,'Forbrug af biomasse'!$A$1:$A$425,$F418,'Forbrug af biomasse'!$C$1:$C$425,$D418,'Forbrug af biomasse'!$B$1:$B$425,$A$1,'Forbrug af biomasse'!$D$1:$D$425,H$2)*'[1]Processer - data'!H418</f>
        <v>#REF!</v>
      </c>
      <c r="I418" s="278" t="e">
        <f>SUMIFS('Forbrug af biomasse'!$E$1:$E$425,'Forbrug af biomasse'!$A$1:$A$425,$F418,'Forbrug af biomasse'!$C$1:$C$425,$D418,'Forbrug af biomasse'!$B$1:$B$425,$A$1,'Forbrug af biomasse'!$D$1:$D$425,I$2)*'[1]Processer - data'!I418</f>
        <v>#REF!</v>
      </c>
      <c r="J418" s="279" t="e">
        <f>SUMIFS('Forbrug af biomasse'!$E$1:$E$425,'Forbrug af biomasse'!$A$1:$A$425,$F418,'Forbrug af biomasse'!$C$1:$C$425,$D418,'Forbrug af biomasse'!$B$1:$B$425,$A$1,'Forbrug af biomasse'!$D$1:$D$425,J$2)*'[1]Processer - data'!J418</f>
        <v>#REF!</v>
      </c>
      <c r="N418" s="171"/>
      <c r="O418" s="171"/>
    </row>
    <row r="419" spans="1:15" x14ac:dyDescent="0.25">
      <c r="A419" t="str">
        <f>IF('[1]Processer - data'!A419&lt;&gt;"",'[1]Processer - data'!A419,"")</f>
        <v>Foderproduktion</v>
      </c>
      <c r="B419" t="str">
        <f>IF('[1]Processer - data'!B419&lt;&gt;"",'[1]Processer - data'!B419,"")</f>
        <v/>
      </c>
      <c r="C419" t="str">
        <f>IF('[1]Processer - data'!C419&lt;&gt;"",'[1]Processer - data'!C419,"")</f>
        <v/>
      </c>
      <c r="D419" t="str">
        <f>IF('[1]Processer - data'!D419&lt;&gt;"",'[1]Processer - data'!D419,"")</f>
        <v>Halm</v>
      </c>
      <c r="E419" t="str">
        <f>IF('[1]Processer - data'!E419&lt;&gt;"",'[1]Processer - data'!E419,"")</f>
        <v>Ton</v>
      </c>
      <c r="F419" t="str">
        <f>IF('[1]Processer - data'!F419&lt;&gt;"",'[1]Processer - data'!F419,"")</f>
        <v>Foder</v>
      </c>
      <c r="G419" t="str">
        <f>IF('[1]Processer - data'!G419&lt;&gt;"",'[1]Processer - data'!G419,"")</f>
        <v>FE</v>
      </c>
      <c r="H419" s="280" t="e">
        <f>SUMIFS('Forbrug af biomasse'!$E$1:$E$425,'Forbrug af biomasse'!$A$1:$A$425,$F419,'Forbrug af biomasse'!$C$1:$C$425,$D419,'Forbrug af biomasse'!$B$1:$B$425,$A$1,'Forbrug af biomasse'!$D$1:$D$425,H$2)*'[1]Processer - data'!H419</f>
        <v>#REF!</v>
      </c>
      <c r="I419" s="281" t="e">
        <f>SUMIFS('Forbrug af biomasse'!$E$1:$E$425,'Forbrug af biomasse'!$A$1:$A$425,$F419,'Forbrug af biomasse'!$C$1:$C$425,$D419,'Forbrug af biomasse'!$B$1:$B$425,$A$1,'Forbrug af biomasse'!$D$1:$D$425,I$2)*'[1]Processer - data'!I419</f>
        <v>#REF!</v>
      </c>
      <c r="J419" s="282" t="e">
        <f>SUMIFS('Forbrug af biomasse'!$E$1:$E$425,'Forbrug af biomasse'!$A$1:$A$425,$F419,'Forbrug af biomasse'!$C$1:$C$425,$D419,'Forbrug af biomasse'!$B$1:$B$425,$A$1,'Forbrug af biomasse'!$D$1:$D$425,J$2)*'[1]Processer - data'!J419</f>
        <v>#REF!</v>
      </c>
      <c r="M419" s="171"/>
      <c r="N419" s="171"/>
      <c r="O419" s="171"/>
    </row>
    <row r="420" spans="1:15" x14ac:dyDescent="0.25">
      <c r="A420" t="str">
        <f>IF('[1]Processer - data'!A420&lt;&gt;"",'[1]Processer - data'!A420,"")</f>
        <v>Foderproduktion</v>
      </c>
      <c r="B420" t="str">
        <f>IF('[1]Processer - data'!B420&lt;&gt;"",'[1]Processer - data'!B420,"")</f>
        <v/>
      </c>
      <c r="C420" t="str">
        <f>IF('[1]Processer - data'!C420&lt;&gt;"",'[1]Processer - data'!C420,"")</f>
        <v/>
      </c>
      <c r="D420" t="str">
        <f>IF('[1]Processer - data'!D420&lt;&gt;"",'[1]Processer - data'!D420,"")</f>
        <v>Kartofler</v>
      </c>
      <c r="E420" t="str">
        <f>IF('[1]Processer - data'!E420&lt;&gt;"",'[1]Processer - data'!E420,"")</f>
        <v>Ton</v>
      </c>
      <c r="F420" t="str">
        <f>IF('[1]Processer - data'!F420&lt;&gt;"",'[1]Processer - data'!F420,"")</f>
        <v>Foder</v>
      </c>
      <c r="G420" t="str">
        <f>IF('[1]Processer - data'!G420&lt;&gt;"",'[1]Processer - data'!G420,"")</f>
        <v>FE</v>
      </c>
      <c r="H420" s="280" t="e">
        <f>SUMIFS('Forbrug af biomasse'!$E$1:$E$425,'Forbrug af biomasse'!$A$1:$A$425,$F420,'Forbrug af biomasse'!$C$1:$C$425,$D420,'Forbrug af biomasse'!$B$1:$B$425,$A$1,'Forbrug af biomasse'!$D$1:$D$425,H$2)*'[1]Processer - data'!H420</f>
        <v>#REF!</v>
      </c>
      <c r="I420" s="281" t="e">
        <f>SUMIFS('Forbrug af biomasse'!$E$1:$E$425,'Forbrug af biomasse'!$A$1:$A$425,$F420,'Forbrug af biomasse'!$C$1:$C$425,$D420,'Forbrug af biomasse'!$B$1:$B$425,$A$1,'Forbrug af biomasse'!$D$1:$D$425,I$2)*'[1]Processer - data'!I420</f>
        <v>#REF!</v>
      </c>
      <c r="J420" s="282" t="e">
        <f>SUMIFS('Forbrug af biomasse'!$E$1:$E$425,'Forbrug af biomasse'!$A$1:$A$425,$F420,'Forbrug af biomasse'!$C$1:$C$425,$D420,'Forbrug af biomasse'!$B$1:$B$425,$A$1,'Forbrug af biomasse'!$D$1:$D$425,J$2)*'[1]Processer - data'!J420</f>
        <v>#REF!</v>
      </c>
      <c r="M420" s="171"/>
      <c r="N420" s="171"/>
      <c r="O420" s="171"/>
    </row>
    <row r="421" spans="1:15" x14ac:dyDescent="0.25">
      <c r="A421" t="str">
        <f>IF('[1]Processer - data'!A421&lt;&gt;"",'[1]Processer - data'!A421,"")</f>
        <v>Foderproduktion</v>
      </c>
      <c r="B421" t="str">
        <f>IF('[1]Processer - data'!B421&lt;&gt;"",'[1]Processer - data'!B421,"")</f>
        <v/>
      </c>
      <c r="C421" t="str">
        <f>IF('[1]Processer - data'!C421&lt;&gt;"",'[1]Processer - data'!C421,"")</f>
        <v/>
      </c>
      <c r="D421" t="str">
        <f>IF('[1]Processer - data'!D421&lt;&gt;"",'[1]Processer - data'!D421,"")</f>
        <v>Bælgsæd</v>
      </c>
      <c r="E421" t="str">
        <f>IF('[1]Processer - data'!E421&lt;&gt;"",'[1]Processer - data'!E421,"")</f>
        <v>Ton</v>
      </c>
      <c r="F421" t="str">
        <f>IF('[1]Processer - data'!F421&lt;&gt;"",'[1]Processer - data'!F421,"")</f>
        <v>Foder</v>
      </c>
      <c r="G421" t="str">
        <f>IF('[1]Processer - data'!G421&lt;&gt;"",'[1]Processer - data'!G421,"")</f>
        <v>FE</v>
      </c>
      <c r="H421" s="280" t="e">
        <f>SUMIFS('Forbrug af biomasse'!$E$1:$E$425,'Forbrug af biomasse'!$A$1:$A$425,$F421,'Forbrug af biomasse'!$C$1:$C$425,$D421,'Forbrug af biomasse'!$B$1:$B$425,$A$1,'Forbrug af biomasse'!$D$1:$D$425,H$2)*'[1]Processer - data'!H421</f>
        <v>#REF!</v>
      </c>
      <c r="I421" s="281" t="e">
        <f>SUMIFS('Forbrug af biomasse'!$E$1:$E$425,'Forbrug af biomasse'!$A$1:$A$425,$F421,'Forbrug af biomasse'!$C$1:$C$425,$D421,'Forbrug af biomasse'!$B$1:$B$425,$A$1,'Forbrug af biomasse'!$D$1:$D$425,I$2)*'[1]Processer - data'!I421</f>
        <v>#REF!</v>
      </c>
      <c r="J421" s="282" t="e">
        <f>SUMIFS('Forbrug af biomasse'!$E$1:$E$425,'Forbrug af biomasse'!$A$1:$A$425,$F421,'Forbrug af biomasse'!$C$1:$C$425,$D421,'Forbrug af biomasse'!$B$1:$B$425,$A$1,'Forbrug af biomasse'!$D$1:$D$425,J$2)*'[1]Processer - data'!J421</f>
        <v>#REF!</v>
      </c>
      <c r="M421" s="171"/>
      <c r="N421" s="171"/>
      <c r="O421" s="171"/>
    </row>
    <row r="422" spans="1:15" x14ac:dyDescent="0.25">
      <c r="A422" t="str">
        <f>IF('[1]Processer - data'!A422&lt;&gt;"",'[1]Processer - data'!A422,"")</f>
        <v>Foderproduktion</v>
      </c>
      <c r="B422" t="str">
        <f>IF('[1]Processer - data'!B422&lt;&gt;"",'[1]Processer - data'!B422,"")</f>
        <v/>
      </c>
      <c r="C422" t="str">
        <f>IF('[1]Processer - data'!C422&lt;&gt;"",'[1]Processer - data'!C422,"")</f>
        <v/>
      </c>
      <c r="D422" t="str">
        <f>IF('[1]Processer - data'!D422&lt;&gt;"",'[1]Processer - data'!D422,"")</f>
        <v>Roer</v>
      </c>
      <c r="E422" t="str">
        <f>IF('[1]Processer - data'!E422&lt;&gt;"",'[1]Processer - data'!E422,"")</f>
        <v>Ton</v>
      </c>
      <c r="F422" t="str">
        <f>IF('[1]Processer - data'!F422&lt;&gt;"",'[1]Processer - data'!F422,"")</f>
        <v>Foder</v>
      </c>
      <c r="G422" t="str">
        <f>IF('[1]Processer - data'!G422&lt;&gt;"",'[1]Processer - data'!G422,"")</f>
        <v>FE</v>
      </c>
      <c r="H422" s="280" t="e">
        <f>SUMIFS('Forbrug af biomasse'!$E$1:$E$425,'Forbrug af biomasse'!$A$1:$A$425,$F422,'Forbrug af biomasse'!$C$1:$C$425,$D422,'Forbrug af biomasse'!$B$1:$B$425,$A$1,'Forbrug af biomasse'!$D$1:$D$425,H$2)*'[1]Processer - data'!H422</f>
        <v>#REF!</v>
      </c>
      <c r="I422" s="281" t="e">
        <f>SUMIFS('Forbrug af biomasse'!$E$1:$E$425,'Forbrug af biomasse'!$A$1:$A$425,$F422,'Forbrug af biomasse'!$C$1:$C$425,$D422,'Forbrug af biomasse'!$B$1:$B$425,$A$1,'Forbrug af biomasse'!$D$1:$D$425,I$2)*'[1]Processer - data'!I422</f>
        <v>#REF!</v>
      </c>
      <c r="J422" s="282" t="e">
        <f>SUMIFS('Forbrug af biomasse'!$E$1:$E$425,'Forbrug af biomasse'!$A$1:$A$425,$F422,'Forbrug af biomasse'!$C$1:$C$425,$D422,'Forbrug af biomasse'!$B$1:$B$425,$A$1,'Forbrug af biomasse'!$D$1:$D$425,J$2)*'[1]Processer - data'!J422</f>
        <v>#REF!</v>
      </c>
      <c r="M422" s="171"/>
      <c r="N422" s="171"/>
      <c r="O422" s="171"/>
    </row>
    <row r="423" spans="1:15" x14ac:dyDescent="0.25">
      <c r="A423" t="str">
        <f>IF('[1]Processer - data'!A423&lt;&gt;"",'[1]Processer - data'!A423,"")</f>
        <v>Foderproduktion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Majs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Foder</v>
      </c>
      <c r="G423" t="str">
        <f>IF('[1]Processer - data'!G423&lt;&gt;"",'[1]Processer - data'!G423,"")</f>
        <v>FE</v>
      </c>
      <c r="H423" s="280" t="e">
        <f>SUMIFS('Forbrug af biomasse'!$E$1:$E$425,'Forbrug af biomasse'!$A$1:$A$425,$F423,'Forbrug af biomasse'!$C$1:$C$425,$D423,'Forbrug af biomasse'!$B$1:$B$425,$A$1,'Forbrug af biomasse'!$D$1:$D$425,H$2)*'[1]Processer - data'!H423</f>
        <v>#REF!</v>
      </c>
      <c r="I423" s="281" t="e">
        <f>SUMIFS('Forbrug af biomasse'!$E$1:$E$425,'Forbrug af biomasse'!$A$1:$A$425,$F423,'Forbrug af biomasse'!$C$1:$C$425,$D423,'Forbrug af biomasse'!$B$1:$B$425,$A$1,'Forbrug af biomasse'!$D$1:$D$425,I$2)*'[1]Processer - data'!I423</f>
        <v>#REF!</v>
      </c>
      <c r="J423" s="282" t="e">
        <f>SUMIFS('Forbrug af biomasse'!$E$1:$E$425,'Forbrug af biomasse'!$A$1:$A$425,$F423,'Forbrug af biomasse'!$C$1:$C$425,$D423,'Forbrug af biomasse'!$B$1:$B$425,$A$1,'Forbrug af biomasse'!$D$1:$D$425,J$2)*'[1]Processer - data'!J423</f>
        <v>#REF!</v>
      </c>
      <c r="M423" s="171"/>
      <c r="N423" s="171"/>
      <c r="O423" s="171"/>
    </row>
    <row r="424" spans="1:15" x14ac:dyDescent="0.25">
      <c r="A424" t="str">
        <f>IF('[1]Processer - data'!A424&lt;&gt;"",'[1]Processer - data'!A424,"")</f>
        <v>Foderproduktion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Rapskage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Foder</v>
      </c>
      <c r="G424" t="str">
        <f>IF('[1]Processer - data'!G424&lt;&gt;"",'[1]Processer - data'!G424,"")</f>
        <v>FE</v>
      </c>
      <c r="H424" s="280" t="e">
        <f>SUMIFS('Forbrug af biomasse'!$E$1:$E$425,'Forbrug af biomasse'!$A$1:$A$425,$F424,'Forbrug af biomasse'!$C$1:$C$425,$D424,'Forbrug af biomasse'!$B$1:$B$425,$A$1,'Forbrug af biomasse'!$D$1:$D$425,H$2)*'[1]Processer - data'!H424</f>
        <v>#REF!</v>
      </c>
      <c r="I424" s="281" t="e">
        <f>SUMIFS('Forbrug af biomasse'!$E$1:$E$425,'Forbrug af biomasse'!$A$1:$A$425,$F424,'Forbrug af biomasse'!$C$1:$C$425,$D424,'Forbrug af biomasse'!$B$1:$B$425,$A$1,'Forbrug af biomasse'!$D$1:$D$425,I$2)*'[1]Processer - data'!I424</f>
        <v>#REF!</v>
      </c>
      <c r="J424" s="282" t="e">
        <f>SUMIFS('Forbrug af biomasse'!$E$1:$E$425,'Forbrug af biomasse'!$A$1:$A$425,$F424,'Forbrug af biomasse'!$C$1:$C$425,$D424,'Forbrug af biomasse'!$B$1:$B$425,$A$1,'Forbrug af biomasse'!$D$1:$D$425,J$2)*'[1]Processer - data'!J424</f>
        <v>#REF!</v>
      </c>
      <c r="M424" s="171"/>
      <c r="N424" s="171"/>
      <c r="O424" s="171"/>
    </row>
    <row r="425" spans="1:15" x14ac:dyDescent="0.25">
      <c r="A425" t="str">
        <f>IF('[1]Processer - data'!A425&lt;&gt;"",'[1]Processer - data'!A425,"")</f>
        <v>Foderproduktion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Tang</v>
      </c>
      <c r="E425" t="str">
        <f>IF('[1]Processer - data'!E425&lt;&gt;"",'[1]Processer - data'!E425,"")</f>
        <v>Ton</v>
      </c>
      <c r="F425" t="str">
        <f>IF('[1]Processer - data'!F425&lt;&gt;"",'[1]Processer - data'!F425,"")</f>
        <v>Foder</v>
      </c>
      <c r="G425" t="str">
        <f>IF('[1]Processer - data'!G425&lt;&gt;"",'[1]Processer - data'!G425,"")</f>
        <v>FE</v>
      </c>
      <c r="H425" s="280" t="e">
        <f>SUMIFS('Forbrug af biomasse'!$E$1:$E$425,'Forbrug af biomasse'!$A$1:$A$425,$F425,'Forbrug af biomasse'!$C$1:$C$425,$D425,'Forbrug af biomasse'!$B$1:$B$425,$A$1,'Forbrug af biomasse'!$D$1:$D$425,H$2)*'[1]Processer - data'!H425</f>
        <v>#REF!</v>
      </c>
      <c r="I425" s="281" t="e">
        <f>SUMIFS('Forbrug af biomasse'!$E$1:$E$425,'Forbrug af biomasse'!$A$1:$A$425,$F425,'Forbrug af biomasse'!$C$1:$C$425,$D425,'Forbrug af biomasse'!$B$1:$B$425,$A$1,'Forbrug af biomasse'!$D$1:$D$425,I$2)*'[1]Processer - data'!I425</f>
        <v>#REF!</v>
      </c>
      <c r="J425" s="282" t="e">
        <f>SUMIFS('Forbrug af biomasse'!$E$1:$E$425,'Forbrug af biomasse'!$A$1:$A$425,$F425,'Forbrug af biomasse'!$C$1:$C$425,$D425,'Forbrug af biomasse'!$B$1:$B$425,$A$1,'Forbrug af biomasse'!$D$1:$D$425,J$2)*'[1]Processer - data'!J425</f>
        <v>#REF!</v>
      </c>
      <c r="M425" s="171"/>
      <c r="N425" s="171"/>
      <c r="O425" s="171"/>
    </row>
    <row r="426" spans="1:15" x14ac:dyDescent="0.25">
      <c r="A426" t="str">
        <f>IF('[1]Processer - data'!A426&lt;&gt;"",'[1]Processer - data'!A426,"")</f>
        <v>Foderproduktion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Muslinger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Foder</v>
      </c>
      <c r="G426" t="str">
        <f>IF('[1]Processer - data'!G426&lt;&gt;"",'[1]Processer - data'!G426,"")</f>
        <v>FE</v>
      </c>
      <c r="H426" s="280" t="e">
        <f>SUMIFS('Forbrug af biomasse'!$E$1:$E$425,'Forbrug af biomasse'!$A$1:$A$425,$F426,'Forbrug af biomasse'!$C$1:$C$425,$D426,'Forbrug af biomasse'!$B$1:$B$425,$A$1,'Forbrug af biomasse'!$D$1:$D$425,H$2)*'[1]Processer - data'!H426</f>
        <v>#REF!</v>
      </c>
      <c r="I426" s="281" t="e">
        <f>SUMIFS('Forbrug af biomasse'!$E$1:$E$425,'Forbrug af biomasse'!$A$1:$A$425,$F426,'Forbrug af biomasse'!$C$1:$C$425,$D426,'Forbrug af biomasse'!$B$1:$B$425,$A$1,'Forbrug af biomasse'!$D$1:$D$425,I$2)*'[1]Processer - data'!I426</f>
        <v>#REF!</v>
      </c>
      <c r="J426" s="282" t="e">
        <f>SUMIFS('Forbrug af biomasse'!$E$1:$E$425,'Forbrug af biomasse'!$A$1:$A$425,$F426,'Forbrug af biomasse'!$C$1:$C$425,$D426,'Forbrug af biomasse'!$B$1:$B$425,$A$1,'Forbrug af biomasse'!$D$1:$D$425,J$2)*'[1]Processer - data'!J426</f>
        <v>#REF!</v>
      </c>
      <c r="M426" s="171"/>
      <c r="N426" s="171"/>
      <c r="O426" s="171"/>
    </row>
    <row r="427" spans="1:15" x14ac:dyDescent="0.25">
      <c r="A427" t="str">
        <f>IF('[1]Processer - data'!A427&lt;&gt;"",'[1]Processer - data'!A427,"")</f>
        <v>Foderproduktion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Græs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Foder</v>
      </c>
      <c r="G427" t="str">
        <f>IF('[1]Processer - data'!G427&lt;&gt;"",'[1]Processer - data'!G427,"")</f>
        <v>FE</v>
      </c>
      <c r="H427" s="280" t="e">
        <f>SUMIFS('Forbrug af biomasse'!$E$1:$E$425,'Forbrug af biomasse'!$A$1:$A$425,$F427,'Forbrug af biomasse'!$C$1:$C$425,$D427,'Forbrug af biomasse'!$B$1:$B$425,$A$1,'Forbrug af biomasse'!$D$1:$D$425,H$2)*'[1]Processer - data'!H427</f>
        <v>#REF!</v>
      </c>
      <c r="I427" s="281" t="e">
        <f>SUMIFS('Forbrug af biomasse'!$E$1:$E$425,'Forbrug af biomasse'!$A$1:$A$425,$F427,'Forbrug af biomasse'!$C$1:$C$425,$D427,'Forbrug af biomasse'!$B$1:$B$425,$A$1,'Forbrug af biomasse'!$D$1:$D$425,I$2)*'[1]Processer - data'!I427</f>
        <v>#REF!</v>
      </c>
      <c r="J427" s="282" t="e">
        <f>SUMIFS('Forbrug af biomasse'!$E$1:$E$425,'Forbrug af biomasse'!$A$1:$A$425,$F427,'Forbrug af biomasse'!$C$1:$C$425,$D427,'Forbrug af biomasse'!$B$1:$B$425,$A$1,'Forbrug af biomasse'!$D$1:$D$425,J$2)*'[1]Processer - data'!J427</f>
        <v>#REF!</v>
      </c>
      <c r="M427" s="171"/>
      <c r="N427" s="171"/>
      <c r="O427" s="171"/>
    </row>
    <row r="428" spans="1:15" x14ac:dyDescent="0.25">
      <c r="A428" t="str">
        <f>IF('[1]Processer - data'!A428&lt;&gt;"",'[1]Processer - data'!A428,"")</f>
        <v>Foderproduktion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Mælk til foder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Foder</v>
      </c>
      <c r="G428" t="str">
        <f>IF('[1]Processer - data'!G428&lt;&gt;"",'[1]Processer - data'!G428,"")</f>
        <v>FE</v>
      </c>
      <c r="H428" s="280" t="e">
        <f>SUMIFS('Forbrug af biomasse'!$E$1:$E$425,'Forbrug af biomasse'!$A$1:$A$425,$F428,'Forbrug af biomasse'!$C$1:$C$425,$D428,'Forbrug af biomasse'!$B$1:$B$425,$A$1,'Forbrug af biomasse'!$D$1:$D$425,H$2)*'[1]Processer - data'!H428</f>
        <v>#REF!</v>
      </c>
      <c r="I428" s="281" t="e">
        <f>SUMIFS('Forbrug af biomasse'!$E$1:$E$425,'Forbrug af biomasse'!$A$1:$A$425,$F428,'Forbrug af biomasse'!$C$1:$C$425,$D428,'Forbrug af biomasse'!$B$1:$B$425,$A$1,'Forbrug af biomasse'!$D$1:$D$425,I$2)*'[1]Processer - data'!I428</f>
        <v>#REF!</v>
      </c>
      <c r="J428" s="282" t="e">
        <f>SUMIFS('Forbrug af biomasse'!$E$1:$E$425,'Forbrug af biomasse'!$A$1:$A$425,$F428,'Forbrug af biomasse'!$C$1:$C$425,$D428,'Forbrug af biomasse'!$B$1:$B$425,$A$1,'Forbrug af biomasse'!$D$1:$D$425,J$2)*'[1]Processer - data'!J428</f>
        <v>#REF!</v>
      </c>
      <c r="M428" s="171"/>
      <c r="N428" s="171"/>
      <c r="O428" s="171"/>
    </row>
    <row r="429" spans="1:15" x14ac:dyDescent="0.25">
      <c r="A429" t="str">
        <f>IF('[1]Processer - data'!A429&lt;&gt;"",'[1]Processer - data'!A429,"")</f>
        <v>Foderproduktion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Fiberfraktion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Foder</v>
      </c>
      <c r="G429" t="str">
        <f>IF('[1]Processer - data'!G429&lt;&gt;"",'[1]Processer - data'!G429,"")</f>
        <v>FE</v>
      </c>
      <c r="H429" s="280" t="e">
        <f>SUMIFS('Forbrug af biomasse'!$E$1:$E$425,'Forbrug af biomasse'!$A$1:$A$425,$F429,'Forbrug af biomasse'!$C$1:$C$425,$D429,'Forbrug af biomasse'!$B$1:$B$425,$A$1,'Forbrug af biomasse'!$D$1:$D$425,H$2)*'[1]Processer - data'!H429</f>
        <v>#REF!</v>
      </c>
      <c r="I429" s="281" t="e">
        <f>SUMIFS('Forbrug af biomasse'!$E$1:$E$425,'Forbrug af biomasse'!$A$1:$A$425,$F429,'Forbrug af biomasse'!$C$1:$C$425,$D429,'Forbrug af biomasse'!$B$1:$B$425,$A$1,'Forbrug af biomasse'!$D$1:$D$425,I$2)*'[1]Processer - data'!I429</f>
        <v>#REF!</v>
      </c>
      <c r="J429" s="282" t="e">
        <f>SUMIFS('Forbrug af biomasse'!$E$1:$E$425,'Forbrug af biomasse'!$A$1:$A$425,$F429,'Forbrug af biomasse'!$C$1:$C$425,$D429,'Forbrug af biomasse'!$B$1:$B$425,$A$1,'Forbrug af biomasse'!$D$1:$D$425,J$2)*'[1]Processer - data'!J429</f>
        <v>#REF!</v>
      </c>
      <c r="M429" s="171"/>
      <c r="N429" s="171"/>
      <c r="O429" s="171"/>
    </row>
    <row r="430" spans="1:15" x14ac:dyDescent="0.25">
      <c r="A430" t="str">
        <f>IF('[1]Processer - data'!A430&lt;&gt;"",'[1]Processer - data'!A430,"")</f>
        <v>Foderproduktion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Græsprotein</v>
      </c>
      <c r="E430" t="str">
        <f>IF('[1]Processer - data'!E430&lt;&gt;"",'[1]Processer - data'!E430,"")</f>
        <v>Ton</v>
      </c>
      <c r="F430" t="str">
        <f>IF('[1]Processer - data'!F430&lt;&gt;"",'[1]Processer - data'!F430,"")</f>
        <v>Foder</v>
      </c>
      <c r="G430" t="str">
        <f>IF('[1]Processer - data'!G430&lt;&gt;"",'[1]Processer - data'!G430,"")</f>
        <v>FE</v>
      </c>
      <c r="H430" s="280" t="e">
        <f>SUMIFS('Forbrug af biomasse'!$E$1:$E$425,'Forbrug af biomasse'!$A$1:$A$425,$F430,'Forbrug af biomasse'!$C$1:$C$425,$D430,'Forbrug af biomasse'!$B$1:$B$425,$A$1,'Forbrug af biomasse'!$D$1:$D$425,H$2)*'[1]Processer - data'!H430</f>
        <v>#REF!</v>
      </c>
      <c r="I430" s="281" t="e">
        <f>SUMIFS('Forbrug af biomasse'!$E$1:$E$425,'Forbrug af biomasse'!$A$1:$A$425,$F430,'Forbrug af biomasse'!$C$1:$C$425,$D430,'Forbrug af biomasse'!$B$1:$B$425,$A$1,'Forbrug af biomasse'!$D$1:$D$425,I$2)*'[1]Processer - data'!I430</f>
        <v>#REF!</v>
      </c>
      <c r="J430" s="282" t="e">
        <f>SUMIFS('Forbrug af biomasse'!$E$1:$E$425,'Forbrug af biomasse'!$A$1:$A$425,$F430,'Forbrug af biomasse'!$C$1:$C$425,$D430,'Forbrug af biomasse'!$B$1:$B$425,$A$1,'Forbrug af biomasse'!$D$1:$D$425,J$2)*'[1]Processer - data'!J430</f>
        <v>#REF!</v>
      </c>
      <c r="M430" s="171"/>
      <c r="N430" s="171"/>
      <c r="O430" s="171"/>
    </row>
    <row r="431" spans="1:15" x14ac:dyDescent="0.25">
      <c r="A431" t="str">
        <f>IF('[1]Processer - data'!A431&lt;&gt;"",'[1]Processer - data'!A431,"")</f>
        <v>Foderproduktion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Slagteriaffald til foder</v>
      </c>
      <c r="E431" t="str">
        <f>IF('[1]Processer - data'!E431&lt;&gt;"",'[1]Processer - data'!E431,"")</f>
        <v>Ton</v>
      </c>
      <c r="F431" t="str">
        <f>IF('[1]Processer - data'!F431&lt;&gt;"",'[1]Processer - data'!F431,"")</f>
        <v>Foder</v>
      </c>
      <c r="G431" t="str">
        <f>IF('[1]Processer - data'!G431&lt;&gt;"",'[1]Processer - data'!G431,"")</f>
        <v>FE</v>
      </c>
      <c r="H431" s="280" t="e">
        <f>SUMIFS('Forbrug af biomasse'!$E$1:$E$425,'Forbrug af biomasse'!$A$1:$A$425,$F431,'Forbrug af biomasse'!$C$1:$C$425,$D431,'Forbrug af biomasse'!$B$1:$B$425,$A$1,'Forbrug af biomasse'!$D$1:$D$425,H$2)*'[1]Processer - data'!H431</f>
        <v>#REF!</v>
      </c>
      <c r="I431" s="281" t="e">
        <f>SUMIFS('Forbrug af biomasse'!$E$1:$E$425,'Forbrug af biomasse'!$A$1:$A$425,$F431,'Forbrug af biomasse'!$C$1:$C$425,$D431,'Forbrug af biomasse'!$B$1:$B$425,$A$1,'Forbrug af biomasse'!$D$1:$D$425,I$2)*'[1]Processer - data'!I431</f>
        <v>#REF!</v>
      </c>
      <c r="J431" s="282" t="e">
        <f>SUMIFS('Forbrug af biomasse'!$E$1:$E$425,'Forbrug af biomasse'!$A$1:$A$425,$F431,'Forbrug af biomasse'!$C$1:$C$425,$D431,'Forbrug af biomasse'!$B$1:$B$425,$A$1,'Forbrug af biomasse'!$D$1:$D$425,J$2)*'[1]Processer - data'!J431</f>
        <v>#REF!</v>
      </c>
      <c r="M431" s="171"/>
      <c r="N431" s="171"/>
      <c r="O431" s="171"/>
    </row>
    <row r="432" spans="1:15" x14ac:dyDescent="0.25">
      <c r="A432" t="str">
        <f>IF('[1]Processer - data'!A432&lt;&gt;"",'[1]Processer - data'!A432,"")</f>
        <v>Foderproduktion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Import af foder</v>
      </c>
      <c r="E432" t="str">
        <f>IF('[1]Processer - data'!E432&lt;&gt;"",'[1]Processer - data'!E432,"")</f>
        <v>Ton</v>
      </c>
      <c r="F432" t="str">
        <f>IF('[1]Processer - data'!F432&lt;&gt;"",'[1]Processer - data'!F432,"")</f>
        <v>Foder</v>
      </c>
      <c r="G432" t="str">
        <f>IF('[1]Processer - data'!G432&lt;&gt;"",'[1]Processer - data'!G432,"")</f>
        <v>FE</v>
      </c>
      <c r="H432" s="280" t="e">
        <f>SUMIFS('Forbrug af biomasse'!$E$1:$E$425,'Forbrug af biomasse'!$A$1:$A$425,$F432,'Forbrug af biomasse'!$C$1:$C$425,$D432,'Forbrug af biomasse'!$B$1:$B$425,$A$1,'Forbrug af biomasse'!$D$1:$D$425,H$2)*'[1]Processer - data'!H432</f>
        <v>#REF!</v>
      </c>
      <c r="I432" s="281" t="e">
        <f>SUMIFS('Forbrug af biomasse'!$E$1:$E$425,'Forbrug af biomasse'!$A$1:$A$425,$F432,'Forbrug af biomasse'!$C$1:$C$425,$D432,'Forbrug af biomasse'!$B$1:$B$425,$A$1,'Forbrug af biomasse'!$D$1:$D$425,I$2)*'[1]Processer - data'!I432</f>
        <v>#REF!</v>
      </c>
      <c r="J432" s="282" t="e">
        <f>SUMIFS('Forbrug af biomasse'!$E$1:$E$425,'Forbrug af biomasse'!$A$1:$A$425,$F432,'Forbrug af biomasse'!$C$1:$C$425,$D432,'Forbrug af biomasse'!$B$1:$B$425,$A$1,'Forbrug af biomasse'!$D$1:$D$425,J$2)*'[1]Processer - data'!J432</f>
        <v>#REF!</v>
      </c>
      <c r="M432" s="171"/>
      <c r="N432" s="171"/>
      <c r="O432" s="171"/>
    </row>
    <row r="433" spans="1:13" x14ac:dyDescent="0.25">
      <c r="A433" t="str">
        <f>IF('[1]Processer - data'!A433&lt;&gt;"",'[1]Processer - data'!A433,"")</f>
        <v>Biogasanlæg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Halm</v>
      </c>
      <c r="E433" t="str">
        <f>IF('[1]Processer - data'!E433&lt;&gt;"",'[1]Processer - data'!E433,"")</f>
        <v>Ton</v>
      </c>
      <c r="F433" t="str">
        <f>IF('[1]Processer - data'!F433&lt;&gt;"",'[1]Processer - data'!F433,"")</f>
        <v>Biogas</v>
      </c>
      <c r="G433" t="str">
        <f>IF('[1]Processer - data'!G433&lt;&gt;"",'[1]Processer - data'!G433,"")</f>
        <v>Nm3 CH4</v>
      </c>
      <c r="H433" s="280" t="e">
        <f>SUMIFS('Forbrug af biomasse'!$E$1:$E$425,'Forbrug af biomasse'!$A$1:$A$425,$F433,'Forbrug af biomasse'!$C$1:$C$425,$D433,'Forbrug af biomasse'!$B$1:$B$425,$A$1,'Forbrug af biomasse'!$D$1:$D$425,H$2)*'[1]Processer - data'!H433*IFERROR(VLOOKUP($D433,Biogasanlæg!$F$3:$G$8,2,FALSE),1)</f>
        <v>#REF!</v>
      </c>
      <c r="I433" s="281" t="e">
        <f>SUMIFS('Forbrug af biomasse'!$E$1:$E$425,'Forbrug af biomasse'!$A$1:$A$425,$F433,'Forbrug af biomasse'!$C$1:$C$425,$D433,'Forbrug af biomasse'!$B$1:$B$425,$A$1,'Forbrug af biomasse'!$D$1:$D$425,I$2)*'[1]Processer - data'!I433*IFERROR(VLOOKUP($D433,Biogasanlæg!$F$3:$G$8,2,FALSE),1)</f>
        <v>#REF!</v>
      </c>
      <c r="J433" s="282" t="e">
        <f>SUMIFS('Forbrug af biomasse'!$E$1:$E$425,'Forbrug af biomasse'!$A$1:$A$425,$F433,'Forbrug af biomasse'!$C$1:$C$425,$D433,'Forbrug af biomasse'!$B$1:$B$425,$A$1,'Forbrug af biomasse'!$D$1:$D$425,J$2)*'[1]Processer - data'!J433*IFERROR(VLOOKUP($D433,Biogasanlæg!$F$3:$G$8,2,FALSE),1)</f>
        <v>#REF!</v>
      </c>
      <c r="L433" s="132"/>
      <c r="M433" s="125"/>
    </row>
    <row r="434" spans="1:13" x14ac:dyDescent="0.25">
      <c r="A434" t="str">
        <f>IF('[1]Processer - data'!A434&lt;&gt;"",'[1]Processer - data'!A434,"")</f>
        <v>Biogasanlæg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Korn</v>
      </c>
      <c r="E434" t="str">
        <f>IF('[1]Processer - data'!E434&lt;&gt;"",'[1]Processer - data'!E434,"")</f>
        <v>Ton</v>
      </c>
      <c r="F434" t="str">
        <f>IF('[1]Processer - data'!F434&lt;&gt;"",'[1]Processer - data'!F434,"")</f>
        <v>Biogas</v>
      </c>
      <c r="G434" t="str">
        <f>IF('[1]Processer - data'!G434&lt;&gt;"",'[1]Processer - data'!G434,"")</f>
        <v>Nm3 CH4</v>
      </c>
      <c r="H434" s="280" t="e">
        <f>SUMIFS('Forbrug af biomasse'!$E$1:$E$425,'Forbrug af biomasse'!$A$1:$A$425,$F434,'Forbrug af biomasse'!$C$1:$C$425,$D434,'Forbrug af biomasse'!$B$1:$B$425,$A$1,'Forbrug af biomasse'!$D$1:$D$425,H$2)*'[1]Processer - data'!H434*IFERROR(VLOOKUP($D434,Biogasanlæg!$F$3:$G$8,2,FALSE),1)</f>
        <v>#REF!</v>
      </c>
      <c r="I434" s="281" t="e">
        <f>SUMIFS('Forbrug af biomasse'!$E$1:$E$425,'Forbrug af biomasse'!$A$1:$A$425,$F434,'Forbrug af biomasse'!$C$1:$C$425,$D434,'Forbrug af biomasse'!$B$1:$B$425,$A$1,'Forbrug af biomasse'!$D$1:$D$425,I$2)*'[1]Processer - data'!I434*IFERROR(VLOOKUP($D434,Biogasanlæg!$F$3:$G$8,2,FALSE),1)</f>
        <v>#REF!</v>
      </c>
      <c r="J434" s="282" t="e">
        <f>SUMIFS('Forbrug af biomasse'!$E$1:$E$425,'Forbrug af biomasse'!$A$1:$A$425,$F434,'Forbrug af biomasse'!$C$1:$C$425,$D434,'Forbrug af biomasse'!$B$1:$B$425,$A$1,'Forbrug af biomasse'!$D$1:$D$425,J$2)*'[1]Processer - data'!J434*IFERROR(VLOOKUP($D434,Biogasanlæg!$F$3:$G$8,2,FALSE),1)</f>
        <v>#REF!</v>
      </c>
      <c r="L434" s="127"/>
      <c r="M434" s="125"/>
    </row>
    <row r="435" spans="1:13" x14ac:dyDescent="0.25">
      <c r="A435" t="str">
        <f>IF('[1]Processer - data'!A435&lt;&gt;"",'[1]Processer - data'!A435,"")</f>
        <v>Biogasanlæg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Græs</v>
      </c>
      <c r="E435" t="str">
        <f>IF('[1]Processer - data'!E435&lt;&gt;"",'[1]Processer - data'!E435,"")</f>
        <v>Ton</v>
      </c>
      <c r="F435" t="str">
        <f>IF('[1]Processer - data'!F435&lt;&gt;"",'[1]Processer - data'!F435,"")</f>
        <v>Biogas</v>
      </c>
      <c r="G435" t="str">
        <f>IF('[1]Processer - data'!G435&lt;&gt;"",'[1]Processer - data'!G435,"")</f>
        <v>Nm3 CH4</v>
      </c>
      <c r="H435" s="280" t="e">
        <f>SUMIFS('Forbrug af biomasse'!$E$1:$E$425,'Forbrug af biomasse'!$A$1:$A$425,$F435,'Forbrug af biomasse'!$C$1:$C$425,$D435,'Forbrug af biomasse'!$B$1:$B$425,$A$1,'Forbrug af biomasse'!$D$1:$D$425,H$2)*'[1]Processer - data'!H435*IFERROR(VLOOKUP($D435,Biogasanlæg!$F$3:$G$8,2,FALSE),1)</f>
        <v>#REF!</v>
      </c>
      <c r="I435" s="281" t="e">
        <f>SUMIFS('Forbrug af biomasse'!$E$1:$E$425,'Forbrug af biomasse'!$A$1:$A$425,$F435,'Forbrug af biomasse'!$C$1:$C$425,$D435,'Forbrug af biomasse'!$B$1:$B$425,$A$1,'Forbrug af biomasse'!$D$1:$D$425,I$2)*'[1]Processer - data'!I435*IFERROR(VLOOKUP($D435,Biogasanlæg!$F$3:$G$8,2,FALSE),1)</f>
        <v>#REF!</v>
      </c>
      <c r="J435" s="282" t="e">
        <f>SUMIFS('Forbrug af biomasse'!$E$1:$E$425,'Forbrug af biomasse'!$A$1:$A$425,$F435,'Forbrug af biomasse'!$C$1:$C$425,$D435,'Forbrug af biomasse'!$B$1:$B$425,$A$1,'Forbrug af biomasse'!$D$1:$D$425,J$2)*'[1]Processer - data'!J435*IFERROR(VLOOKUP($D435,Biogasanlæg!$F$3:$G$8,2,FALSE),1)</f>
        <v>#REF!</v>
      </c>
      <c r="L435" s="127"/>
      <c r="M435" s="125"/>
    </row>
    <row r="436" spans="1:13" x14ac:dyDescent="0.25">
      <c r="A436" t="str">
        <f>IF('[1]Processer - data'!A436&lt;&gt;"",'[1]Processer - data'!A436,"")</f>
        <v>Biogasanlæg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Svinegylle</v>
      </c>
      <c r="E436" t="str">
        <f>IF('[1]Processer - data'!E436&lt;&gt;"",'[1]Processer - data'!E436,"")</f>
        <v>Ton</v>
      </c>
      <c r="F436" t="str">
        <f>IF('[1]Processer - data'!F436&lt;&gt;"",'[1]Processer - data'!F436,"")</f>
        <v>Biogas</v>
      </c>
      <c r="G436" t="str">
        <f>IF('[1]Processer - data'!G436&lt;&gt;"",'[1]Processer - data'!G436,"")</f>
        <v>Nm3 CH4</v>
      </c>
      <c r="H436" s="280" t="e">
        <f>SUMIFS('Forbrug af biomasse'!$E$1:$E$425,'Forbrug af biomasse'!$A$1:$A$425,$F436,'Forbrug af biomasse'!$C$1:$C$425,$D436,'Forbrug af biomasse'!$B$1:$B$425,$A$1,'Forbrug af biomasse'!$D$1:$D$425,H$2)*'[1]Processer - data'!H436*IFERROR(VLOOKUP($D436,Biogasanlæg!$F$3:$G$8,2,FALSE),1)</f>
        <v>#REF!</v>
      </c>
      <c r="I436" s="281" t="e">
        <f>SUMIFS('Forbrug af biomasse'!$E$1:$E$425,'Forbrug af biomasse'!$A$1:$A$425,$F436,'Forbrug af biomasse'!$C$1:$C$425,$D436,'Forbrug af biomasse'!$B$1:$B$425,$A$1,'Forbrug af biomasse'!$D$1:$D$425,I$2)*'[1]Processer - data'!I436*IFERROR(VLOOKUP($D436,Biogasanlæg!$F$3:$G$8,2,FALSE),1)</f>
        <v>#REF!</v>
      </c>
      <c r="J436" s="282" t="e">
        <f>SUMIFS('Forbrug af biomasse'!$E$1:$E$425,'Forbrug af biomasse'!$A$1:$A$425,$F436,'Forbrug af biomasse'!$C$1:$C$425,$D436,'Forbrug af biomasse'!$B$1:$B$425,$A$1,'Forbrug af biomasse'!$D$1:$D$425,J$2)*'[1]Processer - data'!J436*IFERROR(VLOOKUP($D436,Biogasanlæg!$F$3:$G$8,2,FALSE),1)</f>
        <v>#REF!</v>
      </c>
      <c r="L436" s="127"/>
      <c r="M436" s="125"/>
    </row>
    <row r="437" spans="1:13" s="171" customFormat="1" x14ac:dyDescent="0.25">
      <c r="A437" s="171" t="str">
        <f>IF('[1]Processer - data'!A437&lt;&gt;"",'[1]Processer - data'!A437,"")</f>
        <v>Biogasanlæg</v>
      </c>
      <c r="B437" s="171" t="str">
        <f>IF('[1]Processer - data'!B437&lt;&gt;"",'[1]Processer - data'!B437,"")</f>
        <v/>
      </c>
      <c r="C437" s="171" t="str">
        <f>IF('[1]Processer - data'!C437&lt;&gt;"",'[1]Processer - data'!C437,"")</f>
        <v/>
      </c>
      <c r="D437" s="171" t="str">
        <f>IF('[1]Processer - data'!D437&lt;&gt;"",'[1]Processer - data'!D437,"")</f>
        <v>Svinegylle</v>
      </c>
      <c r="E437" s="171" t="str">
        <f>IF('[1]Processer - data'!E437&lt;&gt;"",'[1]Processer - data'!E437,"")</f>
        <v>Ton</v>
      </c>
      <c r="F437" s="171" t="str">
        <f>IF('[1]Processer - data'!F437&lt;&gt;"",'[1]Processer - data'!F437,"")</f>
        <v>CO2 - atmosfære</v>
      </c>
      <c r="G437" s="171" t="str">
        <f>IF('[1]Processer - data'!G437&lt;&gt;"",'[1]Processer - data'!G437,"")</f>
        <v>t CO2-ækvivalenter</v>
      </c>
      <c r="H437" s="286" t="e">
        <f>SUMIFS('Forbrug af biomasse'!$E$1:$E$425,'Forbrug af biomasse'!$A$1:$A$425,"Biogas",'Forbrug af biomasse'!$C$1:$C$425,$D437,'Forbrug af biomasse'!$B$1:$B$425,$A$1,'Forbrug af biomasse'!$D$1:$D$425,H$2)*'[1]Processer - data'!H437*IFERROR(VLOOKUP($D437,Biogasanlæg!$F$3:$G$8,2,FALSE),1)</f>
        <v>#REF!</v>
      </c>
      <c r="I437" s="287" t="e">
        <f>SUMIFS('Forbrug af biomasse'!$E$1:$E$425,'Forbrug af biomasse'!$A$1:$A$425,"Biogas",'Forbrug af biomasse'!$C$1:$C$425,$D437,'Forbrug af biomasse'!$B$1:$B$425,$A$1,'Forbrug af biomasse'!$D$1:$D$425,I$2)*'[1]Processer - data'!I437*IFERROR(VLOOKUP($D437,Biogasanlæg!$F$3:$G$8,2,FALSE),1)</f>
        <v>#REF!</v>
      </c>
      <c r="J437" s="288" t="e">
        <f>SUMIFS('Forbrug af biomasse'!$E$1:$E$425,'Forbrug af biomasse'!$A$1:$A$425,"Biogas",'Forbrug af biomasse'!$C$1:$C$425,$D437,'Forbrug af biomasse'!$B$1:$B$425,$A$1,'Forbrug af biomasse'!$D$1:$D$425,J$2)*'[1]Processer - data'!J437*IFERROR(VLOOKUP($D437,Biogasanlæg!$F$3:$G$8,2,FALSE),1)</f>
        <v>#REF!</v>
      </c>
      <c r="L437" s="127"/>
      <c r="M437" s="125"/>
    </row>
    <row r="438" spans="1:13" x14ac:dyDescent="0.25">
      <c r="A438" s="171" t="str">
        <f>IF('[1]Processer - data'!A438&lt;&gt;"",'[1]Processer - data'!A438,"")</f>
        <v>Biogasanlæg</v>
      </c>
      <c r="B438" s="171" t="str">
        <f>IF('[1]Processer - data'!B438&lt;&gt;"",'[1]Processer - data'!B438,"")</f>
        <v/>
      </c>
      <c r="C438" s="171" t="str">
        <f>IF('[1]Processer - data'!C438&lt;&gt;"",'[1]Processer - data'!C438,"")</f>
        <v/>
      </c>
      <c r="D438" s="171" t="str">
        <f>IF('[1]Processer - data'!D438&lt;&gt;"",'[1]Processer - data'!D438,"")</f>
        <v>Kvæggylle</v>
      </c>
      <c r="E438" s="171" t="str">
        <f>IF('[1]Processer - data'!E438&lt;&gt;"",'[1]Processer - data'!E438,"")</f>
        <v>Ton</v>
      </c>
      <c r="F438" s="171" t="str">
        <f>IF('[1]Processer - data'!F438&lt;&gt;"",'[1]Processer - data'!F438,"")</f>
        <v>Biogas</v>
      </c>
      <c r="G438" s="171" t="str">
        <f>IF('[1]Processer - data'!G438&lt;&gt;"",'[1]Processer - data'!G438,"")</f>
        <v>Nm3 CH4</v>
      </c>
      <c r="H438" s="280" t="e">
        <f>SUMIFS('Forbrug af biomasse'!$E$1:$E$425,'Forbrug af biomasse'!$A$1:$A$425,$F438,'Forbrug af biomasse'!$C$1:$C$425,$D438,'Forbrug af biomasse'!$B$1:$B$425,$A$1,'Forbrug af biomasse'!$D$1:$D$425,H$2)*'[1]Processer - data'!H438*IFERROR(VLOOKUP($D438,Biogasanlæg!$F$3:$G$8,2,FALSE),1)</f>
        <v>#REF!</v>
      </c>
      <c r="I438" s="281" t="e">
        <f>SUMIFS('Forbrug af biomasse'!$E$1:$E$425,'Forbrug af biomasse'!$A$1:$A$425,$F438,'Forbrug af biomasse'!$C$1:$C$425,$D438,'Forbrug af biomasse'!$B$1:$B$425,$A$1,'Forbrug af biomasse'!$D$1:$D$425,I$2)*'[1]Processer - data'!I438*IFERROR(VLOOKUP($D438,Biogasanlæg!$F$3:$G$8,2,FALSE),1)</f>
        <v>#REF!</v>
      </c>
      <c r="J438" s="282" t="e">
        <f>SUMIFS('Forbrug af biomasse'!$E$1:$E$425,'Forbrug af biomasse'!$A$1:$A$425,$F438,'Forbrug af biomasse'!$C$1:$C$425,$D438,'Forbrug af biomasse'!$B$1:$B$425,$A$1,'Forbrug af biomasse'!$D$1:$D$425,J$2)*'[1]Processer - data'!J438*IFERROR(VLOOKUP($D438,Biogasanlæg!$F$3:$G$8,2,FALSE),1)</f>
        <v>#REF!</v>
      </c>
      <c r="L438" s="127"/>
      <c r="M438" s="125"/>
    </row>
    <row r="439" spans="1:13" s="171" customFormat="1" x14ac:dyDescent="0.25">
      <c r="A439" s="171" t="str">
        <f>IF('[1]Processer - data'!A439&lt;&gt;"",'[1]Processer - data'!A439,"")</f>
        <v>Biogasanlæg</v>
      </c>
      <c r="B439" s="171" t="str">
        <f>IF('[1]Processer - data'!B439&lt;&gt;"",'[1]Processer - data'!B439,"")</f>
        <v/>
      </c>
      <c r="C439" s="171" t="str">
        <f>IF('[1]Processer - data'!C439&lt;&gt;"",'[1]Processer - data'!C439,"")</f>
        <v/>
      </c>
      <c r="D439" s="171" t="str">
        <f>IF('[1]Processer - data'!D439&lt;&gt;"",'[1]Processer - data'!D439,"")</f>
        <v>Kvæggylle</v>
      </c>
      <c r="E439" s="171" t="str">
        <f>IF('[1]Processer - data'!E439&lt;&gt;"",'[1]Processer - data'!E439,"")</f>
        <v>Ton</v>
      </c>
      <c r="F439" s="171" t="str">
        <f>IF('[1]Processer - data'!F439&lt;&gt;"",'[1]Processer - data'!F439,"")</f>
        <v>CO2 - atmosfære</v>
      </c>
      <c r="G439" s="171" t="str">
        <f>IF('[1]Processer - data'!G439&lt;&gt;"",'[1]Processer - data'!G439,"")</f>
        <v>t CO2-ækvivalenter</v>
      </c>
      <c r="H439" s="286" t="e">
        <f>SUMIFS('Forbrug af biomasse'!$E$1:$E$425,'Forbrug af biomasse'!$A$1:$A$425,"Biogas",'Forbrug af biomasse'!$C$1:$C$425,$D439,'Forbrug af biomasse'!$B$1:$B$425,$A$1,'Forbrug af biomasse'!$D$1:$D$425,H$2)*'[1]Processer - data'!H439*IFERROR(VLOOKUP($D439,Biogasanlæg!$F$3:$G$8,2,FALSE),1)</f>
        <v>#REF!</v>
      </c>
      <c r="I439" s="287" t="e">
        <f>SUMIFS('Forbrug af biomasse'!$E$1:$E$425,'Forbrug af biomasse'!$A$1:$A$425,"Biogas",'Forbrug af biomasse'!$C$1:$C$425,$D439,'Forbrug af biomasse'!$B$1:$B$425,$A$1,'Forbrug af biomasse'!$D$1:$D$425,I$2)*'[1]Processer - data'!I439*IFERROR(VLOOKUP($D439,Biogasanlæg!$F$3:$G$8,2,FALSE),1)</f>
        <v>#REF!</v>
      </c>
      <c r="J439" s="288" t="e">
        <f>SUMIFS('Forbrug af biomasse'!$E$1:$E$425,'Forbrug af biomasse'!$A$1:$A$425,"Biogas",'Forbrug af biomasse'!$C$1:$C$425,$D439,'Forbrug af biomasse'!$B$1:$B$425,$A$1,'Forbrug af biomasse'!$D$1:$D$425,J$2)*'[1]Processer - data'!J439*IFERROR(VLOOKUP($D439,Biogasanlæg!$F$3:$G$8,2,FALSE),1)</f>
        <v>#REF!</v>
      </c>
      <c r="L439" s="127"/>
      <c r="M439" s="125"/>
    </row>
    <row r="440" spans="1:13" x14ac:dyDescent="0.25">
      <c r="A440" t="str">
        <f>IF('[1]Processer - data'!A440&lt;&gt;"",'[1]Processer - data'!A440,"")</f>
        <v>Biogasanlæg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Fjerkrægylle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Biogas</v>
      </c>
      <c r="G440" t="str">
        <f>IF('[1]Processer - data'!G440&lt;&gt;"",'[1]Processer - data'!G440,"")</f>
        <v>Nm3 CH4</v>
      </c>
      <c r="H440" s="280" t="e">
        <f>SUMIFS('Forbrug af biomasse'!$E$1:$E$425,'Forbrug af biomasse'!$A$1:$A$425,$F440,'Forbrug af biomasse'!$C$1:$C$425,$D440,'Forbrug af biomasse'!$B$1:$B$425,$A$1,'Forbrug af biomasse'!$D$1:$D$425,H$2)*'[1]Processer - data'!H440*IFERROR(VLOOKUP($D440,Biogasanlæg!$F$3:$G$8,2,FALSE),1)</f>
        <v>#REF!</v>
      </c>
      <c r="I440" s="281" t="e">
        <f>SUMIFS('Forbrug af biomasse'!$E$1:$E$425,'Forbrug af biomasse'!$A$1:$A$425,$F440,'Forbrug af biomasse'!$C$1:$C$425,$D440,'Forbrug af biomasse'!$B$1:$B$425,$A$1,'Forbrug af biomasse'!$D$1:$D$425,I$2)*'[1]Processer - data'!I440*IFERROR(VLOOKUP($D440,Biogasanlæg!$F$3:$G$8,2,FALSE),1)</f>
        <v>#REF!</v>
      </c>
      <c r="J440" s="282" t="e">
        <f>SUMIFS('Forbrug af biomasse'!$E$1:$E$425,'Forbrug af biomasse'!$A$1:$A$425,$F440,'Forbrug af biomasse'!$C$1:$C$425,$D440,'Forbrug af biomasse'!$B$1:$B$425,$A$1,'Forbrug af biomasse'!$D$1:$D$425,J$2)*'[1]Processer - data'!J440*IFERROR(VLOOKUP($D440,Biogasanlæg!$F$3:$G$8,2,FALSE),1)</f>
        <v>#REF!</v>
      </c>
      <c r="L440" s="127"/>
      <c r="M440" s="125"/>
    </row>
    <row r="441" spans="1:13" x14ac:dyDescent="0.25">
      <c r="A441" t="str">
        <f>IF('[1]Processer - data'!A441&lt;&gt;"",'[1]Processer - data'!A441,"")</f>
        <v>Biogasanlæg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Dybstrøelse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Biogas</v>
      </c>
      <c r="G441" t="str">
        <f>IF('[1]Processer - data'!G441&lt;&gt;"",'[1]Processer - data'!G441,"")</f>
        <v>Nm3 CH4</v>
      </c>
      <c r="H441" s="280" t="e">
        <f>SUMIFS('Forbrug af biomasse'!$E$1:$E$425,'Forbrug af biomasse'!$A$1:$A$425,$F441,'Forbrug af biomasse'!$C$1:$C$425,$D441,'Forbrug af biomasse'!$B$1:$B$425,$A$1,'Forbrug af biomasse'!$D$1:$D$425,H$2)*'[1]Processer - data'!H441*IFERROR(VLOOKUP($D441,Biogasanlæg!$F$3:$G$8,2,FALSE),1)</f>
        <v>#REF!</v>
      </c>
      <c r="I441" s="281" t="e">
        <f>SUMIFS('Forbrug af biomasse'!$E$1:$E$425,'Forbrug af biomasse'!$A$1:$A$425,$F441,'Forbrug af biomasse'!$C$1:$C$425,$D441,'Forbrug af biomasse'!$B$1:$B$425,$A$1,'Forbrug af biomasse'!$D$1:$D$425,I$2)*'[1]Processer - data'!I441*IFERROR(VLOOKUP($D441,Biogasanlæg!$F$3:$G$8,2,FALSE),1)</f>
        <v>#REF!</v>
      </c>
      <c r="J441" s="282" t="e">
        <f>SUMIFS('Forbrug af biomasse'!$E$1:$E$425,'Forbrug af biomasse'!$A$1:$A$425,$F441,'Forbrug af biomasse'!$C$1:$C$425,$D441,'Forbrug af biomasse'!$B$1:$B$425,$A$1,'Forbrug af biomasse'!$D$1:$D$425,J$2)*'[1]Processer - data'!J441*IFERROR(VLOOKUP($D441,Biogasanlæg!$F$3:$G$8,2,FALSE),1)</f>
        <v>#REF!</v>
      </c>
      <c r="L441" s="127"/>
      <c r="M441" s="125"/>
    </row>
    <row r="442" spans="1:13" x14ac:dyDescent="0.25">
      <c r="A442" t="str">
        <f>IF('[1]Processer - data'!A442&lt;&gt;"",'[1]Processer - data'!A442,"")</f>
        <v>Biogasanlæg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Majs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Biogas</v>
      </c>
      <c r="G442" t="str">
        <f>IF('[1]Processer - data'!G442&lt;&gt;"",'[1]Processer - data'!G442,"")</f>
        <v>Nm3 CH4</v>
      </c>
      <c r="H442" s="280" t="e">
        <f>SUMIFS('Forbrug af biomasse'!$E$1:$E$425,'Forbrug af biomasse'!$A$1:$A$425,$F442,'Forbrug af biomasse'!$C$1:$C$425,$D442,'Forbrug af biomasse'!$B$1:$B$425,$A$1,'Forbrug af biomasse'!$D$1:$D$425,H$2)*'[1]Processer - data'!H442*IFERROR(VLOOKUP($D442,Biogasanlæg!$F$3:$G$8,2,FALSE),1)</f>
        <v>#REF!</v>
      </c>
      <c r="I442" s="281" t="e">
        <f>SUMIFS('Forbrug af biomasse'!$E$1:$E$425,'Forbrug af biomasse'!$A$1:$A$425,$F442,'Forbrug af biomasse'!$C$1:$C$425,$D442,'Forbrug af biomasse'!$B$1:$B$425,$A$1,'Forbrug af biomasse'!$D$1:$D$425,I$2)*'[1]Processer - data'!I442*IFERROR(VLOOKUP($D442,Biogasanlæg!$F$3:$G$8,2,FALSE),1)</f>
        <v>#REF!</v>
      </c>
      <c r="J442" s="282" t="e">
        <f>SUMIFS('Forbrug af biomasse'!$E$1:$E$425,'Forbrug af biomasse'!$A$1:$A$425,$F442,'Forbrug af biomasse'!$C$1:$C$425,$D442,'Forbrug af biomasse'!$B$1:$B$425,$A$1,'Forbrug af biomasse'!$D$1:$D$425,J$2)*'[1]Processer - data'!J442*IFERROR(VLOOKUP($D442,Biogasanlæg!$F$3:$G$8,2,FALSE),1)</f>
        <v>#REF!</v>
      </c>
      <c r="L442" s="128"/>
      <c r="M442" s="125"/>
    </row>
    <row r="443" spans="1:13" x14ac:dyDescent="0.25">
      <c r="A443" t="str">
        <f>IF('[1]Processer - data'!A443&lt;&gt;"",'[1]Processer - data'!A443,"")</f>
        <v>Biogasanlæg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Roer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Biogas</v>
      </c>
      <c r="G443" t="str">
        <f>IF('[1]Processer - data'!G443&lt;&gt;"",'[1]Processer - data'!G443,"")</f>
        <v>Nm3 CH4</v>
      </c>
      <c r="H443" s="280" t="e">
        <f>SUMIFS('Forbrug af biomasse'!$E$1:$E$425,'Forbrug af biomasse'!$A$1:$A$425,$F443,'Forbrug af biomasse'!$C$1:$C$425,$D443,'Forbrug af biomasse'!$B$1:$B$425,$A$1,'Forbrug af biomasse'!$D$1:$D$425,H$2)*'[1]Processer - data'!H443*IFERROR(VLOOKUP($D443,Biogasanlæg!$F$3:$G$8,2,FALSE),1)</f>
        <v>#REF!</v>
      </c>
      <c r="I443" s="281" t="e">
        <f>SUMIFS('Forbrug af biomasse'!$E$1:$E$425,'Forbrug af biomasse'!$A$1:$A$425,$F443,'Forbrug af biomasse'!$C$1:$C$425,$D443,'Forbrug af biomasse'!$B$1:$B$425,$A$1,'Forbrug af biomasse'!$D$1:$D$425,I$2)*'[1]Processer - data'!I443*IFERROR(VLOOKUP($D443,Biogasanlæg!$F$3:$G$8,2,FALSE),1)</f>
        <v>#REF!</v>
      </c>
      <c r="J443" s="282" t="e">
        <f>SUMIFS('Forbrug af biomasse'!$E$1:$E$425,'Forbrug af biomasse'!$A$1:$A$425,$F443,'Forbrug af biomasse'!$C$1:$C$425,$D443,'Forbrug af biomasse'!$B$1:$B$425,$A$1,'Forbrug af biomasse'!$D$1:$D$425,J$2)*'[1]Processer - data'!J443*IFERROR(VLOOKUP($D443,Biogasanlæg!$F$3:$G$8,2,FALSE),1)</f>
        <v>#REF!</v>
      </c>
      <c r="L443" s="127"/>
      <c r="M443" s="125"/>
    </row>
    <row r="444" spans="1:13" x14ac:dyDescent="0.25">
      <c r="A444" t="str">
        <f>IF('[1]Processer - data'!A444&lt;&gt;"",'[1]Processer - data'!A444,"")</f>
        <v>Biogasanlæg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Bioaffald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Biogas</v>
      </c>
      <c r="G444" t="str">
        <f>IF('[1]Processer - data'!G444&lt;&gt;"",'[1]Processer - data'!G444,"")</f>
        <v>Nm3 CH4</v>
      </c>
      <c r="H444" s="280" t="e">
        <f>SUMIFS('Forbrug af biomasse'!$E$1:$E$425,'Forbrug af biomasse'!$A$1:$A$425,$F444,'Forbrug af biomasse'!$C$1:$C$425,$D444,'Forbrug af biomasse'!$B$1:$B$425,$A$1,'Forbrug af biomasse'!$D$1:$D$425,H$2)*'[1]Processer - data'!H444*IFERROR(VLOOKUP($D444,Biogasanlæg!$F$3:$G$8,2,FALSE),1)</f>
        <v>#REF!</v>
      </c>
      <c r="I444" s="281" t="e">
        <f>SUMIFS('Forbrug af biomasse'!$E$1:$E$425,'Forbrug af biomasse'!$A$1:$A$425,$F444,'Forbrug af biomasse'!$C$1:$C$425,$D444,'Forbrug af biomasse'!$B$1:$B$425,$A$1,'Forbrug af biomasse'!$D$1:$D$425,I$2)*'[1]Processer - data'!I444*IFERROR(VLOOKUP($D444,Biogasanlæg!$F$3:$G$8,2,FALSE),1)</f>
        <v>#REF!</v>
      </c>
      <c r="J444" s="282" t="e">
        <f>SUMIFS('Forbrug af biomasse'!$E$1:$E$425,'Forbrug af biomasse'!$A$1:$A$425,$F444,'Forbrug af biomasse'!$C$1:$C$425,$D444,'Forbrug af biomasse'!$B$1:$B$425,$A$1,'Forbrug af biomasse'!$D$1:$D$425,J$2)*'[1]Processer - data'!J444*IFERROR(VLOOKUP($D444,Biogasanlæg!$F$3:$G$8,2,FALSE),1)</f>
        <v>#REF!</v>
      </c>
      <c r="L444" s="127"/>
      <c r="M444" s="125"/>
    </row>
    <row r="445" spans="1:13" x14ac:dyDescent="0.25">
      <c r="A445" t="str">
        <f>IF('[1]Processer - data'!A445&lt;&gt;"",'[1]Processer - data'!A445,"")</f>
        <v>Biogasanlæg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Industriaffald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Biogas</v>
      </c>
      <c r="G445" t="str">
        <f>IF('[1]Processer - data'!G445&lt;&gt;"",'[1]Processer - data'!G445,"")</f>
        <v>Nm3 CH4</v>
      </c>
      <c r="H445" s="280" t="e">
        <f>SUMIFS('Forbrug af biomasse'!$E$1:$E$425,'Forbrug af biomasse'!$A$1:$A$425,$F445,'Forbrug af biomasse'!$C$1:$C$425,$D445,'Forbrug af biomasse'!$B$1:$B$425,$A$1,'Forbrug af biomasse'!$D$1:$D$425,H$2)*'[1]Processer - data'!H445*IFERROR(VLOOKUP($D445,Biogasanlæg!$F$3:$G$8,2,FALSE),1)</f>
        <v>#REF!</v>
      </c>
      <c r="I445" s="281" t="e">
        <f>SUMIFS('Forbrug af biomasse'!$E$1:$E$425,'Forbrug af biomasse'!$A$1:$A$425,$F445,'Forbrug af biomasse'!$C$1:$C$425,$D445,'Forbrug af biomasse'!$B$1:$B$425,$A$1,'Forbrug af biomasse'!$D$1:$D$425,I$2)*'[1]Processer - data'!I445*IFERROR(VLOOKUP($D445,Biogasanlæg!$F$3:$G$8,2,FALSE),1)</f>
        <v>#REF!</v>
      </c>
      <c r="J445" s="282" t="e">
        <f>SUMIFS('Forbrug af biomasse'!$E$1:$E$425,'Forbrug af biomasse'!$A$1:$A$425,$F445,'Forbrug af biomasse'!$C$1:$C$425,$D445,'Forbrug af biomasse'!$B$1:$B$425,$A$1,'Forbrug af biomasse'!$D$1:$D$425,J$2)*'[1]Processer - data'!J445*IFERROR(VLOOKUP($D445,Biogasanlæg!$F$3:$G$8,2,FALSE),1)</f>
        <v>#REF!</v>
      </c>
      <c r="L445" s="127"/>
      <c r="M445" s="125"/>
    </row>
    <row r="446" spans="1:13" x14ac:dyDescent="0.25">
      <c r="A446" t="str">
        <f>IF('[1]Processer - data'!A446&lt;&gt;"",'[1]Processer - data'!A446,"")</f>
        <v>Biogasanlæg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Muslinger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Biogas</v>
      </c>
      <c r="G446" t="str">
        <f>IF('[1]Processer - data'!G446&lt;&gt;"",'[1]Processer - data'!G446,"")</f>
        <v>Nm3 CH4</v>
      </c>
      <c r="H446" s="280" t="e">
        <f>SUMIFS('Forbrug af biomasse'!$E$1:$E$425,'Forbrug af biomasse'!$A$1:$A$425,$F446,'Forbrug af biomasse'!$C$1:$C$425,$D446,'Forbrug af biomasse'!$B$1:$B$425,$A$1,'Forbrug af biomasse'!$D$1:$D$425,H$2)*'[1]Processer - data'!H446*IFERROR(VLOOKUP($D446,Biogasanlæg!$F$3:$G$8,2,FALSE),1)</f>
        <v>#REF!</v>
      </c>
      <c r="I446" s="281" t="e">
        <f>SUMIFS('Forbrug af biomasse'!$E$1:$E$425,'Forbrug af biomasse'!$A$1:$A$425,$F446,'Forbrug af biomasse'!$C$1:$C$425,$D446,'Forbrug af biomasse'!$B$1:$B$425,$A$1,'Forbrug af biomasse'!$D$1:$D$425,I$2)*'[1]Processer - data'!I446*IFERROR(VLOOKUP($D446,Biogasanlæg!$F$3:$G$8,2,FALSE),1)</f>
        <v>#REF!</v>
      </c>
      <c r="J446" s="282" t="e">
        <f>SUMIFS('Forbrug af biomasse'!$E$1:$E$425,'Forbrug af biomasse'!$A$1:$A$425,$F446,'Forbrug af biomasse'!$C$1:$C$425,$D446,'Forbrug af biomasse'!$B$1:$B$425,$A$1,'Forbrug af biomasse'!$D$1:$D$425,J$2)*'[1]Processer - data'!J446*IFERROR(VLOOKUP($D446,Biogasanlæg!$F$3:$G$8,2,FALSE),1)</f>
        <v>#REF!</v>
      </c>
      <c r="L446" s="127"/>
      <c r="M446" s="125"/>
    </row>
    <row r="447" spans="1:13" x14ac:dyDescent="0.25">
      <c r="A447" t="str">
        <f>IF('[1]Processer - data'!A447&lt;&gt;"",'[1]Processer - data'!A447,"")</f>
        <v>Biogasanlæg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Biogas</v>
      </c>
      <c r="G447" t="str">
        <f>IF('[1]Processer - data'!G447&lt;&gt;"",'[1]Processer - data'!G447,"")</f>
        <v>Nm3 CH4</v>
      </c>
      <c r="H447" s="280" t="e">
        <f>SUMIFS('Forbrug af biomasse'!$E$1:$E$425,'Forbrug af biomasse'!$A$1:$A$425,$F447,'Forbrug af biomasse'!$C$1:$C$425,$D447,'Forbrug af biomasse'!$B$1:$B$425,$A$1,'Forbrug af biomasse'!$D$1:$D$425,H$2)*'[1]Processer - data'!H447*IFERROR(VLOOKUP($D447,Biogasanlæg!$F$3:$G$8,2,FALSE),1)</f>
        <v>#REF!</v>
      </c>
      <c r="I447" s="281" t="e">
        <f>SUMIFS('Forbrug af biomasse'!$E$1:$E$425,'Forbrug af biomasse'!$A$1:$A$425,$F447,'Forbrug af biomasse'!$C$1:$C$425,$D447,'Forbrug af biomasse'!$B$1:$B$425,$A$1,'Forbrug af biomasse'!$D$1:$D$425,I$2)*'[1]Processer - data'!I447*IFERROR(VLOOKUP($D447,Biogasanlæg!$F$3:$G$8,2,FALSE),1)</f>
        <v>#REF!</v>
      </c>
      <c r="J447" s="282" t="e">
        <f>SUMIFS('Forbrug af biomasse'!$E$1:$E$425,'Forbrug af biomasse'!$A$1:$A$425,$F447,'Forbrug af biomasse'!$C$1:$C$425,$D447,'Forbrug af biomasse'!$B$1:$B$425,$A$1,'Forbrug af biomasse'!$D$1:$D$425,J$2)*'[1]Processer - data'!J447*IFERROR(VLOOKUP($D447,Biogasanlæg!$F$3:$G$8,2,FALSE),1)</f>
        <v>#REF!</v>
      </c>
      <c r="L447" s="127"/>
      <c r="M447" s="125"/>
    </row>
    <row r="448" spans="1:13" x14ac:dyDescent="0.25">
      <c r="A448" t="str">
        <f>IF('[1]Processer - data'!A448&lt;&gt;"",'[1]Processer - data'!A448,"")</f>
        <v>Biogasanlæg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Have/parkaffald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Biogas</v>
      </c>
      <c r="G448" t="str">
        <f>IF('[1]Processer - data'!G448&lt;&gt;"",'[1]Processer - data'!G448,"")</f>
        <v>Nm3 CH4</v>
      </c>
      <c r="H448" s="280" t="e">
        <f>SUMIFS('Forbrug af biomasse'!$E$1:$E$425,'Forbrug af biomasse'!$A$1:$A$425,$F448,'Forbrug af biomasse'!$C$1:$C$425,$D448,'Forbrug af biomasse'!$B$1:$B$425,$A$1,'Forbrug af biomasse'!$D$1:$D$425,H$2)*'[1]Processer - data'!H448*IFERROR(VLOOKUP($D448,Biogasanlæg!$F$3:$G$8,2,FALSE),1)</f>
        <v>#REF!</v>
      </c>
      <c r="I448" s="281" t="e">
        <f>SUMIFS('Forbrug af biomasse'!$E$1:$E$425,'Forbrug af biomasse'!$A$1:$A$425,$F448,'Forbrug af biomasse'!$C$1:$C$425,$D448,'Forbrug af biomasse'!$B$1:$B$425,$A$1,'Forbrug af biomasse'!$D$1:$D$425,I$2)*'[1]Processer - data'!I448*IFERROR(VLOOKUP($D448,Biogasanlæg!$F$3:$G$8,2,FALSE),1)</f>
        <v>#REF!</v>
      </c>
      <c r="J448" s="282" t="e">
        <f>SUMIFS('Forbrug af biomasse'!$E$1:$E$425,'Forbrug af biomasse'!$A$1:$A$425,$F448,'Forbrug af biomasse'!$C$1:$C$425,$D448,'Forbrug af biomasse'!$B$1:$B$425,$A$1,'Forbrug af biomasse'!$D$1:$D$425,J$2)*'[1]Processer - data'!J448*IFERROR(VLOOKUP($D448,Biogasanlæg!$F$3:$G$8,2,FALSE),1)</f>
        <v>#REF!</v>
      </c>
      <c r="L448" s="127"/>
      <c r="M448" s="125"/>
    </row>
    <row r="449" spans="1:13" x14ac:dyDescent="0.25">
      <c r="A449" t="str">
        <f>IF('[1]Processer - data'!A449&lt;&gt;"",'[1]Processer - data'!A449,"")</f>
        <v>Biogasanlæg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Brun saft</v>
      </c>
      <c r="E449" t="str">
        <f>IF('[1]Processer - data'!E449&lt;&gt;"",'[1]Processer - data'!E449,"")</f>
        <v>PJ</v>
      </c>
      <c r="F449" t="str">
        <f>IF('[1]Processer - data'!F449&lt;&gt;"",'[1]Processer - data'!F449,"")</f>
        <v>Biogas</v>
      </c>
      <c r="G449" t="str">
        <f>IF('[1]Processer - data'!G449&lt;&gt;"",'[1]Processer - data'!G449,"")</f>
        <v>Nm3 CH4</v>
      </c>
      <c r="H449" s="280" t="e">
        <f>SUMIFS('Forbrug af biomasse'!$E$1:$E$425,'Forbrug af biomasse'!$A$1:$A$425,$F449,'Forbrug af biomasse'!$C$1:$C$425,$D449,'Forbrug af biomasse'!$B$1:$B$425,$A$1,'Forbrug af biomasse'!$D$1:$D$425,H$2)*'[1]Processer - data'!H449*IFERROR(VLOOKUP($D449,Biogasanlæg!$F$3:$G$8,2,FALSE),1)</f>
        <v>#REF!</v>
      </c>
      <c r="I449" s="281" t="e">
        <f>SUMIFS('Forbrug af biomasse'!$E$1:$E$425,'Forbrug af biomasse'!$A$1:$A$425,$F449,'Forbrug af biomasse'!$C$1:$C$425,$D449,'Forbrug af biomasse'!$B$1:$B$425,$A$1,'Forbrug af biomasse'!$D$1:$D$425,I$2)*'[1]Processer - data'!I449*IFERROR(VLOOKUP($D449,Biogasanlæg!$F$3:$G$8,2,FALSE),1)</f>
        <v>#REF!</v>
      </c>
      <c r="J449" s="282" t="e">
        <f>SUMIFS('Forbrug af biomasse'!$E$1:$E$425,'Forbrug af biomasse'!$A$1:$A$425,$F449,'Forbrug af biomasse'!$C$1:$C$425,$D449,'Forbrug af biomasse'!$B$1:$B$425,$A$1,'Forbrug af biomasse'!$D$1:$D$425,J$2)*'[1]Processer - data'!J449*IFERROR(VLOOKUP($D449,Biogasanlæg!$F$3:$G$8,2,FALSE),1)</f>
        <v>#REF!</v>
      </c>
      <c r="L449" s="128"/>
      <c r="M449" s="125"/>
    </row>
    <row r="450" spans="1:13" x14ac:dyDescent="0.25">
      <c r="A450" t="str">
        <f>IF('[1]Processer - data'!A450&lt;&gt;"",'[1]Processer - data'!A450,"")</f>
        <v>Biogasanlæg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Glycerin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Biogas</v>
      </c>
      <c r="G450" t="str">
        <f>IF('[1]Processer - data'!G450&lt;&gt;"",'[1]Processer - data'!G450,"")</f>
        <v>Nm3 CH4</v>
      </c>
      <c r="H450" s="280">
        <f>SUMIFS('Forbrug af biomasse'!$E$1:$E$425,'Forbrug af biomasse'!$A$1:$A$425,$F450,'Forbrug af biomasse'!$C$1:$C$425,$D450,'Forbrug af biomasse'!$B$1:$B$425,$A$1,'Forbrug af biomasse'!$D$1:$D$425,H$2)*'[1]Processer - data'!H450*IFERROR(VLOOKUP($D450,Biogasanlæg!$F$3:$G$8,2,FALSE),1)</f>
        <v>48345002.496000007</v>
      </c>
      <c r="I450" s="281">
        <f>SUMIFS('Forbrug af biomasse'!$E$1:$E$425,'Forbrug af biomasse'!$A$1:$A$425,$F450,'Forbrug af biomasse'!$C$1:$C$425,$D450,'Forbrug af biomasse'!$B$1:$B$425,$A$1,'Forbrug af biomasse'!$D$1:$D$425,I$2)*'[1]Processer - data'!I450*IFERROR(VLOOKUP($D450,Biogasanlæg!$F$3:$G$8,2,FALSE),1)</f>
        <v>48345002.496000007</v>
      </c>
      <c r="J450" s="282">
        <f>SUMIFS('Forbrug af biomasse'!$E$1:$E$425,'Forbrug af biomasse'!$A$1:$A$425,$F450,'Forbrug af biomasse'!$C$1:$C$425,$D450,'Forbrug af biomasse'!$B$1:$B$425,$A$1,'Forbrug af biomasse'!$D$1:$D$425,J$2)*'[1]Processer - data'!J450*IFERROR(VLOOKUP($D450,Biogasanlæg!$F$3:$G$8,2,FALSE),1)</f>
        <v>48345002.496000007</v>
      </c>
      <c r="L450" s="127"/>
      <c r="M450" s="125"/>
    </row>
    <row r="451" spans="1:13" ht="15.75" thickBot="1" x14ac:dyDescent="0.3">
      <c r="A451" t="str">
        <f>IF('[1]Processer - data'!A451&lt;&gt;"",'[1]Processer - data'!A451,"")</f>
        <v>Biogasanlæg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Spildevandsslam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Biogas</v>
      </c>
      <c r="G451" t="str">
        <f>IF('[1]Processer - data'!G451&lt;&gt;"",'[1]Processer - data'!G451,"")</f>
        <v>Nm3 CH4</v>
      </c>
      <c r="H451" s="280" t="e">
        <f>SUMIFS('Forbrug af biomasse'!$E$1:$E$425,'Forbrug af biomasse'!$A$1:$A$425,$F451,'Forbrug af biomasse'!$C$1:$C$425,$D451,'Forbrug af biomasse'!$B$1:$B$425,$A$1,'Forbrug af biomasse'!$D$1:$D$425,H$2)*'[1]Processer - data'!H451*IFERROR(VLOOKUP($D451,Biogasanlæg!$F$3:$G$8,2,FALSE),1)</f>
        <v>#REF!</v>
      </c>
      <c r="I451" s="281" t="e">
        <f>SUMIFS('Forbrug af biomasse'!$E$1:$E$425,'Forbrug af biomasse'!$A$1:$A$425,$F451,'Forbrug af biomasse'!$C$1:$C$425,$D451,'Forbrug af biomasse'!$B$1:$B$425,$A$1,'Forbrug af biomasse'!$D$1:$D$425,I$2)*'[1]Processer - data'!I451*IFERROR(VLOOKUP($D451,Biogasanlæg!$F$3:$G$8,2,FALSE),1)</f>
        <v>#REF!</v>
      </c>
      <c r="J451" s="282" t="e">
        <f>SUMIFS('Forbrug af biomasse'!$E$1:$E$425,'Forbrug af biomasse'!$A$1:$A$425,$F451,'Forbrug af biomasse'!$C$1:$C$425,$D451,'Forbrug af biomasse'!$B$1:$B$425,$A$1,'Forbrug af biomasse'!$D$1:$D$425,J$2)*'[1]Processer - data'!J451*IFERROR(VLOOKUP($D451,Biogasanlæg!$F$3:$G$8,2,FALSE),1)</f>
        <v>#REF!</v>
      </c>
      <c r="L451" s="142"/>
      <c r="M451" s="125"/>
    </row>
    <row r="452" spans="1:13" x14ac:dyDescent="0.25">
      <c r="A452" t="str">
        <f>IF('[1]Processer - data'!A452&lt;&gt;"",'[1]Processer - data'!A452,"")</f>
        <v>Biogasanlæg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Total til biogas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Biogasgylle</v>
      </c>
      <c r="G452" t="str">
        <f>IF('[1]Processer - data'!G452&lt;&gt;"",'[1]Processer - data'!G452,"")</f>
        <v>Ton</v>
      </c>
      <c r="H452" s="286" t="e">
        <f>SUMIFS('Forbrug af biomasse'!$E$1:$E$425,'Forbrug af biomasse'!$A$1:$A$425,"Biogas",'Forbrug af biomasse'!$B$1:$B$425,$A$1,'Forbrug af biomasse'!$D$1:$D$425,H$2)*'[1]Processer - data'!H452</f>
        <v>#REF!</v>
      </c>
      <c r="I452" s="287" t="e">
        <f>SUMIFS('Forbrug af biomasse'!$E$1:$E$425,'Forbrug af biomasse'!$A$1:$A$425,"Biogas",'Forbrug af biomasse'!$B$1:$B$425,$A$1,'Forbrug af biomasse'!$D$1:$D$425,I$2)*'[1]Processer - data'!I452</f>
        <v>#REF!</v>
      </c>
      <c r="J452" s="288" t="e">
        <f>SUMIFS('Forbrug af biomasse'!$E$1:$E$425,'Forbrug af biomasse'!$A$1:$A$425,"Biogas",'Forbrug af biomasse'!$B$1:$B$425,$A$1,'Forbrug af biomasse'!$D$1:$D$425,J$2)*'[1]Processer - data'!J452</f>
        <v>#REF!</v>
      </c>
    </row>
    <row r="453" spans="1:13" x14ac:dyDescent="0.25">
      <c r="A453" t="str">
        <f>IF('[1]Processer - data'!A453&lt;&gt;"",'[1]Processer - data'!A453,"")</f>
        <v>Gødning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Svinegylle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Gødning</v>
      </c>
      <c r="G453" t="str">
        <f>IF('[1]Processer - data'!G453&lt;&gt;"",'[1]Processer - data'!G453,"")</f>
        <v>kg N</v>
      </c>
      <c r="H453" s="286" t="e">
        <f>(1-IF(VLOOKUP($D453,Biogasanlæg!$A$3:$D$7,MATCH(H$2,Biogasanlæg!$A$2:$D$2,0),FALSE)&gt;1,1,VLOOKUP($D453,Biogasanlæg!$A$3:$D$7,MATCH(H$2,Biogasanlæg!$A$2:$D$2,0),FALSE)))*SUMIFS('Resultater - Vestdanmark'!H$3:H$482,'Resultater - Vestdanmark'!$F$3:$F$482,$D453)*'[1]Processer - data'!H$453</f>
        <v>#REF!</v>
      </c>
      <c r="I453" s="287" t="e">
        <f>(1-IF(VLOOKUP($D453,Biogasanlæg!$A$3:$D$7,MATCH(I$2,Biogasanlæg!$A$2:$D$2,0),FALSE)&gt;1,1,VLOOKUP($D453,Biogasanlæg!$A$3:$D$7,MATCH(I$2,Biogasanlæg!$A$2:$D$2,0),FALSE)))*SUMIFS('Resultater - Vestdanmark'!I$3:I$482,'Resultater - Vestdanmark'!$F$3:$F$482,$D453)*'[1]Processer - data'!I$453</f>
        <v>#REF!</v>
      </c>
      <c r="J453" s="288" t="e">
        <f>(1-IF(VLOOKUP($D453,Biogasanlæg!$A$3:$D$7,MATCH(J$2,Biogasanlæg!$A$2:$D$2,0),FALSE)&gt;1,1,VLOOKUP($D453,Biogasanlæg!$A$3:$D$7,MATCH(J$2,Biogasanlæg!$A$2:$D$2,0),FALSE)))*SUMIFS('Resultater - Vestdanmark'!J$3:J$482,'Resultater - Vestdanmark'!$F$3:$F$482,$D453)*'[1]Processer - data'!J$453</f>
        <v>#REF!</v>
      </c>
    </row>
    <row r="454" spans="1:13" x14ac:dyDescent="0.25">
      <c r="A454" t="str">
        <f>IF('[1]Processer - data'!A454&lt;&gt;"",'[1]Processer - data'!A454,"")</f>
        <v>Gødning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Kvæggylle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Gødning</v>
      </c>
      <c r="G454" t="str">
        <f>IF('[1]Processer - data'!G454&lt;&gt;"",'[1]Processer - data'!G454,"")</f>
        <v>kg N</v>
      </c>
      <c r="H454" s="286" t="e">
        <f>(1-IF(VLOOKUP($D454,Biogasanlæg!$A$3:$D$7,MATCH(H$2,Biogasanlæg!$A$2:$D$2,0),FALSE)&gt;1,1,VLOOKUP($D454,Biogasanlæg!$A$3:$D$7,MATCH(H$2,Biogasanlæg!$A$2:$D$2,0),FALSE)))*SUMIFS('Resultater - Vestdanmark'!H$3:H$482,'Resultater - Vestdanmark'!$F$3:$F$482,$D454)*'[1]Processer - data'!H$453</f>
        <v>#REF!</v>
      </c>
      <c r="I454" s="287" t="e">
        <f>(1-IF(VLOOKUP($D454,Biogasanlæg!$A$3:$D$7,MATCH(I$2,Biogasanlæg!$A$2:$D$2,0),FALSE)&gt;1,1,VLOOKUP($D454,Biogasanlæg!$A$3:$D$7,MATCH(I$2,Biogasanlæg!$A$2:$D$2,0),FALSE)))*SUMIFS('Resultater - Vestdanmark'!I$3:I$482,'Resultater - Vestdanmark'!$F$3:$F$482,$D454)*'[1]Processer - data'!I$453</f>
        <v>#REF!</v>
      </c>
      <c r="J454" s="288" t="e">
        <f>(1-IF(VLOOKUP($D454,Biogasanlæg!$A$3:$D$7,MATCH(J$2,Biogasanlæg!$A$2:$D$2,0),FALSE)&gt;1,1,VLOOKUP($D454,Biogasanlæg!$A$3:$D$7,MATCH(J$2,Biogasanlæg!$A$2:$D$2,0),FALSE)))*SUMIFS('Resultater - Vestdanmark'!J$3:J$482,'Resultater - Vestdanmark'!$F$3:$F$482,$D454)*'[1]Processer - data'!J$453</f>
        <v>#REF!</v>
      </c>
    </row>
    <row r="455" spans="1:13" x14ac:dyDescent="0.25">
      <c r="A455" t="str">
        <f>IF('[1]Processer - data'!A455&lt;&gt;"",'[1]Processer - data'!A455,"")</f>
        <v>Gødning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Fjerkrægylle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Gødning</v>
      </c>
      <c r="G455" t="str">
        <f>IF('[1]Processer - data'!G455&lt;&gt;"",'[1]Processer - data'!G455,"")</f>
        <v>kg N</v>
      </c>
      <c r="H455" s="286" t="e">
        <f>(1-IF(VLOOKUP($D455,Biogasanlæg!$A$3:$D$7,MATCH(H$2,Biogasanlæg!$A$2:$D$2,0),FALSE)&gt;1,1,VLOOKUP($D455,Biogasanlæg!$A$3:$D$7,MATCH(H$2,Biogasanlæg!$A$2:$D$2,0),FALSE)))*SUMIFS('Resultater - Vestdanmark'!H$3:H$482,'Resultater - Vestdanmark'!$F$3:$F$482,$D455)*'[1]Processer - data'!H$453</f>
        <v>#REF!</v>
      </c>
      <c r="I455" s="287" t="e">
        <f>(1-IF(VLOOKUP($D455,Biogasanlæg!$A$3:$D$7,MATCH(I$2,Biogasanlæg!$A$2:$D$2,0),FALSE)&gt;1,1,VLOOKUP($D455,Biogasanlæg!$A$3:$D$7,MATCH(I$2,Biogasanlæg!$A$2:$D$2,0),FALSE)))*SUMIFS('Resultater - Vestdanmark'!I$3:I$482,'Resultater - Vestdanmark'!$F$3:$F$482,$D455)*'[1]Processer - data'!I$453</f>
        <v>#REF!</v>
      </c>
      <c r="J455" s="288" t="e">
        <f>(1-IF(VLOOKUP($D455,Biogasanlæg!$A$3:$D$7,MATCH(J$2,Biogasanlæg!$A$2:$D$2,0),FALSE)&gt;1,1,VLOOKUP($D455,Biogasanlæg!$A$3:$D$7,MATCH(J$2,Biogasanlæg!$A$2:$D$2,0),FALSE)))*SUMIFS('Resultater - Vestdanmark'!J$3:J$482,'Resultater - Vestdanmark'!$F$3:$F$482,$D455)*'[1]Processer - data'!J$453</f>
        <v>#REF!</v>
      </c>
    </row>
    <row r="456" spans="1:13" x14ac:dyDescent="0.25">
      <c r="A456" t="str">
        <f>IF('[1]Processer - data'!A456&lt;&gt;"",'[1]Processer - data'!A456,"")</f>
        <v>Gødning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Dybstrøelse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Gødning</v>
      </c>
      <c r="G456" t="str">
        <f>IF('[1]Processer - data'!G456&lt;&gt;"",'[1]Processer - data'!G456,"")</f>
        <v>kg N</v>
      </c>
      <c r="H456" s="286" t="e">
        <f>(1-IF(VLOOKUP($D456,Biogasanlæg!$A$3:$D$7,MATCH(H$2,Biogasanlæg!$A$2:$D$2,0),FALSE)&gt;1,1,VLOOKUP($D456,Biogasanlæg!$A$3:$D$7,MATCH(H$2,Biogasanlæg!$A$2:$D$2,0),FALSE)))*SUMIFS('Resultater - Vestdanmark'!H$3:H$482,'Resultater - Vestdanmark'!$F$3:$F$482,$D456)*'[1]Processer - data'!H$453</f>
        <v>#REF!</v>
      </c>
      <c r="I456" s="287" t="e">
        <f>(1-IF(VLOOKUP($D456,Biogasanlæg!$A$3:$D$7,MATCH(I$2,Biogasanlæg!$A$2:$D$2,0),FALSE)&gt;1,1,VLOOKUP($D456,Biogasanlæg!$A$3:$D$7,MATCH(I$2,Biogasanlæg!$A$2:$D$2,0),FALSE)))*SUMIFS('Resultater - Vestdanmark'!I$3:I$482,'Resultater - Vestdanmark'!$F$3:$F$482,$D456)*'[1]Processer - data'!I$453</f>
        <v>#REF!</v>
      </c>
      <c r="J456" s="288" t="e">
        <f>(1-IF(VLOOKUP($D456,Biogasanlæg!$A$3:$D$7,MATCH(J$2,Biogasanlæg!$A$2:$D$2,0),FALSE)&gt;1,1,VLOOKUP($D456,Biogasanlæg!$A$3:$D$7,MATCH(J$2,Biogasanlæg!$A$2:$D$2,0),FALSE)))*SUMIFS('Resultater - Vestdanmark'!J$3:J$482,'Resultater - Vestdanmark'!$F$3:$F$482,$D456)*'[1]Processer - data'!J$453</f>
        <v>#REF!</v>
      </c>
    </row>
    <row r="457" spans="1:13" x14ac:dyDescent="0.25">
      <c r="A457" t="str">
        <f>IF('[1]Processer - data'!A457&lt;&gt;"",'[1]Processer - data'!A457,"")</f>
        <v>Gødning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Biogasgylle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Gødning</v>
      </c>
      <c r="G457" t="str">
        <f>IF('[1]Processer - data'!G457&lt;&gt;"",'[1]Processer - data'!G457,"")</f>
        <v>kg N</v>
      </c>
      <c r="H457" s="286" t="e">
        <f>H452*'[1]Processer - data'!H$457*Biogasanlæg!AA$3</f>
        <v>#REF!</v>
      </c>
      <c r="I457" s="287" t="e">
        <f>I452*'[1]Processer - data'!I$457*Biogasanlæg!AB$3</f>
        <v>#REF!</v>
      </c>
      <c r="J457" s="288" t="e">
        <f>J452*'[1]Processer - data'!J$457*Biogasanlæg!AC$3</f>
        <v>#REF!</v>
      </c>
    </row>
    <row r="458" spans="1:13" x14ac:dyDescent="0.25">
      <c r="A458" t="str">
        <f>IF('[1]Processer - data'!A458&lt;&gt;"",'[1]Processer - data'!A458,"")</f>
        <v>Gødning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Kunstgødning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Gødning</v>
      </c>
      <c r="G458" t="str">
        <f>IF('[1]Processer - data'!G458&lt;&gt;"",'[1]Processer - data'!G458,"")</f>
        <v>kg N</v>
      </c>
      <c r="H458" s="286" t="e">
        <f>-SUMIFS('Resultater - Vestdanmark'!H$3:H$482,'Resultater - Vestdanmark'!$F$3:$F$482,"Gødning",'Resultater - Vestdanmark'!$A$3:$A$482,"&lt;&gt;Gødning")-SUM(H453:H457)</f>
        <v>#REF!</v>
      </c>
      <c r="I458" s="287" t="e">
        <f>-SUMIFS('Resultater - Vestdanmark'!I$3:I$482,'Resultater - Vestdanmark'!$F$3:$F$482,"Gødning",'Resultater - Vestdanmark'!$A$3:$A$482,"&lt;&gt;Gødning")-SUM(I453:I457)</f>
        <v>#REF!</v>
      </c>
      <c r="J458" s="288" t="e">
        <f>-SUMIFS('Resultater - Vestdanmark'!J$3:J$482,'Resultater - Vestdanmark'!$F$3:$F$482,"Gødning",'Resultater - Vestdanmark'!$A$3:$A$482,"&lt;&gt;Gødning")-SUM(J453:J457)</f>
        <v>#REF!</v>
      </c>
    </row>
    <row r="459" spans="1:13" x14ac:dyDescent="0.25">
      <c r="A459" t="str">
        <f>IF('[1]Processer - data'!A459&lt;&gt;"",'[1]Processer - data'!A459,"")</f>
        <v>Til energi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Halm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Energi</v>
      </c>
      <c r="G459" t="str">
        <f>IF('[1]Processer - data'!G459&lt;&gt;"",'[1]Processer - data'!G459,"")</f>
        <v>PJ</v>
      </c>
      <c r="H459" s="289" t="e">
        <f>SUMIFS('Forbrug af biomasse'!$E$1:$E$425,'Forbrug af biomasse'!$A$1:$A$425,$F459,'Forbrug af biomasse'!$C$1:$C$425,$D459,'Forbrug af biomasse'!$B$1:$B$425,$A$1,'Forbrug af biomasse'!$D$1:$D$425,H$2)*'[1]Processer - data'!H459</f>
        <v>#REF!</v>
      </c>
      <c r="I459" s="291" t="e">
        <f>SUMIFS('Forbrug af biomasse'!$E$1:$E$425,'Forbrug af biomasse'!$A$1:$A$425,$F459,'Forbrug af biomasse'!$C$1:$C$425,$D459,'Forbrug af biomasse'!$B$1:$B$425,$A$1,'Forbrug af biomasse'!$D$1:$D$425,I$2)*'[1]Processer - data'!I459</f>
        <v>#REF!</v>
      </c>
      <c r="J459" s="292" t="e">
        <f>SUMIFS('Forbrug af biomasse'!$E$1:$E$425,'Forbrug af biomasse'!$A$1:$A$425,$F459,'Forbrug af biomasse'!$C$1:$C$425,$D459,'Forbrug af biomasse'!$B$1:$B$425,$A$1,'Forbrug af biomasse'!$D$1:$D$425,J$2)*'[1]Processer - data'!J459</f>
        <v>#REF!</v>
      </c>
    </row>
    <row r="460" spans="1:13" x14ac:dyDescent="0.25">
      <c r="A460" t="str">
        <f>IF('[1]Processer - data'!A460&lt;&gt;"",'[1]Processer - data'!A460,"")</f>
        <v>Til energi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Rapsolie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Energi</v>
      </c>
      <c r="G460" t="str">
        <f>IF('[1]Processer - data'!G460&lt;&gt;"",'[1]Processer - data'!G460,"")</f>
        <v>PJ</v>
      </c>
      <c r="H460" s="289" t="e">
        <f>SUMIFS('Forbrug af biomasse'!$E$1:$E$425,'Forbrug af biomasse'!$A$1:$A$425,$F460,'Forbrug af biomasse'!$C$1:$C$425,$D460,'Forbrug af biomasse'!$B$1:$B$425,$A$1,'Forbrug af biomasse'!$D$1:$D$425,H$2)*'[1]Processer - data'!H460</f>
        <v>#REF!</v>
      </c>
      <c r="I460" s="291" t="e">
        <f>SUMIFS('Forbrug af biomasse'!$E$1:$E$425,'Forbrug af biomasse'!$A$1:$A$425,$F460,'Forbrug af biomasse'!$C$1:$C$425,$D460,'Forbrug af biomasse'!$B$1:$B$425,$A$1,'Forbrug af biomasse'!$D$1:$D$425,I$2)*'[1]Processer - data'!I460</f>
        <v>#REF!</v>
      </c>
      <c r="J460" s="292" t="e">
        <f>SUMIFS('Forbrug af biomasse'!$E$1:$E$425,'Forbrug af biomasse'!$A$1:$A$425,$F460,'Forbrug af biomasse'!$C$1:$C$425,$D460,'Forbrug af biomasse'!$B$1:$B$425,$A$1,'Forbrug af biomasse'!$D$1:$D$425,J$2)*'[1]Processer - data'!J460</f>
        <v>#REF!</v>
      </c>
    </row>
    <row r="461" spans="1:13" x14ac:dyDescent="0.25">
      <c r="A461" t="str">
        <f>IF('[1]Processer - data'!A461&lt;&gt;"",'[1]Processer - data'!A461,"")</f>
        <v>Til energi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Pil &amp; poppel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Energi</v>
      </c>
      <c r="G461" t="str">
        <f>IF('[1]Processer - data'!G461&lt;&gt;"",'[1]Processer - data'!G461,"")</f>
        <v>PJ</v>
      </c>
      <c r="H461" s="289" t="e">
        <f>SUMIFS('Forbrug af biomasse'!$E$1:$E$425,'Forbrug af biomasse'!$A$1:$A$425,$F461,'Forbrug af biomasse'!$C$1:$C$425,$D461,'Forbrug af biomasse'!$B$1:$B$425,$A$1,'Forbrug af biomasse'!$D$1:$D$425,H$2)*'[1]Processer - data'!H461</f>
        <v>#REF!</v>
      </c>
      <c r="I461" s="291" t="e">
        <f>SUMIFS('Forbrug af biomasse'!$E$1:$E$425,'Forbrug af biomasse'!$A$1:$A$425,$F461,'Forbrug af biomasse'!$C$1:$C$425,$D461,'Forbrug af biomasse'!$B$1:$B$425,$A$1,'Forbrug af biomasse'!$D$1:$D$425,I$2)*'[1]Processer - data'!I461</f>
        <v>#REF!</v>
      </c>
      <c r="J461" s="292" t="e">
        <f>SUMIFS('Forbrug af biomasse'!$E$1:$E$425,'Forbrug af biomasse'!$A$1:$A$425,$F461,'Forbrug af biomasse'!$C$1:$C$425,$D461,'Forbrug af biomasse'!$B$1:$B$425,$A$1,'Forbrug af biomasse'!$D$1:$D$425,J$2)*'[1]Processer - data'!J461</f>
        <v>#REF!</v>
      </c>
    </row>
    <row r="462" spans="1:13" x14ac:dyDescent="0.25">
      <c r="A462" t="str">
        <f>IF('[1]Processer - data'!A462&lt;&gt;"",'[1]Processer - data'!A462,"")</f>
        <v>Til energi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Træ til energi</v>
      </c>
      <c r="E462" t="str">
        <f>IF('[1]Processer - data'!E462&lt;&gt;"",'[1]Processer - data'!E462,"")</f>
        <v>m3</v>
      </c>
      <c r="F462" t="str">
        <f>IF('[1]Processer - data'!F462&lt;&gt;"",'[1]Processer - data'!F462,"")</f>
        <v>Energi</v>
      </c>
      <c r="G462" t="str">
        <f>IF('[1]Processer - data'!G462&lt;&gt;"",'[1]Processer - data'!G462,"")</f>
        <v>PJ</v>
      </c>
      <c r="H462" s="289" t="e">
        <f>SUMIFS('Forbrug af biomasse'!$E$1:$E$425,'Forbrug af biomasse'!$A$1:$A$425,$F462,'Forbrug af biomasse'!$C$1:$C$425,$D462,'Forbrug af biomasse'!$B$1:$B$425,$A$1,'Forbrug af biomasse'!$D$1:$D$425,H$2)*'[1]Processer - data'!H462</f>
        <v>#REF!</v>
      </c>
      <c r="I462" s="291" t="e">
        <f>SUMIFS('Forbrug af biomasse'!$E$1:$E$425,'Forbrug af biomasse'!$A$1:$A$425,$F462,'Forbrug af biomasse'!$C$1:$C$425,$D462,'Forbrug af biomasse'!$B$1:$B$425,$A$1,'Forbrug af biomasse'!$D$1:$D$425,I$2)*'[1]Processer - data'!I462</f>
        <v>#REF!</v>
      </c>
      <c r="J462" s="292" t="e">
        <f>SUMIFS('Forbrug af biomasse'!$E$1:$E$425,'Forbrug af biomasse'!$A$1:$A$425,$F462,'Forbrug af biomasse'!$C$1:$C$425,$D462,'Forbrug af biomasse'!$B$1:$B$425,$A$1,'Forbrug af biomasse'!$D$1:$D$425,J$2)*'[1]Processer - data'!J462</f>
        <v>#REF!</v>
      </c>
    </row>
    <row r="463" spans="1:13" x14ac:dyDescent="0.25">
      <c r="A463" t="str">
        <f>IF('[1]Processer - data'!A463&lt;&gt;"",'[1]Processer - data'!A463,"")</f>
        <v>Til energi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Have/parkaffald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Energi</v>
      </c>
      <c r="G463" t="str">
        <f>IF('[1]Processer - data'!G463&lt;&gt;"",'[1]Processer - data'!G463,"")</f>
        <v>PJ</v>
      </c>
      <c r="H463" s="289" t="e">
        <f>SUMIFS('Forbrug af biomasse'!$E$1:$E$425,'Forbrug af biomasse'!$A$1:$A$425,$F463,'Forbrug af biomasse'!$C$1:$C$425,$D463,'Forbrug af biomasse'!$B$1:$B$425,$A$1,'Forbrug af biomasse'!$D$1:$D$425,H$2)*'[1]Processer - data'!H463</f>
        <v>#REF!</v>
      </c>
      <c r="I463" s="291" t="e">
        <f>SUMIFS('Forbrug af biomasse'!$E$1:$E$425,'Forbrug af biomasse'!$A$1:$A$425,$F463,'Forbrug af biomasse'!$C$1:$C$425,$D463,'Forbrug af biomasse'!$B$1:$B$425,$A$1,'Forbrug af biomasse'!$D$1:$D$425,I$2)*'[1]Processer - data'!I463</f>
        <v>#REF!</v>
      </c>
      <c r="J463" s="292" t="e">
        <f>SUMIFS('Forbrug af biomasse'!$E$1:$E$425,'Forbrug af biomasse'!$A$1:$A$425,$F463,'Forbrug af biomasse'!$C$1:$C$425,$D463,'Forbrug af biomasse'!$B$1:$B$425,$A$1,'Forbrug af biomasse'!$D$1:$D$425,J$2)*'[1]Processer - data'!J463</f>
        <v>#REF!</v>
      </c>
    </row>
    <row r="464" spans="1:13" x14ac:dyDescent="0.25">
      <c r="A464" t="str">
        <f>IF('[1]Processer - data'!A464&lt;&gt;"",'[1]Processer - data'!A464,"")</f>
        <v>Til energi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Bioaffald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Energi</v>
      </c>
      <c r="G464" t="str">
        <f>IF('[1]Processer - data'!G464&lt;&gt;"",'[1]Processer - data'!G464,"")</f>
        <v>PJ</v>
      </c>
      <c r="H464" s="289" t="e">
        <f>SUMIFS('Forbrug af biomasse'!$E$1:$E$425,'Forbrug af biomasse'!$A$1:$A$425,$F464,'Forbrug af biomasse'!$C$1:$C$425,$D464,'Forbrug af biomasse'!$B$1:$B$425,$A$1,'Forbrug af biomasse'!$D$1:$D$425,H$2)*'[1]Processer - data'!H464</f>
        <v>#REF!</v>
      </c>
      <c r="I464" s="291" t="e">
        <f>SUMIFS('Forbrug af biomasse'!$E$1:$E$425,'Forbrug af biomasse'!$A$1:$A$425,$F464,'Forbrug af biomasse'!$C$1:$C$425,$D464,'Forbrug af biomasse'!$B$1:$B$425,$A$1,'Forbrug af biomasse'!$D$1:$D$425,I$2)*'[1]Processer - data'!I464</f>
        <v>#REF!</v>
      </c>
      <c r="J464" s="292" t="e">
        <f>SUMIFS('Forbrug af biomasse'!$E$1:$E$425,'Forbrug af biomasse'!$A$1:$A$425,$F464,'Forbrug af biomasse'!$C$1:$C$425,$D464,'Forbrug af biomasse'!$B$1:$B$425,$A$1,'Forbrug af biomasse'!$D$1:$D$425,J$2)*'[1]Processer - data'!J464</f>
        <v>#REF!</v>
      </c>
    </row>
    <row r="465" spans="1:10" s="171" customFormat="1" x14ac:dyDescent="0.25">
      <c r="A465" s="171" t="str">
        <f>IF('[1]Processer - data'!A465&lt;&gt;"",'[1]Processer - data'!A465,"")</f>
        <v>Til energi</v>
      </c>
      <c r="B465" s="171" t="str">
        <f>IF('[1]Processer - data'!B465&lt;&gt;"",'[1]Processer - data'!B465,"")</f>
        <v/>
      </c>
      <c r="C465" s="171" t="str">
        <f>IF('[1]Processer - data'!C465&lt;&gt;"",'[1]Processer - data'!C465,"")</f>
        <v/>
      </c>
      <c r="D465" s="171" t="str">
        <f>IF('[1]Processer - data'!D465&lt;&gt;"",'[1]Processer - data'!D465,"")</f>
        <v>Pyrolyseolie</v>
      </c>
      <c r="E465" s="171" t="str">
        <f>IF('[1]Processer - data'!E465&lt;&gt;"",'[1]Processer - data'!E465,"")</f>
        <v>Ton</v>
      </c>
      <c r="F465" s="171" t="str">
        <f>IF('[1]Processer - data'!F465&lt;&gt;"",'[1]Processer - data'!F465,"")</f>
        <v>Energi</v>
      </c>
      <c r="G465" s="171" t="str">
        <f>IF('[1]Processer - data'!G465&lt;&gt;"",'[1]Processer - data'!G465,"")</f>
        <v>PJ</v>
      </c>
      <c r="H465" s="289" t="e">
        <f>SUMIFS('Forbrug af biomasse'!$E$1:$E$425,'Forbrug af biomasse'!$A$1:$A$425,$F465,'Forbrug af biomasse'!$C$1:$C$425,$D465,'Forbrug af biomasse'!$B$1:$B$425,$A$1,'Forbrug af biomasse'!$D$1:$D$425,H$2)*'[1]Processer - data'!H465</f>
        <v>#REF!</v>
      </c>
      <c r="I465" s="291" t="e">
        <f>SUMIFS('Forbrug af biomasse'!$E$1:$E$425,'Forbrug af biomasse'!$A$1:$A$425,$F465,'Forbrug af biomasse'!$C$1:$C$425,$D465,'Forbrug af biomasse'!$B$1:$B$425,$A$1,'Forbrug af biomasse'!$D$1:$D$425,I$2)*'[1]Processer - data'!I465</f>
        <v>#REF!</v>
      </c>
      <c r="J465" s="292" t="e">
        <f>SUMIFS('Forbrug af biomasse'!$E$1:$E$425,'Forbrug af biomasse'!$A$1:$A$425,$F465,'Forbrug af biomasse'!$C$1:$C$425,$D465,'Forbrug af biomasse'!$B$1:$B$425,$A$1,'Forbrug af biomasse'!$D$1:$D$425,J$2)*'[1]Processer - data'!J465</f>
        <v>#REF!</v>
      </c>
    </row>
    <row r="466" spans="1:10" s="171" customFormat="1" x14ac:dyDescent="0.25">
      <c r="A466" s="171" t="str">
        <f>IF('[1]Processer - data'!A466&lt;&gt;"",'[1]Processer - data'!A466,"")</f>
        <v>Til energi</v>
      </c>
      <c r="B466" s="171" t="str">
        <f>IF('[1]Processer - data'!B466&lt;&gt;"",'[1]Processer - data'!B466,"")</f>
        <v/>
      </c>
      <c r="C466" s="171" t="str">
        <f>IF('[1]Processer - data'!C466&lt;&gt;"",'[1]Processer - data'!C466,"")</f>
        <v/>
      </c>
      <c r="D466" s="171" t="str">
        <f>IF('[1]Processer - data'!D466&lt;&gt;"",'[1]Processer - data'!D466,"")</f>
        <v>Pyrolysegas</v>
      </c>
      <c r="E466" s="171" t="str">
        <f>IF('[1]Processer - data'!E466&lt;&gt;"",'[1]Processer - data'!E466,"")</f>
        <v>Ton</v>
      </c>
      <c r="F466" s="171" t="str">
        <f>IF('[1]Processer - data'!F466&lt;&gt;"",'[1]Processer - data'!F466,"")</f>
        <v>Energi</v>
      </c>
      <c r="G466" s="171" t="str">
        <f>IF('[1]Processer - data'!G466&lt;&gt;"",'[1]Processer - data'!G466,"")</f>
        <v>PJ</v>
      </c>
      <c r="H466" s="289" t="e">
        <f>SUMIFS('Forbrug af biomasse'!$E$1:$E$425,'Forbrug af biomasse'!$A$1:$A$425,$F466,'Forbrug af biomasse'!$C$1:$C$425,$D466,'Forbrug af biomasse'!$B$1:$B$425,$A$1,'Forbrug af biomasse'!$D$1:$D$425,H$2)*'[1]Processer - data'!H466</f>
        <v>#REF!</v>
      </c>
      <c r="I466" s="291" t="e">
        <f>SUMIFS('Forbrug af biomasse'!$E$1:$E$425,'Forbrug af biomasse'!$A$1:$A$425,$F466,'Forbrug af biomasse'!$C$1:$C$425,$D466,'Forbrug af biomasse'!$B$1:$B$425,$A$1,'Forbrug af biomasse'!$D$1:$D$425,I$2)*'[1]Processer - data'!I466</f>
        <v>#REF!</v>
      </c>
      <c r="J466" s="292" t="e">
        <f>SUMIFS('Forbrug af biomasse'!$E$1:$E$425,'Forbrug af biomasse'!$A$1:$A$425,$F466,'Forbrug af biomasse'!$C$1:$C$425,$D466,'Forbrug af biomasse'!$B$1:$B$425,$A$1,'Forbrug af biomasse'!$D$1:$D$425,J$2)*'[1]Processer - data'!J466</f>
        <v>#REF!</v>
      </c>
    </row>
    <row r="467" spans="1:10" x14ac:dyDescent="0.25">
      <c r="A467" t="str">
        <f>IF('[1]Processer - data'!A467&lt;&gt;"",'[1]Processer - data'!A467,"")</f>
        <v>Til energi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Biogas</v>
      </c>
      <c r="E467" t="str">
        <f>IF('[1]Processer - data'!E467&lt;&gt;"",'[1]Processer - data'!E467,"")</f>
        <v>Nm3 CH4</v>
      </c>
      <c r="F467" t="str">
        <f>IF('[1]Processer - data'!F467&lt;&gt;"",'[1]Processer - data'!F467,"")</f>
        <v>Energi</v>
      </c>
      <c r="G467" t="str">
        <f>IF('[1]Processer - data'!G467&lt;&gt;"",'[1]Processer - data'!G467,"")</f>
        <v>PJ</v>
      </c>
      <c r="H467" s="286" t="e">
        <f>SUM(H433:H451)*'[1]Processer - data'!$H$467</f>
        <v>#REF!</v>
      </c>
      <c r="I467" s="287" t="e">
        <f>SUM(I433:I451)*'[1]Processer - data'!$H$467</f>
        <v>#REF!</v>
      </c>
      <c r="J467" s="288" t="e">
        <f>SUM(J433:J451)*'[1]Processer - data'!$H$467</f>
        <v>#REF!</v>
      </c>
    </row>
    <row r="468" spans="1:10" x14ac:dyDescent="0.25">
      <c r="A468" s="103" t="str">
        <f>IF('[1]Processer - data'!A468&lt;&gt;"",'[1]Processer - data'!A468,"")</f>
        <v>Proteinproces</v>
      </c>
      <c r="B468" s="103" t="str">
        <f>IF('[1]Processer - data'!B468&lt;&gt;"",'[1]Processer - data'!B468,"")</f>
        <v/>
      </c>
      <c r="C468" s="103" t="str">
        <f>IF('[1]Processer - data'!C468&lt;&gt;"",'[1]Processer - data'!C468,"")</f>
        <v/>
      </c>
      <c r="D468" s="103" t="str">
        <f>IF('[1]Processer - data'!D468&lt;&gt;"",'[1]Processer - data'!D468,"")</f>
        <v>Græs</v>
      </c>
      <c r="E468" s="103" t="str">
        <f>IF('[1]Processer - data'!E468&lt;&gt;"",'[1]Processer - data'!E468,"")</f>
        <v>Ton</v>
      </c>
      <c r="F468" s="103" t="str">
        <f>IF('[1]Processer - data'!F468&lt;&gt;"",'[1]Processer - data'!F468,"")</f>
        <v>Græsprotein</v>
      </c>
      <c r="G468" s="103" t="str">
        <f>IF('[1]Processer - data'!G468&lt;&gt;"",'[1]Processer - data'!G468,"")</f>
        <v>Ton</v>
      </c>
      <c r="H468" s="280" t="e">
        <f>SUMIFS('Forbrug af biomasse'!$E$1:$E$425,'Forbrug af biomasse'!$A$1:$A$425,$A468,'Forbrug af biomasse'!$C$1:$C$425,$D468,'Forbrug af biomasse'!$B$1:$B$425,$A$1,'Forbrug af biomasse'!$D$1:$D$425,H$2)*'[1]Processer - data'!H468</f>
        <v>#REF!</v>
      </c>
      <c r="I468" s="281" t="e">
        <f>SUMIFS('Forbrug af biomasse'!$E$1:$E$425,'Forbrug af biomasse'!$A$1:$A$425,$A468,'Forbrug af biomasse'!$C$1:$C$425,$D468,'Forbrug af biomasse'!$B$1:$B$425,$A$1,'Forbrug af biomasse'!$D$1:$D$425,I$2)*'[1]Processer - data'!I468</f>
        <v>#REF!</v>
      </c>
      <c r="J468" s="282" t="e">
        <f>SUMIFS('Forbrug af biomasse'!$E$1:$E$425,'Forbrug af biomasse'!$A$1:$A$425,$A468,'Forbrug af biomasse'!$C$1:$C$425,$D468,'Forbrug af biomasse'!$B$1:$B$425,$A$1,'Forbrug af biomasse'!$D$1:$D$425,J$2)*'[1]Processer - data'!J468</f>
        <v>#REF!</v>
      </c>
    </row>
    <row r="469" spans="1:10" x14ac:dyDescent="0.25">
      <c r="A469" s="103" t="str">
        <f>IF('[1]Processer - data'!A469&lt;&gt;"",'[1]Processer - data'!A469,"")</f>
        <v>Proteinproces</v>
      </c>
      <c r="B469" s="103" t="str">
        <f>IF('[1]Processer - data'!B469&lt;&gt;"",'[1]Processer - data'!B469,"")</f>
        <v/>
      </c>
      <c r="C469" s="103" t="str">
        <f>IF('[1]Processer - data'!C469&lt;&gt;"",'[1]Processer - data'!C469,"")</f>
        <v/>
      </c>
      <c r="D469" s="103" t="str">
        <f>IF('[1]Processer - data'!D469&lt;&gt;"",'[1]Processer - data'!D469,"")</f>
        <v>Græs</v>
      </c>
      <c r="E469" s="103" t="str">
        <f>IF('[1]Processer - data'!E469&lt;&gt;"",'[1]Processer - data'!E469,"")</f>
        <v>Ton</v>
      </c>
      <c r="F469" s="103" t="str">
        <f>IF('[1]Processer - data'!F469&lt;&gt;"",'[1]Processer - data'!F469,"")</f>
        <v>Fiberfraktion</v>
      </c>
      <c r="G469" s="103" t="str">
        <f>IF('[1]Processer - data'!G469&lt;&gt;"",'[1]Processer - data'!G469,"")</f>
        <v>Ton</v>
      </c>
      <c r="H469" s="280" t="e">
        <f>SUMIFS('Forbrug af biomasse'!$E$1:$E$425,'Forbrug af biomasse'!$A$1:$A$425,$A469,'Forbrug af biomasse'!$C$1:$C$425,$D469,'Forbrug af biomasse'!$B$1:$B$425,$A$1,'Forbrug af biomasse'!$D$1:$D$425,H$2)*'[1]Processer - data'!H469</f>
        <v>#REF!</v>
      </c>
      <c r="I469" s="281" t="e">
        <f>SUMIFS('Forbrug af biomasse'!$E$1:$E$425,'Forbrug af biomasse'!$A$1:$A$425,$A469,'Forbrug af biomasse'!$C$1:$C$425,$D469,'Forbrug af biomasse'!$B$1:$B$425,$A$1,'Forbrug af biomasse'!$D$1:$D$425,I$2)*'[1]Processer - data'!I469</f>
        <v>#REF!</v>
      </c>
      <c r="J469" s="282" t="e">
        <f>SUMIFS('Forbrug af biomasse'!$E$1:$E$425,'Forbrug af biomasse'!$A$1:$A$425,$A469,'Forbrug af biomasse'!$C$1:$C$425,$D469,'Forbrug af biomasse'!$B$1:$B$425,$A$1,'Forbrug af biomasse'!$D$1:$D$425,J$2)*'[1]Processer - data'!J469</f>
        <v>#REF!</v>
      </c>
    </row>
    <row r="470" spans="1:10" x14ac:dyDescent="0.25">
      <c r="A470" s="103" t="str">
        <f>IF('[1]Processer - data'!A470&lt;&gt;"",'[1]Processer - data'!A470,"")</f>
        <v>Proteinproces</v>
      </c>
      <c r="B470" s="103" t="str">
        <f>IF('[1]Processer - data'!B470&lt;&gt;"",'[1]Processer - data'!B470,"")</f>
        <v/>
      </c>
      <c r="C470" s="103" t="str">
        <f>IF('[1]Processer - data'!C470&lt;&gt;"",'[1]Processer - data'!C470,"")</f>
        <v/>
      </c>
      <c r="D470" s="103" t="str">
        <f>IF('[1]Processer - data'!D470&lt;&gt;"",'[1]Processer - data'!D470,"")</f>
        <v>Græs</v>
      </c>
      <c r="E470" s="103" t="str">
        <f>IF('[1]Processer - data'!E470&lt;&gt;"",'[1]Processer - data'!E470,"")</f>
        <v>Ton</v>
      </c>
      <c r="F470" s="103" t="str">
        <f>IF('[1]Processer - data'!F470&lt;&gt;"",'[1]Processer - data'!F470,"")</f>
        <v>Brun saft</v>
      </c>
      <c r="G470" s="103" t="str">
        <f>IF('[1]Processer - data'!G470&lt;&gt;"",'[1]Processer - data'!G470,"")</f>
        <v>PJ</v>
      </c>
      <c r="H470" s="280" t="e">
        <f>SUMIFS('Forbrug af biomasse'!$E$1:$E$425,'Forbrug af biomasse'!$A$1:$A$425,$A470,'Forbrug af biomasse'!$C$1:$C$425,$D470,'Forbrug af biomasse'!$B$1:$B$425,$A$1,'Forbrug af biomasse'!$D$1:$D$425,H$2)*'[1]Processer - data'!H470</f>
        <v>#REF!</v>
      </c>
      <c r="I470" s="281" t="e">
        <f>SUMIFS('Forbrug af biomasse'!$E$1:$E$425,'Forbrug af biomasse'!$A$1:$A$425,$A470,'Forbrug af biomasse'!$C$1:$C$425,$D470,'Forbrug af biomasse'!$B$1:$B$425,$A$1,'Forbrug af biomasse'!$D$1:$D$425,I$2)*'[1]Processer - data'!I470</f>
        <v>#REF!</v>
      </c>
      <c r="J470" s="282" t="e">
        <f>SUMIFS('Forbrug af biomasse'!$E$1:$E$425,'Forbrug af biomasse'!$A$1:$A$425,$A470,'Forbrug af biomasse'!$C$1:$C$425,$D470,'Forbrug af biomasse'!$B$1:$B$425,$A$1,'Forbrug af biomasse'!$D$1:$D$425,J$2)*'[1]Processer - data'!J470</f>
        <v>#REF!</v>
      </c>
    </row>
    <row r="471" spans="1:10" x14ac:dyDescent="0.25">
      <c r="A471" s="103" t="str">
        <f>IF('[1]Processer - data'!A471&lt;&gt;"",'[1]Processer - data'!A471,"")</f>
        <v>Rapskageproduktion</v>
      </c>
      <c r="B471" s="103" t="str">
        <f>IF('[1]Processer - data'!B471&lt;&gt;"",'[1]Processer - data'!B471,"")</f>
        <v/>
      </c>
      <c r="C471" s="103" t="str">
        <f>IF('[1]Processer - data'!C471&lt;&gt;"",'[1]Processer - data'!C471,"")</f>
        <v/>
      </c>
      <c r="D471" s="103" t="str">
        <f>IF('[1]Processer - data'!D471&lt;&gt;"",'[1]Processer - data'!D471,"")</f>
        <v>Raps</v>
      </c>
      <c r="E471" s="103" t="str">
        <f>IF('[1]Processer - data'!E471&lt;&gt;"",'[1]Processer - data'!E471,"")</f>
        <v>Ton</v>
      </c>
      <c r="F471" s="103" t="str">
        <f>IF('[1]Processer - data'!F471&lt;&gt;"",'[1]Processer - data'!F471,"")</f>
        <v>Rapskage</v>
      </c>
      <c r="G471" s="103" t="str">
        <f>IF('[1]Processer - data'!G471&lt;&gt;"",'[1]Processer - data'!G471,"")</f>
        <v>Ton</v>
      </c>
      <c r="H471" s="302" t="e">
        <f>IF($A471&lt;&gt;"",IF(VLOOKUP($A471,[1]!Table1[#All],2,FALSE)="Direkte input",IF($A471&lt;&gt;"Grøntsager i drivhus",SUMIFS('Direkte input'!G$3:G$230,'Direkte input'!$F$3:$F$230,$D471,'Direkte input'!$C$3:$C$230,$B471,'Direkte input'!$D$3:$D$230,$C471,'Direkte input'!$A$3:$A$230,$A$1),SUMIFS('Direkte input'!G$3:G$230,'Direkte input'!$F$3:$F$230,$D471,'Direkte input'!$C$3:$C$230,$B471,'Direkte input'!$A$3:$A$230,$A$1)),IF(VLOOKUP($A471,[1]!Table1[#All],2,FALSE)="Resultat",SUMIF($F$1:$F470,$D471,H$1:H470)+SUMIF($F472:$F$490,$D471,H472:H$490),0))*'[1]Processer - data'!H471,"")*IF($C471&lt;&gt;"",IF($F471="Halm",Landbrug!C$16*Landbrug!C$17,IF(LEFT($D471,5)="Areal", IF($G471="Ton",Landbrug!C$18,1),1)),1)*IF($F471="Grøntsager",IF($A471="Grøntsager i drivhus",Landbrug!C$51,1-Landbrug!C$51),1)</f>
        <v>#REF!</v>
      </c>
      <c r="I471" s="303" t="e">
        <f>IF($A471&lt;&gt;"",IF(VLOOKUP($A471,[1]!Table1[#All],2,FALSE)="Direkte input",IF($A471&lt;&gt;"Grøntsager i drivhus",SUMIFS('Direkte input'!H$3:H$230,'Direkte input'!$F$3:$F$230,$D471,'Direkte input'!$C$3:$C$230,$B471,'Direkte input'!$D$3:$D$230,$C471,'Direkte input'!$A$3:$A$230,$A$1),SUMIFS('Direkte input'!H$3:H$230,'Direkte input'!$F$3:$F$230,$D471,'Direkte input'!$C$3:$C$230,$B471,'Direkte input'!$A$3:$A$230,$A$1)),IF(VLOOKUP($A471,[1]!Table1[#All],2,FALSE)="Resultat",SUMIF($F$1:$F470,$D471,I$1:I470)+SUMIF($F472:$F$490,$D471,I472:I$490),0))*'[1]Processer - data'!I471,"")*IF($C471&lt;&gt;"",IF($F471="Halm",Landbrug!D$16*Landbrug!D$17,IF(LEFT($D471,5)="Areal", IF($G471="Ton",Landbrug!D$18,1),1)),1)*IF($F471="Grøntsager",IF($A471="Grøntsager i drivhus",Landbrug!D$51,1-Landbrug!D$51),1)</f>
        <v>#REF!</v>
      </c>
      <c r="J471" s="304" t="e">
        <f>IF($A471&lt;&gt;"",IF(VLOOKUP($A471,[1]!Table1[#All],2,FALSE)="Direkte input",IF($A471&lt;&gt;"Grøntsager i drivhus",SUMIFS('Direkte input'!I$3:I$230,'Direkte input'!$F$3:$F$230,$D471,'Direkte input'!$C$3:$C$230,$B471,'Direkte input'!$D$3:$D$230,$C471,'Direkte input'!$A$3:$A$230,$A$1),SUMIFS('Direkte input'!I$3:I$230,'Direkte input'!$F$3:$F$230,$D471,'Direkte input'!$C$3:$C$230,$B471,'Direkte input'!$A$3:$A$230,$A$1)),IF(VLOOKUP($A471,[1]!Table1[#All],2,FALSE)="Resultat",SUMIF($F$1:$F470,$D471,J$1:J470)+SUMIF($F472:$F$490,$D471,J472:J$490),0))*'[1]Processer - data'!J471,"")*IF($C471&lt;&gt;"",IF($F471="Halm",Landbrug!E$16*Landbrug!E$17,IF(LEFT($D471,5)="Areal", IF($G471="Ton",Landbrug!E$18,1),1)),1)*IF($F471="Grøntsager",IF($A471="Grøntsager i drivhus",Landbrug!E$51,1-Landbrug!E$51),1)</f>
        <v>#REF!</v>
      </c>
    </row>
    <row r="472" spans="1:10" ht="15.75" thickBot="1" x14ac:dyDescent="0.3">
      <c r="A472" s="103" t="str">
        <f>IF('[1]Processer - data'!A472&lt;&gt;"",'[1]Processer - data'!A472,"")</f>
        <v>Rapskageproduktion</v>
      </c>
      <c r="B472" s="103" t="str">
        <f>IF('[1]Processer - data'!B472&lt;&gt;"",'[1]Processer - data'!B472,"")</f>
        <v/>
      </c>
      <c r="C472" s="103" t="str">
        <f>IF('[1]Processer - data'!C472&lt;&gt;"",'[1]Processer - data'!C472,"")</f>
        <v/>
      </c>
      <c r="D472" s="103" t="str">
        <f>IF('[1]Processer - data'!D472&lt;&gt;"",'[1]Processer - data'!D472,"")</f>
        <v>Raps</v>
      </c>
      <c r="E472" s="103" t="str">
        <f>IF('[1]Processer - data'!E472&lt;&gt;"",'[1]Processer - data'!E472,"")</f>
        <v>Ton</v>
      </c>
      <c r="F472" s="103" t="str">
        <f>IF('[1]Processer - data'!F472&lt;&gt;"",'[1]Processer - data'!F472,"")</f>
        <v>Rapsolie</v>
      </c>
      <c r="G472" s="103" t="str">
        <f>IF('[1]Processer - data'!G472&lt;&gt;"",'[1]Processer - data'!G472,"")</f>
        <v>Ton</v>
      </c>
      <c r="H472" s="302" t="e">
        <f>IF($A472&lt;&gt;"",IF(VLOOKUP($A472,[1]!Table1[#All],2,FALSE)="Direkte input",IF($A472&lt;&gt;"Grøntsager i drivhus",SUMIFS('Direkte input'!G$3:G$230,'Direkte input'!$F$3:$F$230,$D472,'Direkte input'!$C$3:$C$230,$B472,'Direkte input'!$D$3:$D$230,$C472,'Direkte input'!$A$3:$A$230,$A$1),SUMIFS('Direkte input'!G$3:G$230,'Direkte input'!$F$3:$F$230,$D472,'Direkte input'!$C$3:$C$230,$B472,'Direkte input'!$A$3:$A$230,$A$1)),IF(VLOOKUP($A472,[1]!Table1[#All],2,FALSE)="Resultat",SUMIF($F$1:$F471,$D472,H$1:H471)+SUMIF($F473:$F$490,$D472,H473:H$490),0))*'[1]Processer - data'!H472,"")*IF($C472&lt;&gt;"",IF($F472="Halm",Landbrug!C$16*Landbrug!C$17,IF(LEFT($D472,5)="Areal", IF($G472="Ton",Landbrug!C$18,1),1)),1)*IF($F472="Grøntsager",IF($A472="Grøntsager i drivhus",Landbrug!C$51,1-Landbrug!C$51),1)</f>
        <v>#REF!</v>
      </c>
      <c r="I472" s="303" t="e">
        <f>IF($A472&lt;&gt;"",IF(VLOOKUP($A472,[1]!Table1[#All],2,FALSE)="Direkte input",IF($A472&lt;&gt;"Grøntsager i drivhus",SUMIFS('Direkte input'!H$3:H$230,'Direkte input'!$F$3:$F$230,$D472,'Direkte input'!$C$3:$C$230,$B472,'Direkte input'!$D$3:$D$230,$C472,'Direkte input'!$A$3:$A$230,$A$1),SUMIFS('Direkte input'!H$3:H$230,'Direkte input'!$F$3:$F$230,$D472,'Direkte input'!$C$3:$C$230,$B472,'Direkte input'!$A$3:$A$230,$A$1)),IF(VLOOKUP($A472,[1]!Table1[#All],2,FALSE)="Resultat",SUMIF($F$1:$F471,$D472,I$1:I471)+SUMIF($F473:$F$490,$D472,I473:I$490),0))*'[1]Processer - data'!I472,"")*IF($C472&lt;&gt;"",IF($F472="Halm",Landbrug!D$16*Landbrug!D$17,IF(LEFT($D472,5)="Areal", IF($G472="Ton",Landbrug!D$18,1),1)),1)*IF($F472="Grøntsager",IF($A472="Grøntsager i drivhus",Landbrug!D$51,1-Landbrug!D$51),1)</f>
        <v>#REF!</v>
      </c>
      <c r="J472" s="304" t="e">
        <f>IF($A472&lt;&gt;"",IF(VLOOKUP($A472,[1]!Table1[#All],2,FALSE)="Direkte input",IF($A472&lt;&gt;"Grøntsager i drivhus",SUMIFS('Direkte input'!I$3:I$230,'Direkte input'!$F$3:$F$230,$D472,'Direkte input'!$C$3:$C$230,$B472,'Direkte input'!$D$3:$D$230,$C472,'Direkte input'!$A$3:$A$230,$A$1),SUMIFS('Direkte input'!I$3:I$230,'Direkte input'!$F$3:$F$230,$D472,'Direkte input'!$C$3:$C$230,$B472,'Direkte input'!$A$3:$A$230,$A$1)),IF(VLOOKUP($A472,[1]!Table1[#All],2,FALSE)="Resultat",SUMIF($F$1:$F471,$D472,J$1:J471)+SUMIF($F473:$F$490,$D472,J473:J$490),0))*'[1]Processer - data'!J472,"")*IF($C472&lt;&gt;"",IF($F472="Halm",Landbrug!E$16*Landbrug!E$17,IF(LEFT($D472,5)="Areal", IF($G472="Ton",Landbrug!E$18,1),1)),1)*IF($F472="Grøntsager",IF($A472="Grøntsager i drivhus",Landbrug!E$51,1-Landbrug!E$51),1)</f>
        <v>#REF!</v>
      </c>
    </row>
    <row r="473" spans="1:10" x14ac:dyDescent="0.25">
      <c r="A473" s="103" t="str">
        <f>IF('[1]Processer - data'!A473&lt;&gt;"",'[1]Processer - data'!A473,"")</f>
        <v>Pyrolyseproces</v>
      </c>
      <c r="B473" s="103" t="str">
        <f>IF('[1]Processer - data'!B473&lt;&gt;"",'[1]Processer - data'!B473,"")</f>
        <v/>
      </c>
      <c r="C473" s="103" t="str">
        <f>IF('[1]Processer - data'!C473&lt;&gt;"",'[1]Processer - data'!C473,"")</f>
        <v/>
      </c>
      <c r="D473" s="103" t="str">
        <f>IF('[1]Processer - data'!D473&lt;&gt;"",'[1]Processer - data'!D473,"")</f>
        <v>Halm</v>
      </c>
      <c r="E473" s="103" t="str">
        <f>IF('[1]Processer - data'!E473&lt;&gt;"",'[1]Processer - data'!E473,"")</f>
        <v>Ton</v>
      </c>
      <c r="F473" s="103" t="str">
        <f>IF('[1]Processer - data'!F473&lt;&gt;"",'[1]Processer - data'!F473,"")</f>
        <v>CO2 - atmosfære</v>
      </c>
      <c r="G473" s="103" t="str">
        <f>IF('[1]Processer - data'!G473&lt;&gt;"",'[1]Processer - data'!G473,"")</f>
        <v>t CO2-ækvivalenter</v>
      </c>
      <c r="H473" s="277" t="e">
        <f>SUMIFS('Forbrug af biomasse'!$E$1:$E$425,'Forbrug af biomasse'!$A$1:$A$425,$A473,'Forbrug af biomasse'!$C$1:$C$425,$D473,'Forbrug af biomasse'!$B$1:$B$425,$A$1,'Forbrug af biomasse'!$D$1:$D$425,H$2)*'[1]Processer - data'!H473</f>
        <v>#REF!</v>
      </c>
      <c r="I473" s="278" t="e">
        <f>SUMIFS('Forbrug af biomasse'!$E$1:$E$425,'Forbrug af biomasse'!$A$1:$A$425,$A473,'Forbrug af biomasse'!$C$1:$C$425,$D473,'Forbrug af biomasse'!$B$1:$B$425,$A$1,'Forbrug af biomasse'!$D$1:$D$425,I$2)*'[1]Processer - data'!I473</f>
        <v>#REF!</v>
      </c>
      <c r="J473" s="279" t="e">
        <f>SUMIFS('Forbrug af biomasse'!$E$1:$E$425,'Forbrug af biomasse'!$A$1:$A$425,$A473,'Forbrug af biomasse'!$C$1:$C$425,$D473,'Forbrug af biomasse'!$B$1:$B$425,$A$1,'Forbrug af biomasse'!$D$1:$D$425,J$2)*'[1]Processer - data'!J473</f>
        <v>#REF!</v>
      </c>
    </row>
    <row r="474" spans="1:10" x14ac:dyDescent="0.25">
      <c r="A474" s="103" t="str">
        <f>IF('[1]Processer - data'!A474&lt;&gt;"",'[1]Processer - data'!A474,"")</f>
        <v>Pyrolyseproces</v>
      </c>
      <c r="B474" s="103" t="str">
        <f>IF('[1]Processer - data'!B474&lt;&gt;"",'[1]Processer - data'!B474,"")</f>
        <v/>
      </c>
      <c r="C474" s="103" t="str">
        <f>IF('[1]Processer - data'!C474&lt;&gt;"",'[1]Processer - data'!C474,"")</f>
        <v/>
      </c>
      <c r="D474" s="103" t="str">
        <f>IF('[1]Processer - data'!D474&lt;&gt;"",'[1]Processer - data'!D474,"")</f>
        <v>Halm</v>
      </c>
      <c r="E474" s="103" t="str">
        <f>IF('[1]Processer - data'!E474&lt;&gt;"",'[1]Processer - data'!E474,"")</f>
        <v>Ton</v>
      </c>
      <c r="F474" s="103" t="str">
        <f>IF('[1]Processer - data'!F474&lt;&gt;"",'[1]Processer - data'!F474,"")</f>
        <v>Pyrolyseolie</v>
      </c>
      <c r="G474" s="103" t="str">
        <f>IF('[1]Processer - data'!G474&lt;&gt;"",'[1]Processer - data'!G474,"")</f>
        <v>Ton</v>
      </c>
      <c r="H474" s="280" t="e">
        <f>SUMIFS('Forbrug af biomasse'!$E$1:$E$425,'Forbrug af biomasse'!$A$1:$A$425,$A474,'Forbrug af biomasse'!$C$1:$C$425,$D474,'Forbrug af biomasse'!$B$1:$B$425,$A$1,'Forbrug af biomasse'!$D$1:$D$425,H$2)*'[1]Processer - data'!H474</f>
        <v>#REF!</v>
      </c>
      <c r="I474" s="281" t="e">
        <f>SUMIFS('Forbrug af biomasse'!$E$1:$E$425,'Forbrug af biomasse'!$A$1:$A$425,$A474,'Forbrug af biomasse'!$C$1:$C$425,$D474,'Forbrug af biomasse'!$B$1:$B$425,$A$1,'Forbrug af biomasse'!$D$1:$D$425,I$2)*'[1]Processer - data'!I474</f>
        <v>#REF!</v>
      </c>
      <c r="J474" s="282" t="e">
        <f>SUMIFS('Forbrug af biomasse'!$E$1:$E$425,'Forbrug af biomasse'!$A$1:$A$425,$A474,'Forbrug af biomasse'!$C$1:$C$425,$D474,'Forbrug af biomasse'!$B$1:$B$425,$A$1,'Forbrug af biomasse'!$D$1:$D$425,J$2)*'[1]Processer - data'!J474</f>
        <v>#REF!</v>
      </c>
    </row>
    <row r="475" spans="1:10" ht="15.75" thickBot="1" x14ac:dyDescent="0.3">
      <c r="A475" s="103" t="str">
        <f>IF('[1]Processer - data'!A475&lt;&gt;"",'[1]Processer - data'!A475,"")</f>
        <v>Pyrolyseproces</v>
      </c>
      <c r="B475" s="103" t="str">
        <f>IF('[1]Processer - data'!B475&lt;&gt;"",'[1]Processer - data'!B475,"")</f>
        <v/>
      </c>
      <c r="C475" s="103" t="str">
        <f>IF('[1]Processer - data'!C475&lt;&gt;"",'[1]Processer - data'!C475,"")</f>
        <v/>
      </c>
      <c r="D475" s="103" t="str">
        <f>IF('[1]Processer - data'!D475&lt;&gt;"",'[1]Processer - data'!D475,"")</f>
        <v>Halm</v>
      </c>
      <c r="E475" s="103" t="str">
        <f>IF('[1]Processer - data'!E475&lt;&gt;"",'[1]Processer - data'!E475,"")</f>
        <v>Ton</v>
      </c>
      <c r="F475" s="103" t="str">
        <f>IF('[1]Processer - data'!F475&lt;&gt;"",'[1]Processer - data'!F475,"")</f>
        <v>Pyrolysegas</v>
      </c>
      <c r="G475" s="103" t="str">
        <f>IF('[1]Processer - data'!G475&lt;&gt;"",'[1]Processer - data'!G475,"")</f>
        <v>Ton</v>
      </c>
      <c r="H475" s="283" t="e">
        <f>SUMIFS('Forbrug af biomasse'!$E$1:$E$425,'Forbrug af biomasse'!$A$1:$A$425,$A475,'Forbrug af biomasse'!$C$1:$C$425,$D475,'Forbrug af biomasse'!$B$1:$B$425,$A$1,'Forbrug af biomasse'!$D$1:$D$425,H$2)*'[1]Processer - data'!H475</f>
        <v>#REF!</v>
      </c>
      <c r="I475" s="284" t="e">
        <f>SUMIFS('Forbrug af biomasse'!$E$1:$E$425,'Forbrug af biomasse'!$A$1:$A$425,$A475,'Forbrug af biomasse'!$C$1:$C$425,$D475,'Forbrug af biomasse'!$B$1:$B$425,$A$1,'Forbrug af biomasse'!$D$1:$D$425,I$2)*'[1]Processer - data'!I475</f>
        <v>#REF!</v>
      </c>
      <c r="J475" s="285" t="e">
        <f>SUMIFS('Forbrug af biomasse'!$E$1:$E$425,'Forbrug af biomasse'!$A$1:$A$425,$A475,'Forbrug af biomasse'!$C$1:$C$425,$D475,'Forbrug af biomasse'!$B$1:$B$425,$A$1,'Forbrug af biomasse'!$D$1:$D$425,J$2)*'[1]Processer - data'!J475</f>
        <v>#REF!</v>
      </c>
    </row>
    <row r="476" spans="1:10" x14ac:dyDescent="0.25">
      <c r="H476" s="97"/>
      <c r="I476" s="97"/>
      <c r="J476" s="97"/>
    </row>
    <row r="477" spans="1:10" x14ac:dyDescent="0.25">
      <c r="H477" s="97"/>
      <c r="I477" s="97"/>
      <c r="J477" s="97"/>
    </row>
    <row r="478" spans="1:10" x14ac:dyDescent="0.25">
      <c r="H478" s="97"/>
      <c r="I478" s="97"/>
      <c r="J478" s="97"/>
    </row>
    <row r="479" spans="1:10" x14ac:dyDescent="0.25">
      <c r="H479" s="97"/>
      <c r="I479" s="97"/>
      <c r="J479" s="97"/>
    </row>
    <row r="480" spans="1:10" x14ac:dyDescent="0.25">
      <c r="H480" s="97"/>
      <c r="I480" s="97"/>
      <c r="J480" s="97"/>
    </row>
  </sheetData>
  <autoFilter ref="A2:U475" xr:uid="{909A89E6-B9A6-46D5-83F7-24899AA46FB2}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480"/>
  <sheetViews>
    <sheetView topLeftCell="A446" zoomScale="80" zoomScaleNormal="80" workbookViewId="0">
      <selection activeCell="H472" sqref="H472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71"/>
      <c r="N2" s="171"/>
      <c r="O2" s="171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5" t="e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input'!$A$3:$A$230,$A$1)),IF(VLOOKUP($A3,[1]!Table1[#All],2,FALSE)="Resultat",SUMIF($F$1:$F2,$D3,H$1:H2)+SUMIF($F4:$F$490,$D3,H4:H$490),0))*'[1]Processer - data'!H3,"")*IF($C3&lt;&gt;"",IF($F3="Halm",Landbrug!C$16*Landbrug!C$17,IF(LEFT($D3,5)="Areal", IF($G3="Ton",Landbrug!C$18,1),1)),1)*IF($F3="Grøntsager",IF($A3="Grøntsager i drivhus",Landbrug!C$51,1-Landbrug!C$51),1)</f>
        <v>#REF!</v>
      </c>
      <c r="I3" s="306" t="e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input'!$A$3:$A$230,$A$1)),IF(VLOOKUP($A3,[1]!Table1[#All],2,FALSE)="Resultat",SUMIF($F$1:$F2,$D3,I$1:I2)+SUMIF($F4:$F$490,$D3,I4:I$490),0))*'[1]Processer - data'!I3,"")*IF($C3&lt;&gt;"",IF($F3="Halm",Landbrug!D$16*Landbrug!D$17,IF(LEFT($D3,5)="Areal", IF($G3="Ton",Landbrug!D$18,1),1)),1)*IF($F3="Grøntsager",IF($A3="Grøntsager i drivhus",Landbrug!D$51,1-Landbrug!D$51),1)</f>
        <v>#REF!</v>
      </c>
      <c r="J3" s="307" t="e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input'!$A$3:$A$230,$A$1)),IF(VLOOKUP($A3,[1]!Table1[#All],2,FALSE)="Resultat",SUMIF($F$1:$F2,$D3,J$1:J2)+SUMIF($F4:$F$490,$D3,J4:J$490),0))*'[1]Processer - data'!J3,"")*IF($C3&lt;&gt;"",IF($F3="Halm",Landbrug!E$16*Landbrug!E$17,IF(LEFT($D3,5)="Areal", IF($G3="Ton",Landbrug!E$18,1),1)),1)*IF($F3="Grøntsager",IF($A3="Grøntsager i drivhus",Landbrug!E$51,1-Landbrug!E$51),1)</f>
        <v>#REF!</v>
      </c>
      <c r="M3" s="171" t="e">
        <f>SUMIF($F$3:$F$472,"Roer",H3:H472)</f>
        <v>#REF!</v>
      </c>
      <c r="N3" s="171" t="e">
        <f>SUMIF($F$3:$F$472,"Roer",I3:I472)</f>
        <v>#REF!</v>
      </c>
      <c r="O3" s="171" t="e">
        <f>SUMIF($F$3:$F$472,"Roer",J3:J472)</f>
        <v>#REF!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2" t="e">
        <f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input'!$A$3:$A$230,$A$1)),IF(VLOOKUP($A4,[1]!Table1[#All],2,FALSE)="Resultat",SUMIF($F$1:$F3,$D4,H$1:H3)+SUMIF($F5:$F$490,$D4,H5:H$490),0))*'[1]Processer - data'!H4,"")*IF($C4&lt;&gt;"",IF($F4="Halm",Landbrug!C$16*Landbrug!C$17,IF(LEFT($D4,5)="Areal", IF($G4="Ton",Landbrug!C$18,1),1)),1)*IF($F4="Grøntsager",IF($A4="Grøntsager i drivhus",Landbrug!C$51,1-Landbrug!C$51),1)</f>
        <v>#REF!</v>
      </c>
      <c r="I4" s="303" t="e">
        <f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input'!$A$3:$A$230,$A$1)),IF(VLOOKUP($A4,[1]!Table1[#All],2,FALSE)="Resultat",SUMIF($F$1:$F3,$D4,I$1:I3)+SUMIF($F5:$F$490,$D4,I5:I$490),0))*'[1]Processer - data'!I4,"")*IF($C4&lt;&gt;"",IF($F4="Halm",Landbrug!D$16*Landbrug!D$17,IF(LEFT($D4,5)="Areal", IF($G4="Ton",Landbrug!D$18,1),1)),1)*IF($F4="Grøntsager",IF($A4="Grøntsager i drivhus",Landbrug!D$51,1-Landbrug!D$51),1)</f>
        <v>#REF!</v>
      </c>
      <c r="J4" s="304" t="e">
        <f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input'!$A$3:$A$230,$A$1)),IF(VLOOKUP($A4,[1]!Table1[#All],2,FALSE)="Resultat",SUMIF($F$1:$F3,$D4,J$1:J3)+SUMIF($F5:$F$490,$D4,J5:J$490),0))*'[1]Processer - data'!J4,"")*IF($C4&lt;&gt;"",IF($F4="Halm",Landbrug!E$16*Landbrug!E$17,IF(LEFT($D4,5)="Areal", IF($G4="Ton",Landbrug!E$18,1),1)),1)*IF($F4="Grøntsager",IF($A4="Grøntsager i drivhus",Landbrug!E$51,1-Landbrug!E$51),1)</f>
        <v>#REF!</v>
      </c>
      <c r="M4" s="171" t="e">
        <f>SUMIF($F$3:$F$472,"Bioaffald",H3:H472)</f>
        <v>#REF!</v>
      </c>
      <c r="N4" s="171" t="e">
        <f>SUMIF($F$3:$F$472,"Bioaffald",I3:I472)</f>
        <v>#REF!</v>
      </c>
      <c r="O4" s="171" t="e">
        <f>SUMIF($F$3:$F$472,"Bioaffald",J3:J472)</f>
        <v>#REF!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2" t="e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input'!$A$3:$A$230,$A$1)),IF(VLOOKUP($A5,[1]!Table1[#All],2,FALSE)="Resultat",SUMIF($F$1:$F4,$D5,H$1:H4)+SUMIF($F7:$F$490,$D5,H7:H$490),0))*'[1]Processer - data'!H5,"")*IF($C5&lt;&gt;"",IF($F5="Halm",Landbrug!C$16*Landbrug!C$17,IF(LEFT($D5,5)="Areal", IF($G5="Ton",Landbrug!C$18,1),1)),1)*IF($F5="Grøntsager",IF($A5="Grøntsager i drivhus",Landbrug!C$51,1-Landbrug!C$51),1)</f>
        <v>#REF!</v>
      </c>
      <c r="I5" s="303" t="e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input'!$A$3:$A$230,$A$1)),IF(VLOOKUP($A5,[1]!Table1[#All],2,FALSE)="Resultat",SUMIF($F$1:$F4,$D5,I$1:I4)+SUMIF($F7:$F$490,$D5,I7:I$490),0))*'[1]Processer - data'!I5,"")*IF($C5&lt;&gt;"",IF($F5="Halm",Landbrug!D$16*Landbrug!D$17,IF(LEFT($D5,5)="Areal", IF($G5="Ton",Landbrug!D$18,1),1)),1)*IF($F5="Grøntsager",IF($A5="Grøntsager i drivhus",Landbrug!D$51,1-Landbrug!D$51),1)</f>
        <v>#REF!</v>
      </c>
      <c r="J5" s="304" t="e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input'!$A$3:$A$230,$A$1)),IF(VLOOKUP($A5,[1]!Table1[#All],2,FALSE)="Resultat",SUMIF($F$1:$F4,$D5,J$1:J4)+SUMIF($F7:$F$490,$D5,J7:J$490),0))*'[1]Processer - data'!J5,"")*IF($C5&lt;&gt;"",IF($F5="Halm",Landbrug!E$16*Landbrug!E$17,IF(LEFT($D5,5)="Areal", IF($G5="Ton",Landbrug!E$18,1),1)),1)*IF($F5="Grøntsager",IF($A5="Grøntsager i drivhus",Landbrug!E$51,1-Landbrug!E$51),1)</f>
        <v>#REF!</v>
      </c>
    </row>
    <row r="6" spans="1:21" s="171" customFormat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2" t="e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input'!$A$3:$A$230,$A$1)),IF(VLOOKUP($A6,[1]!Table1[#All],2,FALSE)="Resultat",SUMIF($F$1:$F5,$D6,H$1:H5)+SUMIF($F8:$F$490,$D6,H8:H$490),0))*'[1]Processer - data'!H6,"")*IF($C6&lt;&gt;"",IF($F6="Halm",Landbrug!C$16*Landbrug!C$17,IF(LEFT($D6,5)="Areal", IF($G6="Ton",Landbrug!C$18,1),1)),1)*IF($F6="Grøntsager",IF($A6="Grøntsager i drivhus",Landbrug!C$51,1-Landbrug!C$51),1)</f>
        <v>#REF!</v>
      </c>
      <c r="I6" s="303" t="e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input'!$A$3:$A$230,$A$1)),IF(VLOOKUP($A6,[1]!Table1[#All],2,FALSE)="Resultat",SUMIF($F$1:$F5,$D6,I$1:I5)+SUMIF($F8:$F$490,$D6,I8:I$490),0))*'[1]Processer - data'!I6,"")*IF($C6&lt;&gt;"",IF($F6="Halm",Landbrug!D$16*Landbrug!D$17,IF(LEFT($D6,5)="Areal", IF($G6="Ton",Landbrug!D$18,1),1)),1)*IF($F6="Grøntsager",IF($A6="Grøntsager i drivhus",Landbrug!D$51,1-Landbrug!D$51),1)</f>
        <v>#REF!</v>
      </c>
      <c r="J6" s="304" t="e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input'!$A$3:$A$230,$A$1)),IF(VLOOKUP($A6,[1]!Table1[#All],2,FALSE)="Resultat",SUMIF($F$1:$F5,$D6,J$1:J5)+SUMIF($F8:$F$490,$D6,J8:J$490),0))*'[1]Processer - data'!J6,"")*IF($C6&lt;&gt;"",IF($F6="Halm",Landbrug!E$16*Landbrug!E$17,IF(LEFT($D6,5)="Areal", IF($G6="Ton",Landbrug!E$18,1),1)),1)*IF($F6="Grøntsager",IF($A6="Grøntsager i drivhus",Landbrug!E$51,1-Landbrug!E$51),1)</f>
        <v>#REF!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2" t="e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input'!$A$3:$A$230,$A$1)),IF(VLOOKUP($A7,[1]!Table1[#All],2,FALSE)="Resultat",SUMIF($F$1:$F5,$D7,H$1:H5)+SUMIF($F8:$F$490,$D7,H8:H$490),0))*'[1]Processer - data'!H7,"")*IF($C7&lt;&gt;"",IF($F7="Halm",Landbrug!C$16*Landbrug!C$17,IF(LEFT($D7,5)="Areal", IF($G7="Ton",Landbrug!C$18,1),1)),1)*IF($F7="Grøntsager",IF($A7="Grøntsager i drivhus",Landbrug!C$51,1-Landbrug!C$51),1)</f>
        <v>#REF!</v>
      </c>
      <c r="I7" s="303" t="e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input'!$A$3:$A$230,$A$1)),IF(VLOOKUP($A7,[1]!Table1[#All],2,FALSE)="Resultat",SUMIF($F$1:$F5,$D7,I$1:I5)+SUMIF($F8:$F$490,$D7,I8:I$490),0))*'[1]Processer - data'!I7,"")*IF($C7&lt;&gt;"",IF($F7="Halm",Landbrug!D$16*Landbrug!D$17,IF(LEFT($D7,5)="Areal", IF($G7="Ton",Landbrug!D$18,1),1)),1)*IF($F7="Grøntsager",IF($A7="Grøntsager i drivhus",Landbrug!D$51,1-Landbrug!D$51),1)</f>
        <v>#REF!</v>
      </c>
      <c r="J7" s="304" t="e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input'!$A$3:$A$230,$A$1)),IF(VLOOKUP($A7,[1]!Table1[#All],2,FALSE)="Resultat",SUMIF($F$1:$F5,$D7,J$1:J5)+SUMIF($F8:$F$490,$D7,J8:J$490),0))*'[1]Processer - data'!J7,"")*IF($C7&lt;&gt;"",IF($F7="Halm",Landbrug!E$16*Landbrug!E$17,IF(LEFT($D7,5)="Areal", IF($G7="Ton",Landbrug!E$18,1),1)),1)*IF($F7="Grøntsager",IF($A7="Grøntsager i drivhus",Landbrug!E$51,1-Landbrug!E$51),1)</f>
        <v>#REF!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2" t="e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input'!$A$3:$A$230,$A$1)),IF(VLOOKUP($A8,[1]!Table1[#All],2,FALSE)="Resultat",SUMIF($F$1:$F7,$D8,H$1:H7)+SUMIF($F9:$F$490,$D8,H9:H$490),0))*'[1]Processer - data'!H8,"")*IF($C8&lt;&gt;"",IF($F8="Halm",Landbrug!C$16*Landbrug!C$17,IF(LEFT($D8,5)="Areal", IF($G8="Ton",Landbrug!C$18,1),1)),1)*IF($F8="Grøntsager",IF($A8="Grøntsager i drivhus",Landbrug!C$51,1-Landbrug!C$51),1)</f>
        <v>#REF!</v>
      </c>
      <c r="I8" s="303" t="e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input'!$A$3:$A$230,$A$1)),IF(VLOOKUP($A8,[1]!Table1[#All],2,FALSE)="Resultat",SUMIF($F$1:$F7,$D8,I$1:I7)+SUMIF($F9:$F$490,$D8,I9:I$490),0))*'[1]Processer - data'!I8,"")*IF($C8&lt;&gt;"",IF($F8="Halm",Landbrug!D$16*Landbrug!D$17,IF(LEFT($D8,5)="Areal", IF($G8="Ton",Landbrug!D$18,1),1)),1)*IF($F8="Grøntsager",IF($A8="Grøntsager i drivhus",Landbrug!D$51,1-Landbrug!D$51),1)</f>
        <v>#REF!</v>
      </c>
      <c r="J8" s="304" t="e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input'!$A$3:$A$230,$A$1)),IF(VLOOKUP($A8,[1]!Table1[#All],2,FALSE)="Resultat",SUMIF($F$1:$F7,$D8,J$1:J7)+SUMIF($F9:$F$490,$D8,J9:J$490),0))*'[1]Processer - data'!J8,"")*IF($C8&lt;&gt;"",IF($F8="Halm",Landbrug!E$16*Landbrug!E$17,IF(LEFT($D8,5)="Areal", IF($G8="Ton",Landbrug!E$18,1),1)),1)*IF($F8="Grøntsager",IF($A8="Grøntsager i drivhus",Landbrug!E$51,1-Landbrug!E$51),1)</f>
        <v>#REF!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2" t="e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input'!$A$3:$A$230,$A$1)),IF(VLOOKUP($A9,[1]!Table1[#All],2,FALSE)="Resultat",SUMIF($F$1:$F8,$D9,H$1:H8)+SUMIF($F10:$F$490,$D9,H10:H$490),0))*'[1]Processer - data'!H9,"")*IF($C9&lt;&gt;"",IF($F9="Halm",Landbrug!C$16*Landbrug!C$17,IF(LEFT($D9,5)="Areal", IF($G9="Ton",Landbrug!C$18,1),1)),1)*IF($F9="Grøntsager",IF($A9="Grøntsager i drivhus",Landbrug!C$51,1-Landbrug!C$51),1)</f>
        <v>#REF!</v>
      </c>
      <c r="I9" s="303" t="e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input'!$A$3:$A$230,$A$1)),IF(VLOOKUP($A9,[1]!Table1[#All],2,FALSE)="Resultat",SUMIF($F$1:$F8,$D9,I$1:I8)+SUMIF($F10:$F$490,$D9,I10:I$490),0))*'[1]Processer - data'!I9,"")*IF($C9&lt;&gt;"",IF($F9="Halm",Landbrug!D$16*Landbrug!D$17,IF(LEFT($D9,5)="Areal", IF($G9="Ton",Landbrug!D$18,1),1)),1)*IF($F9="Grøntsager",IF($A9="Grøntsager i drivhus",Landbrug!D$51,1-Landbrug!D$51),1)</f>
        <v>#REF!</v>
      </c>
      <c r="J9" s="304" t="e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input'!$A$3:$A$230,$A$1)),IF(VLOOKUP($A9,[1]!Table1[#All],2,FALSE)="Resultat",SUMIF($F$1:$F8,$D9,J$1:J8)+SUMIF($F10:$F$490,$D9,J10:J$490),0))*'[1]Processer - data'!J9,"")*IF($C9&lt;&gt;"",IF($F9="Halm",Landbrug!E$16*Landbrug!E$17,IF(LEFT($D9,5)="Areal", IF($G9="Ton",Landbrug!E$18,1),1)),1)*IF($F9="Grøntsager",IF($A9="Grøntsager i drivhus",Landbrug!E$51,1-Landbrug!E$51),1)</f>
        <v>#REF!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2" t="e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input'!$A$3:$A$230,$A$1)),IF(VLOOKUP($A10,[1]!Table1[#All],2,FALSE)="Resultat",SUMIF($F$1:$F9,$D10,H$1:H9)+SUMIF($F11:$F$490,$D10,H11:H$490),0))*'[1]Processer - data'!H10,"")*IF($C10&lt;&gt;"",IF($F10="Halm",Landbrug!C$16*Landbrug!C$17,IF(LEFT($D10,5)="Areal", IF($G10="Ton",Landbrug!C$18,1),1)),1)*IF($F10="Grøntsager",IF($A10="Grøntsager i drivhus",Landbrug!C$51,1-Landbrug!C$51),1)</f>
        <v>#REF!</v>
      </c>
      <c r="I10" s="303" t="e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input'!$A$3:$A$230,$A$1)),IF(VLOOKUP($A10,[1]!Table1[#All],2,FALSE)="Resultat",SUMIF($F$1:$F9,$D10,I$1:I9)+SUMIF($F11:$F$490,$D10,I11:I$490),0))*'[1]Processer - data'!I10,"")*IF($C10&lt;&gt;"",IF($F10="Halm",Landbrug!D$16*Landbrug!D$17,IF(LEFT($D10,5)="Areal", IF($G10="Ton",Landbrug!D$18,1),1)),1)*IF($F10="Grøntsager",IF($A10="Grøntsager i drivhus",Landbrug!D$51,1-Landbrug!D$51),1)</f>
        <v>#REF!</v>
      </c>
      <c r="J10" s="304" t="e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input'!$A$3:$A$230,$A$1)),IF(VLOOKUP($A10,[1]!Table1[#All],2,FALSE)="Resultat",SUMIF($F$1:$F9,$D10,J$1:J9)+SUMIF($F11:$F$490,$D10,J11:J$490),0))*'[1]Processer - data'!J10,"")*IF($C10&lt;&gt;"",IF($F10="Halm",Landbrug!E$16*Landbrug!E$17,IF(LEFT($D10,5)="Areal", IF($G10="Ton",Landbrug!E$18,1),1)),1)*IF($F10="Grøntsager",IF($A10="Grøntsager i drivhus",Landbrug!E$51,1-Landbrug!E$51),1)</f>
        <v>#REF!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2" t="e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input'!$A$3:$A$230,$A$1)),IF(VLOOKUP($A11,[1]!Table1[#All],2,FALSE)="Resultat",SUMIF($F$1:$F10,$D11,H$1:H10)+SUMIF($F12:$F$490,$D11,H12:H$490),0))*'[1]Processer - data'!H11,"")*IF($C11&lt;&gt;"",IF($F11="Halm",Landbrug!C$16*Landbrug!C$17,IF(LEFT($D11,5)="Areal", IF($G11="Ton",Landbrug!C$18,1),1)),1)*IF($F11="Grøntsager",IF($A11="Grøntsager i drivhus",Landbrug!C$51,1-Landbrug!C$51),1)</f>
        <v>#REF!</v>
      </c>
      <c r="I11" s="303" t="e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input'!$A$3:$A$230,$A$1)),IF(VLOOKUP($A11,[1]!Table1[#All],2,FALSE)="Resultat",SUMIF($F$1:$F10,$D11,I$1:I10)+SUMIF($F12:$F$490,$D11,I12:I$490),0))*'[1]Processer - data'!I11,"")*IF($C11&lt;&gt;"",IF($F11="Halm",Landbrug!D$16*Landbrug!D$17,IF(LEFT($D11,5)="Areal", IF($G11="Ton",Landbrug!D$18,1),1)),1)*IF($F11="Grøntsager",IF($A11="Grøntsager i drivhus",Landbrug!D$51,1-Landbrug!D$51),1)</f>
        <v>#REF!</v>
      </c>
      <c r="J11" s="304" t="e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input'!$A$3:$A$230,$A$1)),IF(VLOOKUP($A11,[1]!Table1[#All],2,FALSE)="Resultat",SUMIF($F$1:$F10,$D11,J$1:J10)+SUMIF($F12:$F$490,$D11,J12:J$490),0))*'[1]Processer - data'!J11,"")*IF($C11&lt;&gt;"",IF($F11="Halm",Landbrug!E$16*Landbrug!E$17,IF(LEFT($D11,5)="Areal", IF($G11="Ton",Landbrug!E$18,1),1)),1)*IF($F11="Grøntsager",IF($A11="Grøntsager i drivhus",Landbrug!E$51,1-Landbrug!E$51),1)</f>
        <v>#REF!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2" t="e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input'!$A$3:$A$230,$A$1)),IF(VLOOKUP($A12,[1]!Table1[#All],2,FALSE)="Resultat",SUMIF($F$1:$F11,$D12,H$1:H11)+SUMIF($F13:$F$490,$D12,H13:H$490),0))*'[1]Processer - data'!H12,"")*IF($C12&lt;&gt;"",IF($F12="Halm",Landbrug!C$16*Landbrug!C$17,IF(LEFT($D12,5)="Areal", IF($G12="Ton",Landbrug!C$18,1),1)),1)*IF($F12="Grøntsager",IF($A12="Grøntsager i drivhus",Landbrug!C$51,1-Landbrug!C$51),1)</f>
        <v>#REF!</v>
      </c>
      <c r="I12" s="303" t="e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input'!$A$3:$A$230,$A$1)),IF(VLOOKUP($A12,[1]!Table1[#All],2,FALSE)="Resultat",SUMIF($F$1:$F11,$D12,I$1:I11)+SUMIF($F13:$F$490,$D12,I13:I$490),0))*'[1]Processer - data'!I12,"")*IF($C12&lt;&gt;"",IF($F12="Halm",Landbrug!D$16*Landbrug!D$17,IF(LEFT($D12,5)="Areal", IF($G12="Ton",Landbrug!D$18,1),1)),1)*IF($F12="Grøntsager",IF($A12="Grøntsager i drivhus",Landbrug!D$51,1-Landbrug!D$51),1)</f>
        <v>#REF!</v>
      </c>
      <c r="J12" s="304" t="e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input'!$A$3:$A$230,$A$1)),IF(VLOOKUP($A12,[1]!Table1[#All],2,FALSE)="Resultat",SUMIF($F$1:$F11,$D12,J$1:J11)+SUMIF($F13:$F$490,$D12,J13:J$490),0))*'[1]Processer - data'!J12,"")*IF($C12&lt;&gt;"",IF($F12="Halm",Landbrug!E$16*Landbrug!E$17,IF(LEFT($D12,5)="Areal", IF($G12="Ton",Landbrug!E$18,1),1)),1)*IF($F12="Grøntsager",IF($A12="Grøntsager i drivhus",Landbrug!E$51,1-Landbrug!E$51),1)</f>
        <v>#REF!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2" t="e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input'!$A$3:$A$230,$A$1)),IF(VLOOKUP($A13,[1]!Table1[#All],2,FALSE)="Resultat",SUMIF($F$1:$F12,$D13,H$1:H12)+SUMIF($F14:$F$490,$D13,H14:H$490),0))*'[1]Processer - data'!H13,"")*IF($C13&lt;&gt;"",IF($F13="Halm",Landbrug!C$16*Landbrug!C$17,IF(LEFT($D13,5)="Areal", IF($G13="Ton",Landbrug!C$18,1),1)),1)*IF($F13="Grøntsager",IF($A13="Grøntsager i drivhus",Landbrug!C$51,1-Landbrug!C$51),1)</f>
        <v>#REF!</v>
      </c>
      <c r="I13" s="303" t="e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input'!$A$3:$A$230,$A$1)),IF(VLOOKUP($A13,[1]!Table1[#All],2,FALSE)="Resultat",SUMIF($F$1:$F12,$D13,I$1:I12)+SUMIF($F14:$F$490,$D13,I14:I$490),0))*'[1]Processer - data'!I13,"")*IF($C13&lt;&gt;"",IF($F13="Halm",Landbrug!D$16*Landbrug!D$17,IF(LEFT($D13,5)="Areal", IF($G13="Ton",Landbrug!D$18,1),1)),1)*IF($F13="Grøntsager",IF($A13="Grøntsager i drivhus",Landbrug!D$51,1-Landbrug!D$51),1)</f>
        <v>#REF!</v>
      </c>
      <c r="J13" s="304" t="e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input'!$A$3:$A$230,$A$1)),IF(VLOOKUP($A13,[1]!Table1[#All],2,FALSE)="Resultat",SUMIF($F$1:$F12,$D13,J$1:J12)+SUMIF($F14:$F$490,$D13,J14:J$490),0))*'[1]Processer - data'!J13,"")*IF($C13&lt;&gt;"",IF($F13="Halm",Landbrug!E$16*Landbrug!E$17,IF(LEFT($D13,5)="Areal", IF($G13="Ton",Landbrug!E$18,1),1)),1)*IF($F13="Grøntsager",IF($A13="Grøntsager i drivhus",Landbrug!E$51,1-Landbrug!E$51),1)</f>
        <v>#REF!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Skovtype1</v>
      </c>
      <c r="D14" t="str">
        <f>IF('[1]Processer - data'!D14&lt;&gt;"",'[1]Processer - data'!D14,"")</f>
        <v>Areal-skovtype1-10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Træer</v>
      </c>
      <c r="G14" t="str">
        <f>IF('[1]Processer - data'!G14&lt;&gt;"",'[1]Processer - data'!G14,"")</f>
        <v>m3</v>
      </c>
      <c r="H14" s="302" t="e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input'!$A$3:$A$230,$A$1)),IF(VLOOKUP($A14,[1]!Table1[#All],2,FALSE)="Resultat",SUMIF($F$1:$F13,$D14,H$1:H13)+SUMIF($F15:$F$490,$D14,H15:H$490),0))*'[1]Processer - data'!H14,"")*IF($C14&lt;&gt;"",IF($F14="Halm",Landbrug!C$16*Landbrug!C$17,IF(LEFT($D14,5)="Areal", IF($G14="Ton",Landbrug!C$18,1),1)),1)*IF($F14="Grøntsager",IF($A14="Grøntsager i drivhus",Landbrug!C$51,1-Landbrug!C$51),1)</f>
        <v>#REF!</v>
      </c>
      <c r="I14" s="303" t="e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input'!$A$3:$A$230,$A$1)),IF(VLOOKUP($A14,[1]!Table1[#All],2,FALSE)="Resultat",SUMIF($F$1:$F13,$D14,I$1:I13)+SUMIF($F15:$F$490,$D14,I15:I$490),0))*'[1]Processer - data'!I14,"")*IF($C14&lt;&gt;"",IF($F14="Halm",Landbrug!D$16*Landbrug!D$17,IF(LEFT($D14,5)="Areal", IF($G14="Ton",Landbrug!D$18,1),1)),1)*IF($F14="Grøntsager",IF($A14="Grøntsager i drivhus",Landbrug!D$51,1-Landbrug!D$51),1)</f>
        <v>#REF!</v>
      </c>
      <c r="J14" s="304" t="e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input'!$A$3:$A$230,$A$1)),IF(VLOOKUP($A14,[1]!Table1[#All],2,FALSE)="Resultat",SUMIF($F$1:$F13,$D14,J$1:J13)+SUMIF($F15:$F$490,$D14,J15:J$490),0))*'[1]Processer - data'!J14,"")*IF($C14&lt;&gt;"",IF($F14="Halm",Landbrug!E$16*Landbrug!E$17,IF(LEFT($D14,5)="Areal", IF($G14="Ton",Landbrug!E$18,1),1)),1)*IF($F14="Grøntsager",IF($A14="Grøntsager i drivhus",Landbrug!E$51,1-Landbrug!E$51),1)</f>
        <v>#REF!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 til energi</v>
      </c>
      <c r="G15" t="str">
        <f>IF('[1]Processer - data'!G15&lt;&gt;"",'[1]Processer - data'!G15,"")</f>
        <v>m3</v>
      </c>
      <c r="H15" s="302" t="e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input'!$A$3:$A$230,$A$1)),IF(VLOOKUP($A15,[1]!Table1[#All],2,FALSE)="Resultat",SUMIF($F$1:$F14,$D15,H$1:H14)+SUMIF($F16:$F$490,$D15,H16:H$490),0))*'[1]Processer - data'!H15,"")*IF($C15&lt;&gt;"",IF($F15="Halm",Landbrug!C$16*Landbrug!C$17,IF(LEFT($D15,5)="Areal", IF($G15="Ton",Landbrug!C$18,1),1)),1)*IF($F15="Grøntsager",IF($A15="Grøntsager i drivhus",Landbrug!C$51,1-Landbrug!C$51),1)</f>
        <v>#REF!</v>
      </c>
      <c r="I15" s="303" t="e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input'!$A$3:$A$230,$A$1)),IF(VLOOKUP($A15,[1]!Table1[#All],2,FALSE)="Resultat",SUMIF($F$1:$F14,$D15,I$1:I14)+SUMIF($F16:$F$490,$D15,I16:I$490),0))*'[1]Processer - data'!I15,"")*IF($C15&lt;&gt;"",IF($F15="Halm",Landbrug!D$16*Landbrug!D$17,IF(LEFT($D15,5)="Areal", IF($G15="Ton",Landbrug!D$18,1),1)),1)*IF($F15="Grøntsager",IF($A15="Grøntsager i drivhus",Landbrug!D$51,1-Landbrug!D$51),1)</f>
        <v>#REF!</v>
      </c>
      <c r="J15" s="304" t="e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input'!$A$3:$A$230,$A$1)),IF(VLOOKUP($A15,[1]!Table1[#All],2,FALSE)="Resultat",SUMIF($F$1:$F14,$D15,J$1:J14)+SUMIF($F16:$F$490,$D15,J16:J$490),0))*'[1]Processer - data'!J15,"")*IF($C15&lt;&gt;"",IF($F15="Halm",Landbrug!E$16*Landbrug!E$17,IF(LEFT($D15,5)="Areal", IF($G15="Ton",Landbrug!E$18,1),1)),1)*IF($F15="Grøntsager",IF($A15="Grøntsager i drivhus",Landbrug!E$51,1-Landbrug!E$51),1)</f>
        <v>#REF!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CO2 - atmosfære</v>
      </c>
      <c r="G16" t="str">
        <f>IF('[1]Processer - data'!G16&lt;&gt;"",'[1]Processer - data'!G16,"")</f>
        <v>t CO2-ækvivalenter</v>
      </c>
      <c r="H16" s="302" t="e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input'!$A$3:$A$230,$A$1)),IF(VLOOKUP($A16,[1]!Table1[#All],2,FALSE)="Resultat",SUMIF($F$1:$F15,$D16,H$1:H15)+SUMIF($F17:$F$490,$D16,H17:H$490),0))*'[1]Processer - data'!H16,"")*IF($C16&lt;&gt;"",IF($F16="Halm",Landbrug!C$16*Landbrug!C$17,IF(LEFT($D16,5)="Areal", IF($G16="Ton",Landbrug!C$18,1),1)),1)*IF($F16="Grøntsager",IF($A16="Grøntsager i drivhus",Landbrug!C$51,1-Landbrug!C$51),1)</f>
        <v>#REF!</v>
      </c>
      <c r="I16" s="303" t="e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input'!$A$3:$A$230,$A$1)),IF(VLOOKUP($A16,[1]!Table1[#All],2,FALSE)="Resultat",SUMIF($F$1:$F15,$D16,I$1:I15)+SUMIF($F17:$F$490,$D16,I17:I$490),0))*'[1]Processer - data'!I16,"")*IF($C16&lt;&gt;"",IF($F16="Halm",Landbrug!D$16*Landbrug!D$17,IF(LEFT($D16,5)="Areal", IF($G16="Ton",Landbrug!D$18,1),1)),1)*IF($F16="Grøntsager",IF($A16="Grøntsager i drivhus",Landbrug!D$51,1-Landbrug!D$51),1)</f>
        <v>#REF!</v>
      </c>
      <c r="J16" s="304" t="e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input'!$A$3:$A$230,$A$1)),IF(VLOOKUP($A16,[1]!Table1[#All],2,FALSE)="Resultat",SUMIF($F$1:$F15,$D16,J$1:J15)+SUMIF($F17:$F$490,$D16,J17:J$490),0))*'[1]Processer - data'!J16,"")*IF($C16&lt;&gt;"",IF($F16="Halm",Landbrug!E$16*Landbrug!E$17,IF(LEFT($D16,5)="Areal", IF($G16="Ton",Landbrug!E$18,1),1)),1)*IF($F16="Grøntsager",IF($A16="Grøntsager i drivhus",Landbrug!E$51,1-Landbrug!E$51),1)</f>
        <v>#REF!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Areal-skovtype1-20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Træer</v>
      </c>
      <c r="G17" t="str">
        <f>IF('[1]Processer - data'!G17&lt;&gt;"",'[1]Processer - data'!G17,"")</f>
        <v>m3</v>
      </c>
      <c r="H17" s="302" t="e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input'!$A$3:$A$230,$A$1)),IF(VLOOKUP($A17,[1]!Table1[#All],2,FALSE)="Resultat",SUMIF($F$1:$F16,$D17,H$1:H16)+SUMIF($F18:$F$490,$D17,H18:H$490),0))*'[1]Processer - data'!H17,"")*IF($C17&lt;&gt;"",IF($F17="Halm",Landbrug!C$16*Landbrug!C$17,IF(LEFT($D17,5)="Areal", IF($G17="Ton",Landbrug!C$18,1),1)),1)*IF($F17="Grøntsager",IF($A17="Grøntsager i drivhus",Landbrug!C$51,1-Landbrug!C$51),1)</f>
        <v>#REF!</v>
      </c>
      <c r="I17" s="303" t="e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input'!$A$3:$A$230,$A$1)),IF(VLOOKUP($A17,[1]!Table1[#All],2,FALSE)="Resultat",SUMIF($F$1:$F16,$D17,I$1:I16)+SUMIF($F18:$F$490,$D17,I18:I$490),0))*'[1]Processer - data'!I17,"")*IF($C17&lt;&gt;"",IF($F17="Halm",Landbrug!D$16*Landbrug!D$17,IF(LEFT($D17,5)="Areal", IF($G17="Ton",Landbrug!D$18,1),1)),1)*IF($F17="Grøntsager",IF($A17="Grøntsager i drivhus",Landbrug!D$51,1-Landbrug!D$51),1)</f>
        <v>#REF!</v>
      </c>
      <c r="J17" s="304" t="e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input'!$A$3:$A$230,$A$1)),IF(VLOOKUP($A17,[1]!Table1[#All],2,FALSE)="Resultat",SUMIF($F$1:$F16,$D17,J$1:J16)+SUMIF($F18:$F$490,$D17,J18:J$490),0))*'[1]Processer - data'!J17,"")*IF($C17&lt;&gt;"",IF($F17="Halm",Landbrug!E$16*Landbrug!E$17,IF(LEFT($D17,5)="Areal", IF($G17="Ton",Landbrug!E$18,1),1)),1)*IF($F17="Grøntsager",IF($A17="Grøntsager i drivhus",Landbrug!E$51,1-Landbrug!E$51),1)</f>
        <v>#REF!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Areal-skovtype1-20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Træ til energi</v>
      </c>
      <c r="G18" t="str">
        <f>IF('[1]Processer - data'!G18&lt;&gt;"",'[1]Processer - data'!G18,"")</f>
        <v>m3</v>
      </c>
      <c r="H18" s="302" t="e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input'!$A$3:$A$230,$A$1)),IF(VLOOKUP($A18,[1]!Table1[#All],2,FALSE)="Resultat",SUMIF($F$1:$F17,$D18,H$1:H17)+SUMIF($F19:$F$490,$D18,H19:H$490),0))*'[1]Processer - data'!H18,"")*IF($C18&lt;&gt;"",IF($F18="Halm",Landbrug!C$16*Landbrug!C$17,IF(LEFT($D18,5)="Areal", IF($G18="Ton",Landbrug!C$18,1),1)),1)*IF($F18="Grøntsager",IF($A18="Grøntsager i drivhus",Landbrug!C$51,1-Landbrug!C$51),1)</f>
        <v>#REF!</v>
      </c>
      <c r="I18" s="303" t="e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input'!$A$3:$A$230,$A$1)),IF(VLOOKUP($A18,[1]!Table1[#All],2,FALSE)="Resultat",SUMIF($F$1:$F17,$D18,I$1:I17)+SUMIF($F19:$F$490,$D18,I19:I$490),0))*'[1]Processer - data'!I18,"")*IF($C18&lt;&gt;"",IF($F18="Halm",Landbrug!D$16*Landbrug!D$17,IF(LEFT($D18,5)="Areal", IF($G18="Ton",Landbrug!D$18,1),1)),1)*IF($F18="Grøntsager",IF($A18="Grøntsager i drivhus",Landbrug!D$51,1-Landbrug!D$51),1)</f>
        <v>#REF!</v>
      </c>
      <c r="J18" s="304" t="e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input'!$A$3:$A$230,$A$1)),IF(VLOOKUP($A18,[1]!Table1[#All],2,FALSE)="Resultat",SUMIF($F$1:$F17,$D18,J$1:J17)+SUMIF($F19:$F$490,$D18,J19:J$490),0))*'[1]Processer - data'!J18,"")*IF($C18&lt;&gt;"",IF($F18="Halm",Landbrug!E$16*Landbrug!E$17,IF(LEFT($D18,5)="Areal", IF($G18="Ton",Landbrug!E$18,1),1)),1)*IF($F18="Grøntsager",IF($A18="Grøntsager i drivhus",Landbrug!E$51,1-Landbrug!E$51),1)</f>
        <v>#REF!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CO2 - atmosfære</v>
      </c>
      <c r="G19" t="str">
        <f>IF('[1]Processer - data'!G19&lt;&gt;"",'[1]Processer - data'!G19,"")</f>
        <v>t CO2-ækvivalenter</v>
      </c>
      <c r="H19" s="302" t="e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input'!$A$3:$A$230,$A$1)),IF(VLOOKUP($A19,[1]!Table1[#All],2,FALSE)="Resultat",SUMIF($F$1:$F18,$D19,H$1:H18)+SUMIF($F20:$F$490,$D19,H20:H$490),0))*'[1]Processer - data'!H19,"")*IF($C19&lt;&gt;"",IF($F19="Halm",Landbrug!C$16*Landbrug!C$17,IF(LEFT($D19,5)="Areal", IF($G19="Ton",Landbrug!C$18,1),1)),1)*IF($F19="Grøntsager",IF($A19="Grøntsager i drivhus",Landbrug!C$51,1-Landbrug!C$51),1)</f>
        <v>#REF!</v>
      </c>
      <c r="I19" s="303" t="e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input'!$A$3:$A$230,$A$1)),IF(VLOOKUP($A19,[1]!Table1[#All],2,FALSE)="Resultat",SUMIF($F$1:$F18,$D19,I$1:I18)+SUMIF($F20:$F$490,$D19,I20:I$490),0))*'[1]Processer - data'!I19,"")*IF($C19&lt;&gt;"",IF($F19="Halm",Landbrug!D$16*Landbrug!D$17,IF(LEFT($D19,5)="Areal", IF($G19="Ton",Landbrug!D$18,1),1)),1)*IF($F19="Grøntsager",IF($A19="Grøntsager i drivhus",Landbrug!D$51,1-Landbrug!D$51),1)</f>
        <v>#REF!</v>
      </c>
      <c r="J19" s="304" t="e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input'!$A$3:$A$230,$A$1)),IF(VLOOKUP($A19,[1]!Table1[#All],2,FALSE)="Resultat",SUMIF($F$1:$F18,$D19,J$1:J18)+SUMIF($F20:$F$490,$D19,J20:J$490),0))*'[1]Processer - data'!J19,"")*IF($C19&lt;&gt;"",IF($F19="Halm",Landbrug!E$16*Landbrug!E$17,IF(LEFT($D19,5)="Areal", IF($G19="Ton",Landbrug!E$18,1),1)),1)*IF($F19="Grøntsager",IF($A19="Grøntsager i drivhus",Landbrug!E$51,1-Landbrug!E$51),1)</f>
        <v>#REF!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Areal-skovtype1-30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Træer</v>
      </c>
      <c r="G20" t="str">
        <f>IF('[1]Processer - data'!G20&lt;&gt;"",'[1]Processer - data'!G20,"")</f>
        <v>m3</v>
      </c>
      <c r="H20" s="302" t="e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input'!$A$3:$A$230,$A$1)),IF(VLOOKUP($A20,[1]!Table1[#All],2,FALSE)="Resultat",SUMIF($F$1:$F19,$D20,H$1:H19)+SUMIF($F21:$F$490,$D20,H21:H$490),0))*'[1]Processer - data'!H20,"")*IF($C20&lt;&gt;"",IF($F20="Halm",Landbrug!C$16*Landbrug!C$17,IF(LEFT($D20,5)="Areal", IF($G20="Ton",Landbrug!C$18,1),1)),1)*IF($F20="Grøntsager",IF($A20="Grøntsager i drivhus",Landbrug!C$51,1-Landbrug!C$51),1)</f>
        <v>#REF!</v>
      </c>
      <c r="I20" s="303" t="e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input'!$A$3:$A$230,$A$1)),IF(VLOOKUP($A20,[1]!Table1[#All],2,FALSE)="Resultat",SUMIF($F$1:$F19,$D20,I$1:I19)+SUMIF($F21:$F$490,$D20,I21:I$490),0))*'[1]Processer - data'!I20,"")*IF($C20&lt;&gt;"",IF($F20="Halm",Landbrug!D$16*Landbrug!D$17,IF(LEFT($D20,5)="Areal", IF($G20="Ton",Landbrug!D$18,1),1)),1)*IF($F20="Grøntsager",IF($A20="Grøntsager i drivhus",Landbrug!D$51,1-Landbrug!D$51),1)</f>
        <v>#REF!</v>
      </c>
      <c r="J20" s="304" t="e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input'!$A$3:$A$230,$A$1)),IF(VLOOKUP($A20,[1]!Table1[#All],2,FALSE)="Resultat",SUMIF($F$1:$F19,$D20,J$1:J19)+SUMIF($F21:$F$490,$D20,J21:J$490),0))*'[1]Processer - data'!J20,"")*IF($C20&lt;&gt;"",IF($F20="Halm",Landbrug!E$16*Landbrug!E$17,IF(LEFT($D20,5)="Areal", IF($G20="Ton",Landbrug!E$18,1),1)),1)*IF($F20="Grøntsager",IF($A20="Grøntsager i drivhus",Landbrug!E$51,1-Landbrug!E$51),1)</f>
        <v>#REF!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Areal-skovtype1-30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Træ til energi</v>
      </c>
      <c r="G21" t="str">
        <f>IF('[1]Processer - data'!G21&lt;&gt;"",'[1]Processer - data'!G21,"")</f>
        <v>m3</v>
      </c>
      <c r="H21" s="302" t="e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input'!$A$3:$A$230,$A$1)),IF(VLOOKUP($A21,[1]!Table1[#All],2,FALSE)="Resultat",SUMIF($F$1:$F20,$D21,H$1:H20)+SUMIF($F22:$F$490,$D21,H22:H$490),0))*'[1]Processer - data'!H21,"")*IF($C21&lt;&gt;"",IF($F21="Halm",Landbrug!C$16*Landbrug!C$17,IF(LEFT($D21,5)="Areal", IF($G21="Ton",Landbrug!C$18,1),1)),1)*IF($F21="Grøntsager",IF($A21="Grøntsager i drivhus",Landbrug!C$51,1-Landbrug!C$51),1)</f>
        <v>#REF!</v>
      </c>
      <c r="I21" s="303" t="e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input'!$A$3:$A$230,$A$1)),IF(VLOOKUP($A21,[1]!Table1[#All],2,FALSE)="Resultat",SUMIF($F$1:$F20,$D21,I$1:I20)+SUMIF($F22:$F$490,$D21,I22:I$490),0))*'[1]Processer - data'!I21,"")*IF($C21&lt;&gt;"",IF($F21="Halm",Landbrug!D$16*Landbrug!D$17,IF(LEFT($D21,5)="Areal", IF($G21="Ton",Landbrug!D$18,1),1)),1)*IF($F21="Grøntsager",IF($A21="Grøntsager i drivhus",Landbrug!D$51,1-Landbrug!D$51),1)</f>
        <v>#REF!</v>
      </c>
      <c r="J21" s="304" t="e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input'!$A$3:$A$230,$A$1)),IF(VLOOKUP($A21,[1]!Table1[#All],2,FALSE)="Resultat",SUMIF($F$1:$F20,$D21,J$1:J20)+SUMIF($F22:$F$490,$D21,J22:J$490),0))*'[1]Processer - data'!J21,"")*IF($C21&lt;&gt;"",IF($F21="Halm",Landbrug!E$16*Landbrug!E$17,IF(LEFT($D21,5)="Areal", IF($G21="Ton",Landbrug!E$18,1),1)),1)*IF($F21="Grøntsager",IF($A21="Grøntsager i drivhus",Landbrug!E$51,1-Landbrug!E$51),1)</f>
        <v>#REF!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Areal-skovtype1-30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atmosfære</v>
      </c>
      <c r="G22" t="str">
        <f>IF('[1]Processer - data'!G22&lt;&gt;"",'[1]Processer - data'!G22,"")</f>
        <v>t CO2-ækvivalenter</v>
      </c>
      <c r="H22" s="302" t="e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input'!$A$3:$A$230,$A$1)),IF(VLOOKUP($A22,[1]!Table1[#All],2,FALSE)="Resultat",SUMIF($F$1:$F21,$D22,H$1:H21)+SUMIF($F23:$F$490,$D22,H23:H$490),0))*'[1]Processer - data'!H22,"")*IF($C22&lt;&gt;"",IF($F22="Halm",Landbrug!C$16*Landbrug!C$17,IF(LEFT($D22,5)="Areal", IF($G22="Ton",Landbrug!C$18,1),1)),1)*IF($F22="Grøntsager",IF($A22="Grøntsager i drivhus",Landbrug!C$51,1-Landbrug!C$51),1)</f>
        <v>#REF!</v>
      </c>
      <c r="I22" s="303" t="e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input'!$A$3:$A$230,$A$1)),IF(VLOOKUP($A22,[1]!Table1[#All],2,FALSE)="Resultat",SUMIF($F$1:$F21,$D22,I$1:I21)+SUMIF($F23:$F$490,$D22,I23:I$490),0))*'[1]Processer - data'!I22,"")*IF($C22&lt;&gt;"",IF($F22="Halm",Landbrug!D$16*Landbrug!D$17,IF(LEFT($D22,5)="Areal", IF($G22="Ton",Landbrug!D$18,1),1)),1)*IF($F22="Grøntsager",IF($A22="Grøntsager i drivhus",Landbrug!D$51,1-Landbrug!D$51),1)</f>
        <v>#REF!</v>
      </c>
      <c r="J22" s="304" t="e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input'!$A$3:$A$230,$A$1)),IF(VLOOKUP($A22,[1]!Table1[#All],2,FALSE)="Resultat",SUMIF($F$1:$F21,$D22,J$1:J21)+SUMIF($F23:$F$490,$D22,J23:J$490),0))*'[1]Processer - data'!J22,"")*IF($C22&lt;&gt;"",IF($F22="Halm",Landbrug!E$16*Landbrug!E$17,IF(LEFT($D22,5)="Areal", IF($G22="Ton",Landbrug!E$18,1),1)),1)*IF($F22="Grøntsager",IF($A22="Grøntsager i drivhus",Landbrug!E$51,1-Landbrug!E$51),1)</f>
        <v>#REF!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Areal-skovtype1-40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302" t="e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input'!$A$3:$A$230,$A$1)),IF(VLOOKUP($A23,[1]!Table1[#All],2,FALSE)="Resultat",SUMIF($F$1:$F22,$D23,H$1:H22)+SUMIF($F24:$F$490,$D23,H24:H$490),0))*'[1]Processer - data'!H23,"")*IF($C23&lt;&gt;"",IF($F23="Halm",Landbrug!C$16*Landbrug!C$17,IF(LEFT($D23,5)="Areal", IF($G23="Ton",Landbrug!C$18,1),1)),1)*IF($F23="Grøntsager",IF($A23="Grøntsager i drivhus",Landbrug!C$51,1-Landbrug!C$51),1)</f>
        <v>#REF!</v>
      </c>
      <c r="I23" s="303" t="e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input'!$A$3:$A$230,$A$1)),IF(VLOOKUP($A23,[1]!Table1[#All],2,FALSE)="Resultat",SUMIF($F$1:$F22,$D23,I$1:I22)+SUMIF($F24:$F$490,$D23,I24:I$490),0))*'[1]Processer - data'!I23,"")*IF($C23&lt;&gt;"",IF($F23="Halm",Landbrug!D$16*Landbrug!D$17,IF(LEFT($D23,5)="Areal", IF($G23="Ton",Landbrug!D$18,1),1)),1)*IF($F23="Grøntsager",IF($A23="Grøntsager i drivhus",Landbrug!D$51,1-Landbrug!D$51),1)</f>
        <v>#REF!</v>
      </c>
      <c r="J23" s="304" t="e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input'!$A$3:$A$230,$A$1)),IF(VLOOKUP($A23,[1]!Table1[#All],2,FALSE)="Resultat",SUMIF($F$1:$F22,$D23,J$1:J22)+SUMIF($F24:$F$490,$D23,J24:J$490),0))*'[1]Processer - data'!J23,"")*IF($C23&lt;&gt;"",IF($F23="Halm",Landbrug!E$16*Landbrug!E$17,IF(LEFT($D23,5)="Areal", IF($G23="Ton",Landbrug!E$18,1),1)),1)*IF($F23="Grøntsager",IF($A23="Grøntsager i drivhus",Landbrug!E$51,1-Landbrug!E$51),1)</f>
        <v>#REF!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Areal-skovtype1-40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302" t="e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input'!$A$3:$A$230,$A$1)),IF(VLOOKUP($A24,[1]!Table1[#All],2,FALSE)="Resultat",SUMIF($F$1:$F23,$D24,H$1:H23)+SUMIF($F25:$F$490,$D24,H25:H$490),0))*'[1]Processer - data'!H24,"")*IF($C24&lt;&gt;"",IF($F24="Halm",Landbrug!C$16*Landbrug!C$17,IF(LEFT($D24,5)="Areal", IF($G24="Ton",Landbrug!C$18,1),1)),1)*IF($F24="Grøntsager",IF($A24="Grøntsager i drivhus",Landbrug!C$51,1-Landbrug!C$51),1)</f>
        <v>#REF!</v>
      </c>
      <c r="I24" s="303" t="e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input'!$A$3:$A$230,$A$1)),IF(VLOOKUP($A24,[1]!Table1[#All],2,FALSE)="Resultat",SUMIF($F$1:$F23,$D24,I$1:I23)+SUMIF($F25:$F$490,$D24,I25:I$490),0))*'[1]Processer - data'!I24,"")*IF($C24&lt;&gt;"",IF($F24="Halm",Landbrug!D$16*Landbrug!D$17,IF(LEFT($D24,5)="Areal", IF($G24="Ton",Landbrug!D$18,1),1)),1)*IF($F24="Grøntsager",IF($A24="Grøntsager i drivhus",Landbrug!D$51,1-Landbrug!D$51),1)</f>
        <v>#REF!</v>
      </c>
      <c r="J24" s="304" t="e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input'!$A$3:$A$230,$A$1)),IF(VLOOKUP($A24,[1]!Table1[#All],2,FALSE)="Resultat",SUMIF($F$1:$F23,$D24,J$1:J23)+SUMIF($F25:$F$490,$D24,J25:J$490),0))*'[1]Processer - data'!J24,"")*IF($C24&lt;&gt;"",IF($F24="Halm",Landbrug!E$16*Landbrug!E$17,IF(LEFT($D24,5)="Areal", IF($G24="Ton",Landbrug!E$18,1),1)),1)*IF($F24="Grøntsager",IF($A24="Grøntsager i drivhus",Landbrug!E$51,1-Landbrug!E$51),1)</f>
        <v>#REF!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Areal-skovtype1-40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302" t="e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input'!$A$3:$A$230,$A$1)),IF(VLOOKUP($A25,[1]!Table1[#All],2,FALSE)="Resultat",SUMIF($F$1:$F24,$D25,H$1:H24)+SUMIF($F26:$F$490,$D25,H26:H$490),0))*'[1]Processer - data'!H25,"")*IF($C25&lt;&gt;"",IF($F25="Halm",Landbrug!C$16*Landbrug!C$17,IF(LEFT($D25,5)="Areal", IF($G25="Ton",Landbrug!C$18,1),1)),1)*IF($F25="Grøntsager",IF($A25="Grøntsager i drivhus",Landbrug!C$51,1-Landbrug!C$51),1)</f>
        <v>#REF!</v>
      </c>
      <c r="I25" s="303" t="e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input'!$A$3:$A$230,$A$1)),IF(VLOOKUP($A25,[1]!Table1[#All],2,FALSE)="Resultat",SUMIF($F$1:$F24,$D25,I$1:I24)+SUMIF($F26:$F$490,$D25,I26:I$490),0))*'[1]Processer - data'!I25,"")*IF($C25&lt;&gt;"",IF($F25="Halm",Landbrug!D$16*Landbrug!D$17,IF(LEFT($D25,5)="Areal", IF($G25="Ton",Landbrug!D$18,1),1)),1)*IF($F25="Grøntsager",IF($A25="Grøntsager i drivhus",Landbrug!D$51,1-Landbrug!D$51),1)</f>
        <v>#REF!</v>
      </c>
      <c r="J25" s="304" t="e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input'!$A$3:$A$230,$A$1)),IF(VLOOKUP($A25,[1]!Table1[#All],2,FALSE)="Resultat",SUMIF($F$1:$F24,$D25,J$1:J24)+SUMIF($F26:$F$490,$D25,J26:J$490),0))*'[1]Processer - data'!J25,"")*IF($C25&lt;&gt;"",IF($F25="Halm",Landbrug!E$16*Landbrug!E$17,IF(LEFT($D25,5)="Areal", IF($G25="Ton",Landbrug!E$18,1),1)),1)*IF($F25="Grøntsager",IF($A25="Grøntsager i drivhus",Landbrug!E$51,1-Landbrug!E$51),1)</f>
        <v>#REF!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Skovtype2</v>
      </c>
      <c r="D26" t="str">
        <f>IF('[1]Processer - data'!D26&lt;&gt;"",'[1]Processer - data'!D26,"")</f>
        <v>Areal-skovtype2-10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Træer</v>
      </c>
      <c r="G26" t="str">
        <f>IF('[1]Processer - data'!G26&lt;&gt;"",'[1]Processer - data'!G26,"")</f>
        <v>m3</v>
      </c>
      <c r="H26" s="302" t="e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input'!$A$3:$A$230,$A$1)),IF(VLOOKUP($A26,[1]!Table1[#All],2,FALSE)="Resultat",SUMIF($F$1:$F25,$D26,H$1:H25)+SUMIF($F27:$F$490,$D26,H27:H$490),0))*'[1]Processer - data'!H26,"")*IF($C26&lt;&gt;"",IF($F26="Halm",Landbrug!C$16*Landbrug!C$17,IF(LEFT($D26,5)="Areal", IF($G26="Ton",Landbrug!C$18,1),1)),1)*IF($F26="Grøntsager",IF($A26="Grøntsager i drivhus",Landbrug!C$51,1-Landbrug!C$51),1)</f>
        <v>#REF!</v>
      </c>
      <c r="I26" s="303" t="e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input'!$A$3:$A$230,$A$1)),IF(VLOOKUP($A26,[1]!Table1[#All],2,FALSE)="Resultat",SUMIF($F$1:$F25,$D26,I$1:I25)+SUMIF($F27:$F$490,$D26,I27:I$490),0))*'[1]Processer - data'!I26,"")*IF($C26&lt;&gt;"",IF($F26="Halm",Landbrug!D$16*Landbrug!D$17,IF(LEFT($D26,5)="Areal", IF($G26="Ton",Landbrug!D$18,1),1)),1)*IF($F26="Grøntsager",IF($A26="Grøntsager i drivhus",Landbrug!D$51,1-Landbrug!D$51),1)</f>
        <v>#REF!</v>
      </c>
      <c r="J26" s="304" t="e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input'!$A$3:$A$230,$A$1)),IF(VLOOKUP($A26,[1]!Table1[#All],2,FALSE)="Resultat",SUMIF($F$1:$F25,$D26,J$1:J25)+SUMIF($F27:$F$490,$D26,J27:J$490),0))*'[1]Processer - data'!J26,"")*IF($C26&lt;&gt;"",IF($F26="Halm",Landbrug!E$16*Landbrug!E$17,IF(LEFT($D26,5)="Areal", IF($G26="Ton",Landbrug!E$18,1),1)),1)*IF($F26="Grøntsager",IF($A26="Grøntsager i drivhus",Landbrug!E$51,1-Landbrug!E$51),1)</f>
        <v>#REF!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Skovtype2</v>
      </c>
      <c r="D27" t="str">
        <f>IF('[1]Processer - data'!D27&lt;&gt;"",'[1]Processer - data'!D27,"")</f>
        <v>Areal-skovtype2-10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 til energi</v>
      </c>
      <c r="G27" t="str">
        <f>IF('[1]Processer - data'!G27&lt;&gt;"",'[1]Processer - data'!G27,"")</f>
        <v>m3</v>
      </c>
      <c r="H27" s="302" t="e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input'!$A$3:$A$230,$A$1)),IF(VLOOKUP($A27,[1]!Table1[#All],2,FALSE)="Resultat",SUMIF($F$1:$F26,$D27,H$1:H26)+SUMIF($F28:$F$490,$D27,H28:H$490),0))*'[1]Processer - data'!H27,"")*IF($C27&lt;&gt;"",IF($F27="Halm",Landbrug!C$16*Landbrug!C$17,IF(LEFT($D27,5)="Areal", IF($G27="Ton",Landbrug!C$18,1),1)),1)*IF($F27="Grøntsager",IF($A27="Grøntsager i drivhus",Landbrug!C$51,1-Landbrug!C$51),1)</f>
        <v>#REF!</v>
      </c>
      <c r="I27" s="303" t="e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input'!$A$3:$A$230,$A$1)),IF(VLOOKUP($A27,[1]!Table1[#All],2,FALSE)="Resultat",SUMIF($F$1:$F26,$D27,I$1:I26)+SUMIF($F28:$F$490,$D27,I28:I$490),0))*'[1]Processer - data'!I27,"")*IF($C27&lt;&gt;"",IF($F27="Halm",Landbrug!D$16*Landbrug!D$17,IF(LEFT($D27,5)="Areal", IF($G27="Ton",Landbrug!D$18,1),1)),1)*IF($F27="Grøntsager",IF($A27="Grøntsager i drivhus",Landbrug!D$51,1-Landbrug!D$51),1)</f>
        <v>#REF!</v>
      </c>
      <c r="J27" s="304" t="e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input'!$A$3:$A$230,$A$1)),IF(VLOOKUP($A27,[1]!Table1[#All],2,FALSE)="Resultat",SUMIF($F$1:$F26,$D27,J$1:J26)+SUMIF($F28:$F$490,$D27,J28:J$490),0))*'[1]Processer - data'!J27,"")*IF($C27&lt;&gt;"",IF($F27="Halm",Landbrug!E$16*Landbrug!E$17,IF(LEFT($D27,5)="Areal", IF($G27="Ton",Landbrug!E$18,1),1)),1)*IF($F27="Grøntsager",IF($A27="Grøntsager i drivhus",Landbrug!E$51,1-Landbrug!E$51),1)</f>
        <v>#REF!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Skovtype2</v>
      </c>
      <c r="D28" t="str">
        <f>IF('[1]Processer - data'!D28&lt;&gt;"",'[1]Processer - data'!D28,"")</f>
        <v>Areal-skovtype2-10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CO2 - atmosfære</v>
      </c>
      <c r="G28" t="str">
        <f>IF('[1]Processer - data'!G28&lt;&gt;"",'[1]Processer - data'!G28,"")</f>
        <v>t CO2-ækvivalenter</v>
      </c>
      <c r="H28" s="302" t="e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input'!$A$3:$A$230,$A$1)),IF(VLOOKUP($A28,[1]!Table1[#All],2,FALSE)="Resultat",SUMIF($F$1:$F27,$D28,H$1:H27)+SUMIF($F29:$F$490,$D28,H29:H$490),0))*'[1]Processer - data'!H28,"")*IF($C28&lt;&gt;"",IF($F28="Halm",Landbrug!C$16*Landbrug!C$17,IF(LEFT($D28,5)="Areal", IF($G28="Ton",Landbrug!C$18,1),1)),1)*IF($F28="Grøntsager",IF($A28="Grøntsager i drivhus",Landbrug!C$51,1-Landbrug!C$51),1)</f>
        <v>#REF!</v>
      </c>
      <c r="I28" s="303" t="e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input'!$A$3:$A$230,$A$1)),IF(VLOOKUP($A28,[1]!Table1[#All],2,FALSE)="Resultat",SUMIF($F$1:$F27,$D28,I$1:I27)+SUMIF($F29:$F$490,$D28,I29:I$490),0))*'[1]Processer - data'!I28,"")*IF($C28&lt;&gt;"",IF($F28="Halm",Landbrug!D$16*Landbrug!D$17,IF(LEFT($D28,5)="Areal", IF($G28="Ton",Landbrug!D$18,1),1)),1)*IF($F28="Grøntsager",IF($A28="Grøntsager i drivhus",Landbrug!D$51,1-Landbrug!D$51),1)</f>
        <v>#REF!</v>
      </c>
      <c r="J28" s="304" t="e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input'!$A$3:$A$230,$A$1)),IF(VLOOKUP($A28,[1]!Table1[#All],2,FALSE)="Resultat",SUMIF($F$1:$F27,$D28,J$1:J27)+SUMIF($F29:$F$490,$D28,J29:J$490),0))*'[1]Processer - data'!J28,"")*IF($C28&lt;&gt;"",IF($F28="Halm",Landbrug!E$16*Landbrug!E$17,IF(LEFT($D28,5)="Areal", IF($G28="Ton",Landbrug!E$18,1),1)),1)*IF($F28="Grøntsager",IF($A28="Grøntsager i drivhus",Landbrug!E$51,1-Landbrug!E$51),1)</f>
        <v>#REF!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Skovtype2</v>
      </c>
      <c r="D29" t="str">
        <f>IF('[1]Processer - data'!D29&lt;&gt;"",'[1]Processer - data'!D29,"")</f>
        <v>Areal-skovtype2-20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Træer</v>
      </c>
      <c r="G29" t="str">
        <f>IF('[1]Processer - data'!G29&lt;&gt;"",'[1]Processer - data'!G29,"")</f>
        <v>m3</v>
      </c>
      <c r="H29" s="302" t="e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input'!$A$3:$A$230,$A$1)),IF(VLOOKUP($A29,[1]!Table1[#All],2,FALSE)="Resultat",SUMIF($F$1:$F28,$D29,H$1:H28)+SUMIF($F30:$F$490,$D29,H30:H$490),0))*'[1]Processer - data'!H29,"")*IF($C29&lt;&gt;"",IF($F29="Halm",Landbrug!C$16*Landbrug!C$17,IF(LEFT($D29,5)="Areal", IF($G29="Ton",Landbrug!C$18,1),1)),1)*IF($F29="Grøntsager",IF($A29="Grøntsager i drivhus",Landbrug!C$51,1-Landbrug!C$51),1)</f>
        <v>#REF!</v>
      </c>
      <c r="I29" s="303" t="e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input'!$A$3:$A$230,$A$1)),IF(VLOOKUP($A29,[1]!Table1[#All],2,FALSE)="Resultat",SUMIF($F$1:$F28,$D29,I$1:I28)+SUMIF($F30:$F$490,$D29,I30:I$490),0))*'[1]Processer - data'!I29,"")*IF($C29&lt;&gt;"",IF($F29="Halm",Landbrug!D$16*Landbrug!D$17,IF(LEFT($D29,5)="Areal", IF($G29="Ton",Landbrug!D$18,1),1)),1)*IF($F29="Grøntsager",IF($A29="Grøntsager i drivhus",Landbrug!D$51,1-Landbrug!D$51),1)</f>
        <v>#REF!</v>
      </c>
      <c r="J29" s="304" t="e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input'!$A$3:$A$230,$A$1)),IF(VLOOKUP($A29,[1]!Table1[#All],2,FALSE)="Resultat",SUMIF($F$1:$F28,$D29,J$1:J28)+SUMIF($F30:$F$490,$D29,J30:J$490),0))*'[1]Processer - data'!J29,"")*IF($C29&lt;&gt;"",IF($F29="Halm",Landbrug!E$16*Landbrug!E$17,IF(LEFT($D29,5)="Areal", IF($G29="Ton",Landbrug!E$18,1),1)),1)*IF($F29="Grøntsager",IF($A29="Grøntsager i drivhus",Landbrug!E$51,1-Landbrug!E$51),1)</f>
        <v>#REF!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Skovtype2</v>
      </c>
      <c r="D30" t="str">
        <f>IF('[1]Processer - data'!D30&lt;&gt;"",'[1]Processer - data'!D30,"")</f>
        <v>Areal-skovtype2-20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Træ til energi</v>
      </c>
      <c r="G30" t="str">
        <f>IF('[1]Processer - data'!G30&lt;&gt;"",'[1]Processer - data'!G30,"")</f>
        <v>m3</v>
      </c>
      <c r="H30" s="302" t="e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input'!$A$3:$A$230,$A$1)),IF(VLOOKUP($A30,[1]!Table1[#All],2,FALSE)="Resultat",SUMIF($F$1:$F29,$D30,H$1:H29)+SUMIF($F31:$F$490,$D30,H31:H$490),0))*'[1]Processer - data'!H30,"")*IF($C30&lt;&gt;"",IF($F30="Halm",Landbrug!C$16*Landbrug!C$17,IF(LEFT($D30,5)="Areal", IF($G30="Ton",Landbrug!C$18,1),1)),1)*IF($F30="Grøntsager",IF($A30="Grøntsager i drivhus",Landbrug!C$51,1-Landbrug!C$51),1)</f>
        <v>#REF!</v>
      </c>
      <c r="I30" s="303" t="e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input'!$A$3:$A$230,$A$1)),IF(VLOOKUP($A30,[1]!Table1[#All],2,FALSE)="Resultat",SUMIF($F$1:$F29,$D30,I$1:I29)+SUMIF($F31:$F$490,$D30,I31:I$490),0))*'[1]Processer - data'!I30,"")*IF($C30&lt;&gt;"",IF($F30="Halm",Landbrug!D$16*Landbrug!D$17,IF(LEFT($D30,5)="Areal", IF($G30="Ton",Landbrug!D$18,1),1)),1)*IF($F30="Grøntsager",IF($A30="Grøntsager i drivhus",Landbrug!D$51,1-Landbrug!D$51),1)</f>
        <v>#REF!</v>
      </c>
      <c r="J30" s="304" t="e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input'!$A$3:$A$230,$A$1)),IF(VLOOKUP($A30,[1]!Table1[#All],2,FALSE)="Resultat",SUMIF($F$1:$F29,$D30,J$1:J29)+SUMIF($F31:$F$490,$D30,J31:J$490),0))*'[1]Processer - data'!J30,"")*IF($C30&lt;&gt;"",IF($F30="Halm",Landbrug!E$16*Landbrug!E$17,IF(LEFT($D30,5)="Areal", IF($G30="Ton",Landbrug!E$18,1),1)),1)*IF($F30="Grøntsager",IF($A30="Grøntsager i drivhus",Landbrug!E$51,1-Landbrug!E$51),1)</f>
        <v>#REF!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Areal-skovtype2-20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CO2 - atmosfære</v>
      </c>
      <c r="G31" t="str">
        <f>IF('[1]Processer - data'!G31&lt;&gt;"",'[1]Processer - data'!G31,"")</f>
        <v>t CO2-ækvivalenter</v>
      </c>
      <c r="H31" s="302" t="e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input'!$A$3:$A$230,$A$1)),IF(VLOOKUP($A31,[1]!Table1[#All],2,FALSE)="Resultat",SUMIF($F$1:$F30,$D31,H$1:H30)+SUMIF($F32:$F$490,$D31,H32:H$490),0))*'[1]Processer - data'!H31,"")*IF($C31&lt;&gt;"",IF($F31="Halm",Landbrug!C$16*Landbrug!C$17,IF(LEFT($D31,5)="Areal", IF($G31="Ton",Landbrug!C$18,1),1)),1)*IF($F31="Grøntsager",IF($A31="Grøntsager i drivhus",Landbrug!C$51,1-Landbrug!C$51),1)</f>
        <v>#REF!</v>
      </c>
      <c r="I31" s="303" t="e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input'!$A$3:$A$230,$A$1)),IF(VLOOKUP($A31,[1]!Table1[#All],2,FALSE)="Resultat",SUMIF($F$1:$F30,$D31,I$1:I30)+SUMIF($F32:$F$490,$D31,I32:I$490),0))*'[1]Processer - data'!I31,"")*IF($C31&lt;&gt;"",IF($F31="Halm",Landbrug!D$16*Landbrug!D$17,IF(LEFT($D31,5)="Areal", IF($G31="Ton",Landbrug!D$18,1),1)),1)*IF($F31="Grøntsager",IF($A31="Grøntsager i drivhus",Landbrug!D$51,1-Landbrug!D$51),1)</f>
        <v>#REF!</v>
      </c>
      <c r="J31" s="304" t="e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input'!$A$3:$A$230,$A$1)),IF(VLOOKUP($A31,[1]!Table1[#All],2,FALSE)="Resultat",SUMIF($F$1:$F30,$D31,J$1:J30)+SUMIF($F32:$F$490,$D31,J32:J$490),0))*'[1]Processer - data'!J31,"")*IF($C31&lt;&gt;"",IF($F31="Halm",Landbrug!E$16*Landbrug!E$17,IF(LEFT($D31,5)="Areal", IF($G31="Ton",Landbrug!E$18,1),1)),1)*IF($F31="Grøntsager",IF($A31="Grøntsager i drivhus",Landbrug!E$51,1-Landbrug!E$51),1)</f>
        <v>#REF!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Areal-skovtype2-30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Træer</v>
      </c>
      <c r="G32" t="str">
        <f>IF('[1]Processer - data'!G32&lt;&gt;"",'[1]Processer - data'!G32,"")</f>
        <v>m3</v>
      </c>
      <c r="H32" s="302" t="e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input'!$A$3:$A$230,$A$1)),IF(VLOOKUP($A32,[1]!Table1[#All],2,FALSE)="Resultat",SUMIF($F$1:$F31,$D32,H$1:H31)+SUMIF($F33:$F$490,$D32,H33:H$490),0))*'[1]Processer - data'!H32,"")*IF($C32&lt;&gt;"",IF($F32="Halm",Landbrug!C$16*Landbrug!C$17,IF(LEFT($D32,5)="Areal", IF($G32="Ton",Landbrug!C$18,1),1)),1)*IF($F32="Grøntsager",IF($A32="Grøntsager i drivhus",Landbrug!C$51,1-Landbrug!C$51),1)</f>
        <v>#REF!</v>
      </c>
      <c r="I32" s="303" t="e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input'!$A$3:$A$230,$A$1)),IF(VLOOKUP($A32,[1]!Table1[#All],2,FALSE)="Resultat",SUMIF($F$1:$F31,$D32,I$1:I31)+SUMIF($F33:$F$490,$D32,I33:I$490),0))*'[1]Processer - data'!I32,"")*IF($C32&lt;&gt;"",IF($F32="Halm",Landbrug!D$16*Landbrug!D$17,IF(LEFT($D32,5)="Areal", IF($G32="Ton",Landbrug!D$18,1),1)),1)*IF($F32="Grøntsager",IF($A32="Grøntsager i drivhus",Landbrug!D$51,1-Landbrug!D$51),1)</f>
        <v>#REF!</v>
      </c>
      <c r="J32" s="304" t="e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input'!$A$3:$A$230,$A$1)),IF(VLOOKUP($A32,[1]!Table1[#All],2,FALSE)="Resultat",SUMIF($F$1:$F31,$D32,J$1:J31)+SUMIF($F33:$F$490,$D32,J33:J$490),0))*'[1]Processer - data'!J32,"")*IF($C32&lt;&gt;"",IF($F32="Halm",Landbrug!E$16*Landbrug!E$17,IF(LEFT($D32,5)="Areal", IF($G32="Ton",Landbrug!E$18,1),1)),1)*IF($F32="Grøntsager",IF($A32="Grøntsager i drivhus",Landbrug!E$51,1-Landbrug!E$51),1)</f>
        <v>#REF!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Areal-skovtype2-30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Træ til energi</v>
      </c>
      <c r="G33" t="str">
        <f>IF('[1]Processer - data'!G33&lt;&gt;"",'[1]Processer - data'!G33,"")</f>
        <v>m3</v>
      </c>
      <c r="H33" s="302" t="e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input'!$A$3:$A$230,$A$1)),IF(VLOOKUP($A33,[1]!Table1[#All],2,FALSE)="Resultat",SUMIF($F$1:$F32,$D33,H$1:H32)+SUMIF($F34:$F$490,$D33,H34:H$490),0))*'[1]Processer - data'!H33,"")*IF($C33&lt;&gt;"",IF($F33="Halm",Landbrug!C$16*Landbrug!C$17,IF(LEFT($D33,5)="Areal", IF($G33="Ton",Landbrug!C$18,1),1)),1)*IF($F33="Grøntsager",IF($A33="Grøntsager i drivhus",Landbrug!C$51,1-Landbrug!C$51),1)</f>
        <v>#REF!</v>
      </c>
      <c r="I33" s="303" t="e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input'!$A$3:$A$230,$A$1)),IF(VLOOKUP($A33,[1]!Table1[#All],2,FALSE)="Resultat",SUMIF($F$1:$F32,$D33,I$1:I32)+SUMIF($F34:$F$490,$D33,I34:I$490),0))*'[1]Processer - data'!I33,"")*IF($C33&lt;&gt;"",IF($F33="Halm",Landbrug!D$16*Landbrug!D$17,IF(LEFT($D33,5)="Areal", IF($G33="Ton",Landbrug!D$18,1),1)),1)*IF($F33="Grøntsager",IF($A33="Grøntsager i drivhus",Landbrug!D$51,1-Landbrug!D$51),1)</f>
        <v>#REF!</v>
      </c>
      <c r="J33" s="304" t="e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input'!$A$3:$A$230,$A$1)),IF(VLOOKUP($A33,[1]!Table1[#All],2,FALSE)="Resultat",SUMIF($F$1:$F32,$D33,J$1:J32)+SUMIF($F34:$F$490,$D33,J34:J$490),0))*'[1]Processer - data'!J33,"")*IF($C33&lt;&gt;"",IF($F33="Halm",Landbrug!E$16*Landbrug!E$17,IF(LEFT($D33,5)="Areal", IF($G33="Ton",Landbrug!E$18,1),1)),1)*IF($F33="Grøntsager",IF($A33="Grøntsager i drivhus",Landbrug!E$51,1-Landbrug!E$51),1)</f>
        <v>#REF!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Areal-skovtype2-30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atmosfære</v>
      </c>
      <c r="G34" t="str">
        <f>IF('[1]Processer - data'!G34&lt;&gt;"",'[1]Processer - data'!G34,"")</f>
        <v>t CO2-ækvivalenter</v>
      </c>
      <c r="H34" s="302" t="e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input'!$A$3:$A$230,$A$1)),IF(VLOOKUP($A34,[1]!Table1[#All],2,FALSE)="Resultat",SUMIF($F$1:$F33,$D34,H$1:H33)+SUMIF($F35:$F$490,$D34,H35:H$490),0))*'[1]Processer - data'!H34,"")*IF($C34&lt;&gt;"",IF($F34="Halm",Landbrug!C$16*Landbrug!C$17,IF(LEFT($D34,5)="Areal", IF($G34="Ton",Landbrug!C$18,1),1)),1)*IF($F34="Grøntsager",IF($A34="Grøntsager i drivhus",Landbrug!C$51,1-Landbrug!C$51),1)</f>
        <v>#REF!</v>
      </c>
      <c r="I34" s="303" t="e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input'!$A$3:$A$230,$A$1)),IF(VLOOKUP($A34,[1]!Table1[#All],2,FALSE)="Resultat",SUMIF($F$1:$F33,$D34,I$1:I33)+SUMIF($F35:$F$490,$D34,I35:I$490),0))*'[1]Processer - data'!I34,"")*IF($C34&lt;&gt;"",IF($F34="Halm",Landbrug!D$16*Landbrug!D$17,IF(LEFT($D34,5)="Areal", IF($G34="Ton",Landbrug!D$18,1),1)),1)*IF($F34="Grøntsager",IF($A34="Grøntsager i drivhus",Landbrug!D$51,1-Landbrug!D$51),1)</f>
        <v>#REF!</v>
      </c>
      <c r="J34" s="304" t="e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input'!$A$3:$A$230,$A$1)),IF(VLOOKUP($A34,[1]!Table1[#All],2,FALSE)="Resultat",SUMIF($F$1:$F33,$D34,J$1:J33)+SUMIF($F35:$F$490,$D34,J35:J$490),0))*'[1]Processer - data'!J34,"")*IF($C34&lt;&gt;"",IF($F34="Halm",Landbrug!E$16*Landbrug!E$17,IF(LEFT($D34,5)="Areal", IF($G34="Ton",Landbrug!E$18,1),1)),1)*IF($F34="Grøntsager",IF($A34="Grøntsager i drivhus",Landbrug!E$51,1-Landbrug!E$51),1)</f>
        <v>#REF!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Areal-skovtype2-40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302" t="e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input'!$A$3:$A$230,$A$1)),IF(VLOOKUP($A35,[1]!Table1[#All],2,FALSE)="Resultat",SUMIF($F$1:$F34,$D35,H$1:H34)+SUMIF($F36:$F$490,$D35,H36:H$490),0))*'[1]Processer - data'!H35,"")*IF($C35&lt;&gt;"",IF($F35="Halm",Landbrug!C$16*Landbrug!C$17,IF(LEFT($D35,5)="Areal", IF($G35="Ton",Landbrug!C$18,1),1)),1)*IF($F35="Grøntsager",IF($A35="Grøntsager i drivhus",Landbrug!C$51,1-Landbrug!C$51),1)</f>
        <v>#REF!</v>
      </c>
      <c r="I35" s="303" t="e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input'!$A$3:$A$230,$A$1)),IF(VLOOKUP($A35,[1]!Table1[#All],2,FALSE)="Resultat",SUMIF($F$1:$F34,$D35,I$1:I34)+SUMIF($F36:$F$490,$D35,I36:I$490),0))*'[1]Processer - data'!I35,"")*IF($C35&lt;&gt;"",IF($F35="Halm",Landbrug!D$16*Landbrug!D$17,IF(LEFT($D35,5)="Areal", IF($G35="Ton",Landbrug!D$18,1),1)),1)*IF($F35="Grøntsager",IF($A35="Grøntsager i drivhus",Landbrug!D$51,1-Landbrug!D$51),1)</f>
        <v>#REF!</v>
      </c>
      <c r="J35" s="304" t="e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input'!$A$3:$A$230,$A$1)),IF(VLOOKUP($A35,[1]!Table1[#All],2,FALSE)="Resultat",SUMIF($F$1:$F34,$D35,J$1:J34)+SUMIF($F36:$F$490,$D35,J36:J$490),0))*'[1]Processer - data'!J35,"")*IF($C35&lt;&gt;"",IF($F35="Halm",Landbrug!E$16*Landbrug!E$17,IF(LEFT($D35,5)="Areal", IF($G35="Ton",Landbrug!E$18,1),1)),1)*IF($F35="Grøntsager",IF($A35="Grøntsager i drivhus",Landbrug!E$51,1-Landbrug!E$51),1)</f>
        <v>#REF!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Areal-skovtype2-40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302" t="e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input'!$A$3:$A$230,$A$1)),IF(VLOOKUP($A36,[1]!Table1[#All],2,FALSE)="Resultat",SUMIF($F$1:$F35,$D36,H$1:H35)+SUMIF($F37:$F$490,$D36,H37:H$490),0))*'[1]Processer - data'!H36,"")*IF($C36&lt;&gt;"",IF($F36="Halm",Landbrug!C$16*Landbrug!C$17,IF(LEFT($D36,5)="Areal", IF($G36="Ton",Landbrug!C$18,1),1)),1)*IF($F36="Grøntsager",IF($A36="Grøntsager i drivhus",Landbrug!C$51,1-Landbrug!C$51),1)</f>
        <v>#REF!</v>
      </c>
      <c r="I36" s="303" t="e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input'!$A$3:$A$230,$A$1)),IF(VLOOKUP($A36,[1]!Table1[#All],2,FALSE)="Resultat",SUMIF($F$1:$F35,$D36,I$1:I35)+SUMIF($F37:$F$490,$D36,I37:I$490),0))*'[1]Processer - data'!I36,"")*IF($C36&lt;&gt;"",IF($F36="Halm",Landbrug!D$16*Landbrug!D$17,IF(LEFT($D36,5)="Areal", IF($G36="Ton",Landbrug!D$18,1),1)),1)*IF($F36="Grøntsager",IF($A36="Grøntsager i drivhus",Landbrug!D$51,1-Landbrug!D$51),1)</f>
        <v>#REF!</v>
      </c>
      <c r="J36" s="304" t="e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input'!$A$3:$A$230,$A$1)),IF(VLOOKUP($A36,[1]!Table1[#All],2,FALSE)="Resultat",SUMIF($F$1:$F35,$D36,J$1:J35)+SUMIF($F37:$F$490,$D36,J37:J$490),0))*'[1]Processer - data'!J36,"")*IF($C36&lt;&gt;"",IF($F36="Halm",Landbrug!E$16*Landbrug!E$17,IF(LEFT($D36,5)="Areal", IF($G36="Ton",Landbrug!E$18,1),1)),1)*IF($F36="Grøntsager",IF($A36="Grøntsager i drivhus",Landbrug!E$51,1-Landbrug!E$51),1)</f>
        <v>#REF!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Areal-skovtype2-40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302" t="e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input'!$A$3:$A$230,$A$1)),IF(VLOOKUP($A37,[1]!Table1[#All],2,FALSE)="Resultat",SUMIF($F$1:$F36,$D37,H$1:H36)+SUMIF($F38:$F$490,$D37,H38:H$490),0))*'[1]Processer - data'!H37,"")*IF($C37&lt;&gt;"",IF($F37="Halm",Landbrug!C$16*Landbrug!C$17,IF(LEFT($D37,5)="Areal", IF($G37="Ton",Landbrug!C$18,1),1)),1)*IF($F37="Grøntsager",IF($A37="Grøntsager i drivhus",Landbrug!C$51,1-Landbrug!C$51),1)</f>
        <v>#REF!</v>
      </c>
      <c r="I37" s="303" t="e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input'!$A$3:$A$230,$A$1)),IF(VLOOKUP($A37,[1]!Table1[#All],2,FALSE)="Resultat",SUMIF($F$1:$F36,$D37,I$1:I36)+SUMIF($F38:$F$490,$D37,I38:I$490),0))*'[1]Processer - data'!I37,"")*IF($C37&lt;&gt;"",IF($F37="Halm",Landbrug!D$16*Landbrug!D$17,IF(LEFT($D37,5)="Areal", IF($G37="Ton",Landbrug!D$18,1),1)),1)*IF($F37="Grøntsager",IF($A37="Grøntsager i drivhus",Landbrug!D$51,1-Landbrug!D$51),1)</f>
        <v>#REF!</v>
      </c>
      <c r="J37" s="304" t="e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input'!$A$3:$A$230,$A$1)),IF(VLOOKUP($A37,[1]!Table1[#All],2,FALSE)="Resultat",SUMIF($F$1:$F36,$D37,J$1:J36)+SUMIF($F38:$F$490,$D37,J38:J$490),0))*'[1]Processer - data'!J37,"")*IF($C37&lt;&gt;"",IF($F37="Halm",Landbrug!E$16*Landbrug!E$17,IF(LEFT($D37,5)="Areal", IF($G37="Ton",Landbrug!E$18,1),1)),1)*IF($F37="Grøntsager",IF($A37="Grøntsager i drivhus",Landbrug!E$51,1-Landbrug!E$51),1)</f>
        <v>#REF!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Skovtype3</v>
      </c>
      <c r="D38" t="str">
        <f>IF('[1]Processer - data'!D38&lt;&gt;"",'[1]Processer - data'!D38,"")</f>
        <v>Areal-skovtype3-10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Træer</v>
      </c>
      <c r="G38" t="str">
        <f>IF('[1]Processer - data'!G38&lt;&gt;"",'[1]Processer - data'!G38,"")</f>
        <v>m3</v>
      </c>
      <c r="H38" s="302" t="e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input'!$A$3:$A$230,$A$1)),IF(VLOOKUP($A38,[1]!Table1[#All],2,FALSE)="Resultat",SUMIF($F$1:$F37,$D38,H$1:H37)+SUMIF($F39:$F$490,$D38,H39:H$490),0))*'[1]Processer - data'!H38,"")*IF($C38&lt;&gt;"",IF($F38="Halm",Landbrug!C$16*Landbrug!C$17,IF(LEFT($D38,5)="Areal", IF($G38="Ton",Landbrug!C$18,1),1)),1)*IF($F38="Grøntsager",IF($A38="Grøntsager i drivhus",Landbrug!C$51,1-Landbrug!C$51),1)</f>
        <v>#REF!</v>
      </c>
      <c r="I38" s="303" t="e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input'!$A$3:$A$230,$A$1)),IF(VLOOKUP($A38,[1]!Table1[#All],2,FALSE)="Resultat",SUMIF($F$1:$F37,$D38,I$1:I37)+SUMIF($F39:$F$490,$D38,I39:I$490),0))*'[1]Processer - data'!I38,"")*IF($C38&lt;&gt;"",IF($F38="Halm",Landbrug!D$16*Landbrug!D$17,IF(LEFT($D38,5)="Areal", IF($G38="Ton",Landbrug!D$18,1),1)),1)*IF($F38="Grøntsager",IF($A38="Grøntsager i drivhus",Landbrug!D$51,1-Landbrug!D$51),1)</f>
        <v>#REF!</v>
      </c>
      <c r="J38" s="304" t="e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input'!$A$3:$A$230,$A$1)),IF(VLOOKUP($A38,[1]!Table1[#All],2,FALSE)="Resultat",SUMIF($F$1:$F37,$D38,J$1:J37)+SUMIF($F39:$F$490,$D38,J39:J$490),0))*'[1]Processer - data'!J38,"")*IF($C38&lt;&gt;"",IF($F38="Halm",Landbrug!E$16*Landbrug!E$17,IF(LEFT($D38,5)="Areal", IF($G38="Ton",Landbrug!E$18,1),1)),1)*IF($F38="Grøntsager",IF($A38="Grøntsager i drivhus",Landbrug!E$51,1-Landbrug!E$51),1)</f>
        <v>#REF!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Skovtype3</v>
      </c>
      <c r="D39" t="str">
        <f>IF('[1]Processer - data'!D39&lt;&gt;"",'[1]Processer - data'!D39,"")</f>
        <v>Areal-skovtype3-10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 til energi</v>
      </c>
      <c r="G39" t="str">
        <f>IF('[1]Processer - data'!G39&lt;&gt;"",'[1]Processer - data'!G39,"")</f>
        <v>m3</v>
      </c>
      <c r="H39" s="302" t="e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input'!$A$3:$A$230,$A$1)),IF(VLOOKUP($A39,[1]!Table1[#All],2,FALSE)="Resultat",SUMIF($F$1:$F38,$D39,H$1:H38)+SUMIF($F40:$F$490,$D39,H40:H$490),0))*'[1]Processer - data'!H39,"")*IF($C39&lt;&gt;"",IF($F39="Halm",Landbrug!C$16*Landbrug!C$17,IF(LEFT($D39,5)="Areal", IF($G39="Ton",Landbrug!C$18,1),1)),1)*IF($F39="Grøntsager",IF($A39="Grøntsager i drivhus",Landbrug!C$51,1-Landbrug!C$51),1)</f>
        <v>#REF!</v>
      </c>
      <c r="I39" s="303" t="e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input'!$A$3:$A$230,$A$1)),IF(VLOOKUP($A39,[1]!Table1[#All],2,FALSE)="Resultat",SUMIF($F$1:$F38,$D39,I$1:I38)+SUMIF($F40:$F$490,$D39,I40:I$490),0))*'[1]Processer - data'!I39,"")*IF($C39&lt;&gt;"",IF($F39="Halm",Landbrug!D$16*Landbrug!D$17,IF(LEFT($D39,5)="Areal", IF($G39="Ton",Landbrug!D$18,1),1)),1)*IF($F39="Grøntsager",IF($A39="Grøntsager i drivhus",Landbrug!D$51,1-Landbrug!D$51),1)</f>
        <v>#REF!</v>
      </c>
      <c r="J39" s="304" t="e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input'!$A$3:$A$230,$A$1)),IF(VLOOKUP($A39,[1]!Table1[#All],2,FALSE)="Resultat",SUMIF($F$1:$F38,$D39,J$1:J38)+SUMIF($F40:$F$490,$D39,J40:J$490),0))*'[1]Processer - data'!J39,"")*IF($C39&lt;&gt;"",IF($F39="Halm",Landbrug!E$16*Landbrug!E$17,IF(LEFT($D39,5)="Areal", IF($G39="Ton",Landbrug!E$18,1),1)),1)*IF($F39="Grøntsager",IF($A39="Grøntsager i drivhus",Landbrug!E$51,1-Landbrug!E$51),1)</f>
        <v>#REF!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Skovtype3</v>
      </c>
      <c r="D40" t="str">
        <f>IF('[1]Processer - data'!D40&lt;&gt;"",'[1]Processer - data'!D40,"")</f>
        <v>Areal-skovtype3-10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CO2 - atmosfære</v>
      </c>
      <c r="G40" t="str">
        <f>IF('[1]Processer - data'!G40&lt;&gt;"",'[1]Processer - data'!G40,"")</f>
        <v>t CO2-ækvivalenter</v>
      </c>
      <c r="H40" s="302" t="e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input'!$A$3:$A$230,$A$1)),IF(VLOOKUP($A40,[1]!Table1[#All],2,FALSE)="Resultat",SUMIF($F$1:$F39,$D40,H$1:H39)+SUMIF($F41:$F$490,$D40,H41:H$490),0))*'[1]Processer - data'!H40,"")*IF($C40&lt;&gt;"",IF($F40="Halm",Landbrug!C$16*Landbrug!C$17,IF(LEFT($D40,5)="Areal", IF($G40="Ton",Landbrug!C$18,1),1)),1)*IF($F40="Grøntsager",IF($A40="Grøntsager i drivhus",Landbrug!C$51,1-Landbrug!C$51),1)</f>
        <v>#REF!</v>
      </c>
      <c r="I40" s="303" t="e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input'!$A$3:$A$230,$A$1)),IF(VLOOKUP($A40,[1]!Table1[#All],2,FALSE)="Resultat",SUMIF($F$1:$F39,$D40,I$1:I39)+SUMIF($F41:$F$490,$D40,I41:I$490),0))*'[1]Processer - data'!I40,"")*IF($C40&lt;&gt;"",IF($F40="Halm",Landbrug!D$16*Landbrug!D$17,IF(LEFT($D40,5)="Areal", IF($G40="Ton",Landbrug!D$18,1),1)),1)*IF($F40="Grøntsager",IF($A40="Grøntsager i drivhus",Landbrug!D$51,1-Landbrug!D$51),1)</f>
        <v>#REF!</v>
      </c>
      <c r="J40" s="304" t="e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input'!$A$3:$A$230,$A$1)),IF(VLOOKUP($A40,[1]!Table1[#All],2,FALSE)="Resultat",SUMIF($F$1:$F39,$D40,J$1:J39)+SUMIF($F41:$F$490,$D40,J41:J$490),0))*'[1]Processer - data'!J40,"")*IF($C40&lt;&gt;"",IF($F40="Halm",Landbrug!E$16*Landbrug!E$17,IF(LEFT($D40,5)="Areal", IF($G40="Ton",Landbrug!E$18,1),1)),1)*IF($F40="Grøntsager",IF($A40="Grøntsager i drivhus",Landbrug!E$51,1-Landbrug!E$51),1)</f>
        <v>#REF!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Skovtype3</v>
      </c>
      <c r="D41" t="str">
        <f>IF('[1]Processer - data'!D41&lt;&gt;"",'[1]Processer - data'!D41,"")</f>
        <v>Areal-skovtype3-20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Træer</v>
      </c>
      <c r="G41" t="str">
        <f>IF('[1]Processer - data'!G41&lt;&gt;"",'[1]Processer - data'!G41,"")</f>
        <v>m3</v>
      </c>
      <c r="H41" s="302" t="e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input'!$A$3:$A$230,$A$1)),IF(VLOOKUP($A41,[1]!Table1[#All],2,FALSE)="Resultat",SUMIF($F$1:$F40,$D41,H$1:H40)+SUMIF($F42:$F$490,$D41,H42:H$490),0))*'[1]Processer - data'!H41,"")*IF($C41&lt;&gt;"",IF($F41="Halm",Landbrug!C$16*Landbrug!C$17,IF(LEFT($D41,5)="Areal", IF($G41="Ton",Landbrug!C$18,1),1)),1)*IF($F41="Grøntsager",IF($A41="Grøntsager i drivhus",Landbrug!C$51,1-Landbrug!C$51),1)</f>
        <v>#REF!</v>
      </c>
      <c r="I41" s="303" t="e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input'!$A$3:$A$230,$A$1)),IF(VLOOKUP($A41,[1]!Table1[#All],2,FALSE)="Resultat",SUMIF($F$1:$F40,$D41,I$1:I40)+SUMIF($F42:$F$490,$D41,I42:I$490),0))*'[1]Processer - data'!I41,"")*IF($C41&lt;&gt;"",IF($F41="Halm",Landbrug!D$16*Landbrug!D$17,IF(LEFT($D41,5)="Areal", IF($G41="Ton",Landbrug!D$18,1),1)),1)*IF($F41="Grøntsager",IF($A41="Grøntsager i drivhus",Landbrug!D$51,1-Landbrug!D$51),1)</f>
        <v>#REF!</v>
      </c>
      <c r="J41" s="304" t="e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input'!$A$3:$A$230,$A$1)),IF(VLOOKUP($A41,[1]!Table1[#All],2,FALSE)="Resultat",SUMIF($F$1:$F40,$D41,J$1:J40)+SUMIF($F42:$F$490,$D41,J42:J$490),0))*'[1]Processer - data'!J41,"")*IF($C41&lt;&gt;"",IF($F41="Halm",Landbrug!E$16*Landbrug!E$17,IF(LEFT($D41,5)="Areal", IF($G41="Ton",Landbrug!E$18,1),1)),1)*IF($F41="Grøntsager",IF($A41="Grøntsager i drivhus",Landbrug!E$51,1-Landbrug!E$51),1)</f>
        <v>#REF!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Skovtype3</v>
      </c>
      <c r="D42" t="str">
        <f>IF('[1]Processer - data'!D42&lt;&gt;"",'[1]Processer - data'!D42,"")</f>
        <v>Areal-skovtype3-20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Træ til energi</v>
      </c>
      <c r="G42" t="str">
        <f>IF('[1]Processer - data'!G42&lt;&gt;"",'[1]Processer - data'!G42,"")</f>
        <v>m3</v>
      </c>
      <c r="H42" s="302" t="e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input'!$A$3:$A$230,$A$1)),IF(VLOOKUP($A42,[1]!Table1[#All],2,FALSE)="Resultat",SUMIF($F$1:$F41,$D42,H$1:H41)+SUMIF($F43:$F$490,$D42,H43:H$490),0))*'[1]Processer - data'!H42,"")*IF($C42&lt;&gt;"",IF($F42="Halm",Landbrug!C$16*Landbrug!C$17,IF(LEFT($D42,5)="Areal", IF($G42="Ton",Landbrug!C$18,1),1)),1)*IF($F42="Grøntsager",IF($A42="Grøntsager i drivhus",Landbrug!C$51,1-Landbrug!C$51),1)</f>
        <v>#REF!</v>
      </c>
      <c r="I42" s="303" t="e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input'!$A$3:$A$230,$A$1)),IF(VLOOKUP($A42,[1]!Table1[#All],2,FALSE)="Resultat",SUMIF($F$1:$F41,$D42,I$1:I41)+SUMIF($F43:$F$490,$D42,I43:I$490),0))*'[1]Processer - data'!I42,"")*IF($C42&lt;&gt;"",IF($F42="Halm",Landbrug!D$16*Landbrug!D$17,IF(LEFT($D42,5)="Areal", IF($G42="Ton",Landbrug!D$18,1),1)),1)*IF($F42="Grøntsager",IF($A42="Grøntsager i drivhus",Landbrug!D$51,1-Landbrug!D$51),1)</f>
        <v>#REF!</v>
      </c>
      <c r="J42" s="304" t="e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input'!$A$3:$A$230,$A$1)),IF(VLOOKUP($A42,[1]!Table1[#All],2,FALSE)="Resultat",SUMIF($F$1:$F41,$D42,J$1:J41)+SUMIF($F43:$F$490,$D42,J43:J$490),0))*'[1]Processer - data'!J42,"")*IF($C42&lt;&gt;"",IF($F42="Halm",Landbrug!E$16*Landbrug!E$17,IF(LEFT($D42,5)="Areal", IF($G42="Ton",Landbrug!E$18,1),1)),1)*IF($F42="Grøntsager",IF($A42="Grøntsager i drivhus",Landbrug!E$51,1-Landbrug!E$51),1)</f>
        <v>#REF!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Skovtype3</v>
      </c>
      <c r="D43" t="str">
        <f>IF('[1]Processer - data'!D43&lt;&gt;"",'[1]Processer - data'!D43,"")</f>
        <v>Areal-skovtype3-20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CO2 - atmosfære</v>
      </c>
      <c r="G43" t="str">
        <f>IF('[1]Processer - data'!G43&lt;&gt;"",'[1]Processer - data'!G43,"")</f>
        <v>t CO2-ækvivalenter</v>
      </c>
      <c r="H43" s="302" t="e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input'!$A$3:$A$230,$A$1)),IF(VLOOKUP($A43,[1]!Table1[#All],2,FALSE)="Resultat",SUMIF($F$1:$F42,$D43,H$1:H42)+SUMIF($F44:$F$490,$D43,H44:H$490),0))*'[1]Processer - data'!H43,"")*IF($C43&lt;&gt;"",IF($F43="Halm",Landbrug!C$16*Landbrug!C$17,IF(LEFT($D43,5)="Areal", IF($G43="Ton",Landbrug!C$18,1),1)),1)*IF($F43="Grøntsager",IF($A43="Grøntsager i drivhus",Landbrug!C$51,1-Landbrug!C$51),1)</f>
        <v>#REF!</v>
      </c>
      <c r="I43" s="303" t="e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input'!$A$3:$A$230,$A$1)),IF(VLOOKUP($A43,[1]!Table1[#All],2,FALSE)="Resultat",SUMIF($F$1:$F42,$D43,I$1:I42)+SUMIF($F44:$F$490,$D43,I44:I$490),0))*'[1]Processer - data'!I43,"")*IF($C43&lt;&gt;"",IF($F43="Halm",Landbrug!D$16*Landbrug!D$17,IF(LEFT($D43,5)="Areal", IF($G43="Ton",Landbrug!D$18,1),1)),1)*IF($F43="Grøntsager",IF($A43="Grøntsager i drivhus",Landbrug!D$51,1-Landbrug!D$51),1)</f>
        <v>#REF!</v>
      </c>
      <c r="J43" s="304" t="e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input'!$A$3:$A$230,$A$1)),IF(VLOOKUP($A43,[1]!Table1[#All],2,FALSE)="Resultat",SUMIF($F$1:$F42,$D43,J$1:J42)+SUMIF($F44:$F$490,$D43,J44:J$490),0))*'[1]Processer - data'!J43,"")*IF($C43&lt;&gt;"",IF($F43="Halm",Landbrug!E$16*Landbrug!E$17,IF(LEFT($D43,5)="Areal", IF($G43="Ton",Landbrug!E$18,1),1)),1)*IF($F43="Grøntsager",IF($A43="Grøntsager i drivhus",Landbrug!E$51,1-Landbrug!E$51),1)</f>
        <v>#REF!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Skovtype3</v>
      </c>
      <c r="D44" t="str">
        <f>IF('[1]Processer - data'!D44&lt;&gt;"",'[1]Processer - data'!D44,"")</f>
        <v>Areal-skovtype3-30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Træer</v>
      </c>
      <c r="G44" t="str">
        <f>IF('[1]Processer - data'!G44&lt;&gt;"",'[1]Processer - data'!G44,"")</f>
        <v>m3</v>
      </c>
      <c r="H44" s="302" t="e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input'!$A$3:$A$230,$A$1)),IF(VLOOKUP($A44,[1]!Table1[#All],2,FALSE)="Resultat",SUMIF($F$1:$F43,$D44,H$1:H43)+SUMIF($F45:$F$490,$D44,H45:H$490),0))*'[1]Processer - data'!H44,"")*IF($C44&lt;&gt;"",IF($F44="Halm",Landbrug!C$16*Landbrug!C$17,IF(LEFT($D44,5)="Areal", IF($G44="Ton",Landbrug!C$18,1),1)),1)*IF($F44="Grøntsager",IF($A44="Grøntsager i drivhus",Landbrug!C$51,1-Landbrug!C$51),1)</f>
        <v>#REF!</v>
      </c>
      <c r="I44" s="303" t="e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input'!$A$3:$A$230,$A$1)),IF(VLOOKUP($A44,[1]!Table1[#All],2,FALSE)="Resultat",SUMIF($F$1:$F43,$D44,I$1:I43)+SUMIF($F45:$F$490,$D44,I45:I$490),0))*'[1]Processer - data'!I44,"")*IF($C44&lt;&gt;"",IF($F44="Halm",Landbrug!D$16*Landbrug!D$17,IF(LEFT($D44,5)="Areal", IF($G44="Ton",Landbrug!D$18,1),1)),1)*IF($F44="Grøntsager",IF($A44="Grøntsager i drivhus",Landbrug!D$51,1-Landbrug!D$51),1)</f>
        <v>#REF!</v>
      </c>
      <c r="J44" s="304" t="e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input'!$A$3:$A$230,$A$1)),IF(VLOOKUP($A44,[1]!Table1[#All],2,FALSE)="Resultat",SUMIF($F$1:$F43,$D44,J$1:J43)+SUMIF($F45:$F$490,$D44,J45:J$490),0))*'[1]Processer - data'!J44,"")*IF($C44&lt;&gt;"",IF($F44="Halm",Landbrug!E$16*Landbrug!E$17,IF(LEFT($D44,5)="Areal", IF($G44="Ton",Landbrug!E$18,1),1)),1)*IF($F44="Grøntsager",IF($A44="Grøntsager i drivhus",Landbrug!E$51,1-Landbrug!E$51),1)</f>
        <v>#REF!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Skovtype3</v>
      </c>
      <c r="D45" t="str">
        <f>IF('[1]Processer - data'!D45&lt;&gt;"",'[1]Processer - data'!D45,"")</f>
        <v>Areal-skovtype3-30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Træ til energi</v>
      </c>
      <c r="G45" t="str">
        <f>IF('[1]Processer - data'!G45&lt;&gt;"",'[1]Processer - data'!G45,"")</f>
        <v>m3</v>
      </c>
      <c r="H45" s="302" t="e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input'!$A$3:$A$230,$A$1)),IF(VLOOKUP($A45,[1]!Table1[#All],2,FALSE)="Resultat",SUMIF($F$1:$F44,$D45,H$1:H44)+SUMIF($F46:$F$490,$D45,H46:H$490),0))*'[1]Processer - data'!H45,"")*IF($C45&lt;&gt;"",IF($F45="Halm",Landbrug!C$16*Landbrug!C$17,IF(LEFT($D45,5)="Areal", IF($G45="Ton",Landbrug!C$18,1),1)),1)*IF($F45="Grøntsager",IF($A45="Grøntsager i drivhus",Landbrug!C$51,1-Landbrug!C$51),1)</f>
        <v>#REF!</v>
      </c>
      <c r="I45" s="303" t="e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input'!$A$3:$A$230,$A$1)),IF(VLOOKUP($A45,[1]!Table1[#All],2,FALSE)="Resultat",SUMIF($F$1:$F44,$D45,I$1:I44)+SUMIF($F46:$F$490,$D45,I46:I$490),0))*'[1]Processer - data'!I45,"")*IF($C45&lt;&gt;"",IF($F45="Halm",Landbrug!D$16*Landbrug!D$17,IF(LEFT($D45,5)="Areal", IF($G45="Ton",Landbrug!D$18,1),1)),1)*IF($F45="Grøntsager",IF($A45="Grøntsager i drivhus",Landbrug!D$51,1-Landbrug!D$51),1)</f>
        <v>#REF!</v>
      </c>
      <c r="J45" s="304" t="e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input'!$A$3:$A$230,$A$1)),IF(VLOOKUP($A45,[1]!Table1[#All],2,FALSE)="Resultat",SUMIF($F$1:$F44,$D45,J$1:J44)+SUMIF($F46:$F$490,$D45,J46:J$490),0))*'[1]Processer - data'!J45,"")*IF($C45&lt;&gt;"",IF($F45="Halm",Landbrug!E$16*Landbrug!E$17,IF(LEFT($D45,5)="Areal", IF($G45="Ton",Landbrug!E$18,1),1)),1)*IF($F45="Grøntsager",IF($A45="Grøntsager i drivhus",Landbrug!E$51,1-Landbrug!E$51),1)</f>
        <v>#REF!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Skovtype3</v>
      </c>
      <c r="D46" t="str">
        <f>IF('[1]Processer - data'!D46&lt;&gt;"",'[1]Processer - data'!D46,"")</f>
        <v>Areal-skovtype3-30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atmosfære</v>
      </c>
      <c r="G46" t="str">
        <f>IF('[1]Processer - data'!G46&lt;&gt;"",'[1]Processer - data'!G46,"")</f>
        <v>t CO2-ækvivalenter</v>
      </c>
      <c r="H46" s="302" t="e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input'!$A$3:$A$230,$A$1)),IF(VLOOKUP($A46,[1]!Table1[#All],2,FALSE)="Resultat",SUMIF($F$1:$F45,$D46,H$1:H45)+SUMIF($F47:$F$490,$D46,H47:H$490),0))*'[1]Processer - data'!H46,"")*IF($C46&lt;&gt;"",IF($F46="Halm",Landbrug!C$16*Landbrug!C$17,IF(LEFT($D46,5)="Areal", IF($G46="Ton",Landbrug!C$18,1),1)),1)*IF($F46="Grøntsager",IF($A46="Grøntsager i drivhus",Landbrug!C$51,1-Landbrug!C$51),1)</f>
        <v>#REF!</v>
      </c>
      <c r="I46" s="303" t="e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input'!$A$3:$A$230,$A$1)),IF(VLOOKUP($A46,[1]!Table1[#All],2,FALSE)="Resultat",SUMIF($F$1:$F45,$D46,I$1:I45)+SUMIF($F47:$F$490,$D46,I47:I$490),0))*'[1]Processer - data'!I46,"")*IF($C46&lt;&gt;"",IF($F46="Halm",Landbrug!D$16*Landbrug!D$17,IF(LEFT($D46,5)="Areal", IF($G46="Ton",Landbrug!D$18,1),1)),1)*IF($F46="Grøntsager",IF($A46="Grøntsager i drivhus",Landbrug!D$51,1-Landbrug!D$51),1)</f>
        <v>#REF!</v>
      </c>
      <c r="J46" s="304" t="e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input'!$A$3:$A$230,$A$1)),IF(VLOOKUP($A46,[1]!Table1[#All],2,FALSE)="Resultat",SUMIF($F$1:$F45,$D46,J$1:J45)+SUMIF($F47:$F$490,$D46,J47:J$490),0))*'[1]Processer - data'!J46,"")*IF($C46&lt;&gt;"",IF($F46="Halm",Landbrug!E$16*Landbrug!E$17,IF(LEFT($D46,5)="Areal", IF($G46="Ton",Landbrug!E$18,1),1)),1)*IF($F46="Grøntsager",IF($A46="Grøntsager i drivhus",Landbrug!E$51,1-Landbrug!E$51),1)</f>
        <v>#REF!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Areal-skovtype3-40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302" t="e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input'!$A$3:$A$230,$A$1)),IF(VLOOKUP($A47,[1]!Table1[#All],2,FALSE)="Resultat",SUMIF($F$1:$F46,$D47,H$1:H46)+SUMIF($F48:$F$490,$D47,H48:H$490),0))*'[1]Processer - data'!H47,"")*IF($C47&lt;&gt;"",IF($F47="Halm",Landbrug!C$16*Landbrug!C$17,IF(LEFT($D47,5)="Areal", IF($G47="Ton",Landbrug!C$18,1),1)),1)*IF($F47="Grøntsager",IF($A47="Grøntsager i drivhus",Landbrug!C$51,1-Landbrug!C$51),1)</f>
        <v>#REF!</v>
      </c>
      <c r="I47" s="303" t="e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input'!$A$3:$A$230,$A$1)),IF(VLOOKUP($A47,[1]!Table1[#All],2,FALSE)="Resultat",SUMIF($F$1:$F46,$D47,I$1:I46)+SUMIF($F48:$F$490,$D47,I48:I$490),0))*'[1]Processer - data'!I47,"")*IF($C47&lt;&gt;"",IF($F47="Halm",Landbrug!D$16*Landbrug!D$17,IF(LEFT($D47,5)="Areal", IF($G47="Ton",Landbrug!D$18,1),1)),1)*IF($F47="Grøntsager",IF($A47="Grøntsager i drivhus",Landbrug!D$51,1-Landbrug!D$51),1)</f>
        <v>#REF!</v>
      </c>
      <c r="J47" s="304" t="e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input'!$A$3:$A$230,$A$1)),IF(VLOOKUP($A47,[1]!Table1[#All],2,FALSE)="Resultat",SUMIF($F$1:$F46,$D47,J$1:J46)+SUMIF($F48:$F$490,$D47,J48:J$490),0))*'[1]Processer - data'!J47,"")*IF($C47&lt;&gt;"",IF($F47="Halm",Landbrug!E$16*Landbrug!E$17,IF(LEFT($D47,5)="Areal", IF($G47="Ton",Landbrug!E$18,1),1)),1)*IF($F47="Grøntsager",IF($A47="Grøntsager i drivhus",Landbrug!E$51,1-Landbrug!E$51),1)</f>
        <v>#REF!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Areal-skovtype3-40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302" t="e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input'!$A$3:$A$230,$A$1)),IF(VLOOKUP($A48,[1]!Table1[#All],2,FALSE)="Resultat",SUMIF($F$1:$F47,$D48,H$1:H47)+SUMIF($F49:$F$490,$D48,H49:H$490),0))*'[1]Processer - data'!H48,"")*IF($C48&lt;&gt;"",IF($F48="Halm",Landbrug!C$16*Landbrug!C$17,IF(LEFT($D48,5)="Areal", IF($G48="Ton",Landbrug!C$18,1),1)),1)*IF($F48="Grøntsager",IF($A48="Grøntsager i drivhus",Landbrug!C$51,1-Landbrug!C$51),1)</f>
        <v>#REF!</v>
      </c>
      <c r="I48" s="303" t="e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input'!$A$3:$A$230,$A$1)),IF(VLOOKUP($A48,[1]!Table1[#All],2,FALSE)="Resultat",SUMIF($F$1:$F47,$D48,I$1:I47)+SUMIF($F49:$F$490,$D48,I49:I$490),0))*'[1]Processer - data'!I48,"")*IF($C48&lt;&gt;"",IF($F48="Halm",Landbrug!D$16*Landbrug!D$17,IF(LEFT($D48,5)="Areal", IF($G48="Ton",Landbrug!D$18,1),1)),1)*IF($F48="Grøntsager",IF($A48="Grøntsager i drivhus",Landbrug!D$51,1-Landbrug!D$51),1)</f>
        <v>#REF!</v>
      </c>
      <c r="J48" s="304" t="e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input'!$A$3:$A$230,$A$1)),IF(VLOOKUP($A48,[1]!Table1[#All],2,FALSE)="Resultat",SUMIF($F$1:$F47,$D48,J$1:J47)+SUMIF($F49:$F$490,$D48,J49:J$490),0))*'[1]Processer - data'!J48,"")*IF($C48&lt;&gt;"",IF($F48="Halm",Landbrug!E$16*Landbrug!E$17,IF(LEFT($D48,5)="Areal", IF($G48="Ton",Landbrug!E$18,1),1)),1)*IF($F48="Grøntsager",IF($A48="Grøntsager i drivhus",Landbrug!E$51,1-Landbrug!E$51),1)</f>
        <v>#REF!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Areal-skovtype3-40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302" t="e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input'!$A$3:$A$230,$A$1)),IF(VLOOKUP($A49,[1]!Table1[#All],2,FALSE)="Resultat",SUMIF($F$1:$F48,$D49,H$1:H48)+SUMIF($F50:$F$490,$D49,H50:H$490),0))*'[1]Processer - data'!H49,"")*IF($C49&lt;&gt;"",IF($F49="Halm",Landbrug!C$16*Landbrug!C$17,IF(LEFT($D49,5)="Areal", IF($G49="Ton",Landbrug!C$18,1),1)),1)*IF($F49="Grøntsager",IF($A49="Grøntsager i drivhus",Landbrug!C$51,1-Landbrug!C$51),1)</f>
        <v>#REF!</v>
      </c>
      <c r="I49" s="303" t="e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input'!$A$3:$A$230,$A$1)),IF(VLOOKUP($A49,[1]!Table1[#All],2,FALSE)="Resultat",SUMIF($F$1:$F48,$D49,I$1:I48)+SUMIF($F50:$F$490,$D49,I50:I$490),0))*'[1]Processer - data'!I49,"")*IF($C49&lt;&gt;"",IF($F49="Halm",Landbrug!D$16*Landbrug!D$17,IF(LEFT($D49,5)="Areal", IF($G49="Ton",Landbrug!D$18,1),1)),1)*IF($F49="Grøntsager",IF($A49="Grøntsager i drivhus",Landbrug!D$51,1-Landbrug!D$51),1)</f>
        <v>#REF!</v>
      </c>
      <c r="J49" s="304" t="e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input'!$A$3:$A$230,$A$1)),IF(VLOOKUP($A49,[1]!Table1[#All],2,FALSE)="Resultat",SUMIF($F$1:$F48,$D49,J$1:J48)+SUMIF($F50:$F$490,$D49,J50:J$490),0))*'[1]Processer - data'!J49,"")*IF($C49&lt;&gt;"",IF($F49="Halm",Landbrug!E$16*Landbrug!E$17,IF(LEFT($D49,5)="Areal", IF($G49="Ton",Landbrug!E$18,1),1)),1)*IF($F49="Grøntsager",IF($A49="Grøntsager i drivhus",Landbrug!E$51,1-Landbrug!E$51),1)</f>
        <v>#REF!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Skovtype4</v>
      </c>
      <c r="D50" t="str">
        <f>IF('[1]Processer - data'!D50&lt;&gt;"",'[1]Processer - data'!D50,"")</f>
        <v>Areal-skovtype4-10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Træer</v>
      </c>
      <c r="G50" t="str">
        <f>IF('[1]Processer - data'!G50&lt;&gt;"",'[1]Processer - data'!G50,"")</f>
        <v>m3</v>
      </c>
      <c r="H50" s="302" t="e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input'!$A$3:$A$230,$A$1)),IF(VLOOKUP($A50,[1]!Table1[#All],2,FALSE)="Resultat",SUMIF($F$1:$F49,$D50,H$1:H49)+SUMIF($F51:$F$490,$D50,H51:H$490),0))*'[1]Processer - data'!H50,"")*IF($C50&lt;&gt;"",IF($F50="Halm",Landbrug!C$16*Landbrug!C$17,IF(LEFT($D50,5)="Areal", IF($G50="Ton",Landbrug!C$18,1),1)),1)*IF($F50="Grøntsager",IF($A50="Grøntsager i drivhus",Landbrug!C$51,1-Landbrug!C$51),1)</f>
        <v>#REF!</v>
      </c>
      <c r="I50" s="303" t="e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input'!$A$3:$A$230,$A$1)),IF(VLOOKUP($A50,[1]!Table1[#All],2,FALSE)="Resultat",SUMIF($F$1:$F49,$D50,I$1:I49)+SUMIF($F51:$F$490,$D50,I51:I$490),0))*'[1]Processer - data'!I50,"")*IF($C50&lt;&gt;"",IF($F50="Halm",Landbrug!D$16*Landbrug!D$17,IF(LEFT($D50,5)="Areal", IF($G50="Ton",Landbrug!D$18,1),1)),1)*IF($F50="Grøntsager",IF($A50="Grøntsager i drivhus",Landbrug!D$51,1-Landbrug!D$51),1)</f>
        <v>#REF!</v>
      </c>
      <c r="J50" s="304" t="e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input'!$A$3:$A$230,$A$1)),IF(VLOOKUP($A50,[1]!Table1[#All],2,FALSE)="Resultat",SUMIF($F$1:$F49,$D50,J$1:J49)+SUMIF($F51:$F$490,$D50,J51:J$490),0))*'[1]Processer - data'!J50,"")*IF($C50&lt;&gt;"",IF($F50="Halm",Landbrug!E$16*Landbrug!E$17,IF(LEFT($D50,5)="Areal", IF($G50="Ton",Landbrug!E$18,1),1)),1)*IF($F50="Grøntsager",IF($A50="Grøntsager i drivhus",Landbrug!E$51,1-Landbrug!E$51),1)</f>
        <v>#REF!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Skovtype4</v>
      </c>
      <c r="D51" t="str">
        <f>IF('[1]Processer - data'!D51&lt;&gt;"",'[1]Processer - data'!D51,"")</f>
        <v>Areal-skovtype4-10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 til energi</v>
      </c>
      <c r="G51" t="str">
        <f>IF('[1]Processer - data'!G51&lt;&gt;"",'[1]Processer - data'!G51,"")</f>
        <v>m3</v>
      </c>
      <c r="H51" s="302" t="e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input'!$A$3:$A$230,$A$1)),IF(VLOOKUP($A51,[1]!Table1[#All],2,FALSE)="Resultat",SUMIF($F$1:$F50,$D51,H$1:H50)+SUMIF($F52:$F$490,$D51,H52:H$490),0))*'[1]Processer - data'!H51,"")*IF($C51&lt;&gt;"",IF($F51="Halm",Landbrug!C$16*Landbrug!C$17,IF(LEFT($D51,5)="Areal", IF($G51="Ton",Landbrug!C$18,1),1)),1)*IF($F51="Grøntsager",IF($A51="Grøntsager i drivhus",Landbrug!C$51,1-Landbrug!C$51),1)</f>
        <v>#REF!</v>
      </c>
      <c r="I51" s="303" t="e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input'!$A$3:$A$230,$A$1)),IF(VLOOKUP($A51,[1]!Table1[#All],2,FALSE)="Resultat",SUMIF($F$1:$F50,$D51,I$1:I50)+SUMIF($F52:$F$490,$D51,I52:I$490),0))*'[1]Processer - data'!I51,"")*IF($C51&lt;&gt;"",IF($F51="Halm",Landbrug!D$16*Landbrug!D$17,IF(LEFT($D51,5)="Areal", IF($G51="Ton",Landbrug!D$18,1),1)),1)*IF($F51="Grøntsager",IF($A51="Grøntsager i drivhus",Landbrug!D$51,1-Landbrug!D$51),1)</f>
        <v>#REF!</v>
      </c>
      <c r="J51" s="304" t="e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input'!$A$3:$A$230,$A$1)),IF(VLOOKUP($A51,[1]!Table1[#All],2,FALSE)="Resultat",SUMIF($F$1:$F50,$D51,J$1:J50)+SUMIF($F52:$F$490,$D51,J52:J$490),0))*'[1]Processer - data'!J51,"")*IF($C51&lt;&gt;"",IF($F51="Halm",Landbrug!E$16*Landbrug!E$17,IF(LEFT($D51,5)="Areal", IF($G51="Ton",Landbrug!E$18,1),1)),1)*IF($F51="Grøntsager",IF($A51="Grøntsager i drivhus",Landbrug!E$51,1-Landbrug!E$51),1)</f>
        <v>#REF!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Skovtype4</v>
      </c>
      <c r="D52" t="str">
        <f>IF('[1]Processer - data'!D52&lt;&gt;"",'[1]Processer - data'!D52,"")</f>
        <v>Areal-skovtype4-10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CO2 - atmosfære</v>
      </c>
      <c r="G52" t="str">
        <f>IF('[1]Processer - data'!G52&lt;&gt;"",'[1]Processer - data'!G52,"")</f>
        <v>t CO2-ækvivalenter</v>
      </c>
      <c r="H52" s="302" t="e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input'!$A$3:$A$230,$A$1)),IF(VLOOKUP($A52,[1]!Table1[#All],2,FALSE)="Resultat",SUMIF($F$1:$F51,$D52,H$1:H51)+SUMIF($F53:$F$490,$D52,H53:H$490),0))*'[1]Processer - data'!H52,"")*IF($C52&lt;&gt;"",IF($F52="Halm",Landbrug!C$16*Landbrug!C$17,IF(LEFT($D52,5)="Areal", IF($G52="Ton",Landbrug!C$18,1),1)),1)*IF($F52="Grøntsager",IF($A52="Grøntsager i drivhus",Landbrug!C$51,1-Landbrug!C$51),1)</f>
        <v>#REF!</v>
      </c>
      <c r="I52" s="303" t="e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input'!$A$3:$A$230,$A$1)),IF(VLOOKUP($A52,[1]!Table1[#All],2,FALSE)="Resultat",SUMIF($F$1:$F51,$D52,I$1:I51)+SUMIF($F53:$F$490,$D52,I53:I$490),0))*'[1]Processer - data'!I52,"")*IF($C52&lt;&gt;"",IF($F52="Halm",Landbrug!D$16*Landbrug!D$17,IF(LEFT($D52,5)="Areal", IF($G52="Ton",Landbrug!D$18,1),1)),1)*IF($F52="Grøntsager",IF($A52="Grøntsager i drivhus",Landbrug!D$51,1-Landbrug!D$51),1)</f>
        <v>#REF!</v>
      </c>
      <c r="J52" s="304" t="e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input'!$A$3:$A$230,$A$1)),IF(VLOOKUP($A52,[1]!Table1[#All],2,FALSE)="Resultat",SUMIF($F$1:$F51,$D52,J$1:J51)+SUMIF($F53:$F$490,$D52,J53:J$490),0))*'[1]Processer - data'!J52,"")*IF($C52&lt;&gt;"",IF($F52="Halm",Landbrug!E$16*Landbrug!E$17,IF(LEFT($D52,5)="Areal", IF($G52="Ton",Landbrug!E$18,1),1)),1)*IF($F52="Grøntsager",IF($A52="Grøntsager i drivhus",Landbrug!E$51,1-Landbrug!E$51),1)</f>
        <v>#REF!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Skovtype4</v>
      </c>
      <c r="D53" t="str">
        <f>IF('[1]Processer - data'!D53&lt;&gt;"",'[1]Processer - data'!D53,"")</f>
        <v>Areal-skovtype4-20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Træer</v>
      </c>
      <c r="G53" t="str">
        <f>IF('[1]Processer - data'!G53&lt;&gt;"",'[1]Processer - data'!G53,"")</f>
        <v>m3</v>
      </c>
      <c r="H53" s="302" t="e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input'!$A$3:$A$230,$A$1)),IF(VLOOKUP($A53,[1]!Table1[#All],2,FALSE)="Resultat",SUMIF($F$1:$F52,$D53,H$1:H52)+SUMIF($F54:$F$490,$D53,H54:H$490),0))*'[1]Processer - data'!H53,"")*IF($C53&lt;&gt;"",IF($F53="Halm",Landbrug!C$16*Landbrug!C$17,IF(LEFT($D53,5)="Areal", IF($G53="Ton",Landbrug!C$18,1),1)),1)*IF($F53="Grøntsager",IF($A53="Grøntsager i drivhus",Landbrug!C$51,1-Landbrug!C$51),1)</f>
        <v>#REF!</v>
      </c>
      <c r="I53" s="303" t="e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input'!$A$3:$A$230,$A$1)),IF(VLOOKUP($A53,[1]!Table1[#All],2,FALSE)="Resultat",SUMIF($F$1:$F52,$D53,I$1:I52)+SUMIF($F54:$F$490,$D53,I54:I$490),0))*'[1]Processer - data'!I53,"")*IF($C53&lt;&gt;"",IF($F53="Halm",Landbrug!D$16*Landbrug!D$17,IF(LEFT($D53,5)="Areal", IF($G53="Ton",Landbrug!D$18,1),1)),1)*IF($F53="Grøntsager",IF($A53="Grøntsager i drivhus",Landbrug!D$51,1-Landbrug!D$51),1)</f>
        <v>#REF!</v>
      </c>
      <c r="J53" s="304" t="e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input'!$A$3:$A$230,$A$1)),IF(VLOOKUP($A53,[1]!Table1[#All],2,FALSE)="Resultat",SUMIF($F$1:$F52,$D53,J$1:J52)+SUMIF($F54:$F$490,$D53,J54:J$490),0))*'[1]Processer - data'!J53,"")*IF($C53&lt;&gt;"",IF($F53="Halm",Landbrug!E$16*Landbrug!E$17,IF(LEFT($D53,5)="Areal", IF($G53="Ton",Landbrug!E$18,1),1)),1)*IF($F53="Grøntsager",IF($A53="Grøntsager i drivhus",Landbrug!E$51,1-Landbrug!E$51),1)</f>
        <v>#REF!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Skovtype4</v>
      </c>
      <c r="D54" t="str">
        <f>IF('[1]Processer - data'!D54&lt;&gt;"",'[1]Processer - data'!D54,"")</f>
        <v>Areal-skovtype4-20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Træ til energi</v>
      </c>
      <c r="G54" t="str">
        <f>IF('[1]Processer - data'!G54&lt;&gt;"",'[1]Processer - data'!G54,"")</f>
        <v>m3</v>
      </c>
      <c r="H54" s="302" t="e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input'!$A$3:$A$230,$A$1)),IF(VLOOKUP($A54,[1]!Table1[#All],2,FALSE)="Resultat",SUMIF($F$1:$F53,$D54,H$1:H53)+SUMIF($F55:$F$490,$D54,H55:H$490),0))*'[1]Processer - data'!H54,"")*IF($C54&lt;&gt;"",IF($F54="Halm",Landbrug!C$16*Landbrug!C$17,IF(LEFT($D54,5)="Areal", IF($G54="Ton",Landbrug!C$18,1),1)),1)*IF($F54="Grøntsager",IF($A54="Grøntsager i drivhus",Landbrug!C$51,1-Landbrug!C$51),1)</f>
        <v>#REF!</v>
      </c>
      <c r="I54" s="303" t="e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input'!$A$3:$A$230,$A$1)),IF(VLOOKUP($A54,[1]!Table1[#All],2,FALSE)="Resultat",SUMIF($F$1:$F53,$D54,I$1:I53)+SUMIF($F55:$F$490,$D54,I55:I$490),0))*'[1]Processer - data'!I54,"")*IF($C54&lt;&gt;"",IF($F54="Halm",Landbrug!D$16*Landbrug!D$17,IF(LEFT($D54,5)="Areal", IF($G54="Ton",Landbrug!D$18,1),1)),1)*IF($F54="Grøntsager",IF($A54="Grøntsager i drivhus",Landbrug!D$51,1-Landbrug!D$51),1)</f>
        <v>#REF!</v>
      </c>
      <c r="J54" s="304" t="e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input'!$A$3:$A$230,$A$1)),IF(VLOOKUP($A54,[1]!Table1[#All],2,FALSE)="Resultat",SUMIF($F$1:$F53,$D54,J$1:J53)+SUMIF($F55:$F$490,$D54,J55:J$490),0))*'[1]Processer - data'!J54,"")*IF($C54&lt;&gt;"",IF($F54="Halm",Landbrug!E$16*Landbrug!E$17,IF(LEFT($D54,5)="Areal", IF($G54="Ton",Landbrug!E$18,1),1)),1)*IF($F54="Grøntsager",IF($A54="Grøntsager i drivhus",Landbrug!E$51,1-Landbrug!E$51),1)</f>
        <v>#REF!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Skovtype4</v>
      </c>
      <c r="D55" t="str">
        <f>IF('[1]Processer - data'!D55&lt;&gt;"",'[1]Processer - data'!D55,"")</f>
        <v>Areal-skovtype4-20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CO2 - atmosfære</v>
      </c>
      <c r="G55" t="str">
        <f>IF('[1]Processer - data'!G55&lt;&gt;"",'[1]Processer - data'!G55,"")</f>
        <v>t CO2-ækvivalenter</v>
      </c>
      <c r="H55" s="302" t="e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input'!$A$3:$A$230,$A$1)),IF(VLOOKUP($A55,[1]!Table1[#All],2,FALSE)="Resultat",SUMIF($F$1:$F54,$D55,H$1:H54)+SUMIF($F56:$F$490,$D55,H56:H$490),0))*'[1]Processer - data'!H55,"")*IF($C55&lt;&gt;"",IF($F55="Halm",Landbrug!C$16*Landbrug!C$17,IF(LEFT($D55,5)="Areal", IF($G55="Ton",Landbrug!C$18,1),1)),1)*IF($F55="Grøntsager",IF($A55="Grøntsager i drivhus",Landbrug!C$51,1-Landbrug!C$51),1)</f>
        <v>#REF!</v>
      </c>
      <c r="I55" s="303" t="e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input'!$A$3:$A$230,$A$1)),IF(VLOOKUP($A55,[1]!Table1[#All],2,FALSE)="Resultat",SUMIF($F$1:$F54,$D55,I$1:I54)+SUMIF($F56:$F$490,$D55,I56:I$490),0))*'[1]Processer - data'!I55,"")*IF($C55&lt;&gt;"",IF($F55="Halm",Landbrug!D$16*Landbrug!D$17,IF(LEFT($D55,5)="Areal", IF($G55="Ton",Landbrug!D$18,1),1)),1)*IF($F55="Grøntsager",IF($A55="Grøntsager i drivhus",Landbrug!D$51,1-Landbrug!D$51),1)</f>
        <v>#REF!</v>
      </c>
      <c r="J55" s="304" t="e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input'!$A$3:$A$230,$A$1)),IF(VLOOKUP($A55,[1]!Table1[#All],2,FALSE)="Resultat",SUMIF($F$1:$F54,$D55,J$1:J54)+SUMIF($F56:$F$490,$D55,J56:J$490),0))*'[1]Processer - data'!J55,"")*IF($C55&lt;&gt;"",IF($F55="Halm",Landbrug!E$16*Landbrug!E$17,IF(LEFT($D55,5)="Areal", IF($G55="Ton",Landbrug!E$18,1),1)),1)*IF($F55="Grøntsager",IF($A55="Grøntsager i drivhus",Landbrug!E$51,1-Landbrug!E$51),1)</f>
        <v>#REF!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Skovtype4</v>
      </c>
      <c r="D56" t="str">
        <f>IF('[1]Processer - data'!D56&lt;&gt;"",'[1]Processer - data'!D56,"")</f>
        <v>Areal-skovtype4-30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Træer</v>
      </c>
      <c r="G56" t="str">
        <f>IF('[1]Processer - data'!G56&lt;&gt;"",'[1]Processer - data'!G56,"")</f>
        <v>m3</v>
      </c>
      <c r="H56" s="302" t="e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input'!$A$3:$A$230,$A$1)),IF(VLOOKUP($A56,[1]!Table1[#All],2,FALSE)="Resultat",SUMIF($F$1:$F55,$D56,H$1:H55)+SUMIF($F57:$F$490,$D56,H57:H$490),0))*'[1]Processer - data'!H56,"")*IF($C56&lt;&gt;"",IF($F56="Halm",Landbrug!C$16*Landbrug!C$17,IF(LEFT($D56,5)="Areal", IF($G56="Ton",Landbrug!C$18,1),1)),1)*IF($F56="Grøntsager",IF($A56="Grøntsager i drivhus",Landbrug!C$51,1-Landbrug!C$51),1)</f>
        <v>#REF!</v>
      </c>
      <c r="I56" s="303" t="e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input'!$A$3:$A$230,$A$1)),IF(VLOOKUP($A56,[1]!Table1[#All],2,FALSE)="Resultat",SUMIF($F$1:$F55,$D56,I$1:I55)+SUMIF($F57:$F$490,$D56,I57:I$490),0))*'[1]Processer - data'!I56,"")*IF($C56&lt;&gt;"",IF($F56="Halm",Landbrug!D$16*Landbrug!D$17,IF(LEFT($D56,5)="Areal", IF($G56="Ton",Landbrug!D$18,1),1)),1)*IF($F56="Grøntsager",IF($A56="Grøntsager i drivhus",Landbrug!D$51,1-Landbrug!D$51),1)</f>
        <v>#REF!</v>
      </c>
      <c r="J56" s="304" t="e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input'!$A$3:$A$230,$A$1)),IF(VLOOKUP($A56,[1]!Table1[#All],2,FALSE)="Resultat",SUMIF($F$1:$F55,$D56,J$1:J55)+SUMIF($F57:$F$490,$D56,J57:J$490),0))*'[1]Processer - data'!J56,"")*IF($C56&lt;&gt;"",IF($F56="Halm",Landbrug!E$16*Landbrug!E$17,IF(LEFT($D56,5)="Areal", IF($G56="Ton",Landbrug!E$18,1),1)),1)*IF($F56="Grøntsager",IF($A56="Grøntsager i drivhus",Landbrug!E$51,1-Landbrug!E$51),1)</f>
        <v>#REF!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Skovtype4</v>
      </c>
      <c r="D57" t="str">
        <f>IF('[1]Processer - data'!D57&lt;&gt;"",'[1]Processer - data'!D57,"")</f>
        <v>Areal-skovtype4-30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Træ til energi</v>
      </c>
      <c r="G57" t="str">
        <f>IF('[1]Processer - data'!G57&lt;&gt;"",'[1]Processer - data'!G57,"")</f>
        <v>m3</v>
      </c>
      <c r="H57" s="302" t="e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input'!$A$3:$A$230,$A$1)),IF(VLOOKUP($A57,[1]!Table1[#All],2,FALSE)="Resultat",SUMIF($F$1:$F56,$D57,H$1:H56)+SUMIF($F58:$F$490,$D57,H58:H$490),0))*'[1]Processer - data'!H57,"")*IF($C57&lt;&gt;"",IF($F57="Halm",Landbrug!C$16*Landbrug!C$17,IF(LEFT($D57,5)="Areal", IF($G57="Ton",Landbrug!C$18,1),1)),1)*IF($F57="Grøntsager",IF($A57="Grøntsager i drivhus",Landbrug!C$51,1-Landbrug!C$51),1)</f>
        <v>#REF!</v>
      </c>
      <c r="I57" s="303" t="e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input'!$A$3:$A$230,$A$1)),IF(VLOOKUP($A57,[1]!Table1[#All],2,FALSE)="Resultat",SUMIF($F$1:$F56,$D57,I$1:I56)+SUMIF($F58:$F$490,$D57,I58:I$490),0))*'[1]Processer - data'!I57,"")*IF($C57&lt;&gt;"",IF($F57="Halm",Landbrug!D$16*Landbrug!D$17,IF(LEFT($D57,5)="Areal", IF($G57="Ton",Landbrug!D$18,1),1)),1)*IF($F57="Grøntsager",IF($A57="Grøntsager i drivhus",Landbrug!D$51,1-Landbrug!D$51),1)</f>
        <v>#REF!</v>
      </c>
      <c r="J57" s="304" t="e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input'!$A$3:$A$230,$A$1)),IF(VLOOKUP($A57,[1]!Table1[#All],2,FALSE)="Resultat",SUMIF($F$1:$F56,$D57,J$1:J56)+SUMIF($F58:$F$490,$D57,J58:J$490),0))*'[1]Processer - data'!J57,"")*IF($C57&lt;&gt;"",IF($F57="Halm",Landbrug!E$16*Landbrug!E$17,IF(LEFT($D57,5)="Areal", IF($G57="Ton",Landbrug!E$18,1),1)),1)*IF($F57="Grøntsager",IF($A57="Grøntsager i drivhus",Landbrug!E$51,1-Landbrug!E$51),1)</f>
        <v>#REF!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Skovtype4</v>
      </c>
      <c r="D58" t="str">
        <f>IF('[1]Processer - data'!D58&lt;&gt;"",'[1]Processer - data'!D58,"")</f>
        <v>Areal-skovtype4-30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atmosfære</v>
      </c>
      <c r="G58" t="str">
        <f>IF('[1]Processer - data'!G58&lt;&gt;"",'[1]Processer - data'!G58,"")</f>
        <v>t CO2-ækvivalenter</v>
      </c>
      <c r="H58" s="302" t="e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input'!$A$3:$A$230,$A$1)),IF(VLOOKUP($A58,[1]!Table1[#All],2,FALSE)="Resultat",SUMIF($F$1:$F57,$D58,H$1:H57)+SUMIF($F59:$F$490,$D58,H59:H$490),0))*'[1]Processer - data'!H58,"")*IF($C58&lt;&gt;"",IF($F58="Halm",Landbrug!C$16*Landbrug!C$17,IF(LEFT($D58,5)="Areal", IF($G58="Ton",Landbrug!C$18,1),1)),1)*IF($F58="Grøntsager",IF($A58="Grøntsager i drivhus",Landbrug!C$51,1-Landbrug!C$51),1)</f>
        <v>#REF!</v>
      </c>
      <c r="I58" s="303" t="e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input'!$A$3:$A$230,$A$1)),IF(VLOOKUP($A58,[1]!Table1[#All],2,FALSE)="Resultat",SUMIF($F$1:$F57,$D58,I$1:I57)+SUMIF($F59:$F$490,$D58,I59:I$490),0))*'[1]Processer - data'!I58,"")*IF($C58&lt;&gt;"",IF($F58="Halm",Landbrug!D$16*Landbrug!D$17,IF(LEFT($D58,5)="Areal", IF($G58="Ton",Landbrug!D$18,1),1)),1)*IF($F58="Grøntsager",IF($A58="Grøntsager i drivhus",Landbrug!D$51,1-Landbrug!D$51),1)</f>
        <v>#REF!</v>
      </c>
      <c r="J58" s="304" t="e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input'!$A$3:$A$230,$A$1)),IF(VLOOKUP($A58,[1]!Table1[#All],2,FALSE)="Resultat",SUMIF($F$1:$F57,$D58,J$1:J57)+SUMIF($F59:$F$490,$D58,J59:J$490),0))*'[1]Processer - data'!J58,"")*IF($C58&lt;&gt;"",IF($F58="Halm",Landbrug!E$16*Landbrug!E$17,IF(LEFT($D58,5)="Areal", IF($G58="Ton",Landbrug!E$18,1),1)),1)*IF($F58="Grøntsager",IF($A58="Grøntsager i drivhus",Landbrug!E$51,1-Landbrug!E$51),1)</f>
        <v>#REF!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Skovtype4</v>
      </c>
      <c r="D59" t="str">
        <f>IF('[1]Processer - data'!D59&lt;&gt;"",'[1]Processer - data'!D59,"")</f>
        <v>Areal-skovtype4-40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302" t="e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input'!$A$3:$A$230,$A$1)),IF(VLOOKUP($A59,[1]!Table1[#All],2,FALSE)="Resultat",SUMIF($F$1:$F58,$D59,H$1:H58)+SUMIF($F60:$F$490,$D59,H60:H$490),0))*'[1]Processer - data'!H59,"")*IF($C59&lt;&gt;"",IF($F59="Halm",Landbrug!C$16*Landbrug!C$17,IF(LEFT($D59,5)="Areal", IF($G59="Ton",Landbrug!C$18,1),1)),1)*IF($F59="Grøntsager",IF($A59="Grøntsager i drivhus",Landbrug!C$51,1-Landbrug!C$51),1)</f>
        <v>#REF!</v>
      </c>
      <c r="I59" s="303" t="e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input'!$A$3:$A$230,$A$1)),IF(VLOOKUP($A59,[1]!Table1[#All],2,FALSE)="Resultat",SUMIF($F$1:$F58,$D59,I$1:I58)+SUMIF($F60:$F$490,$D59,I60:I$490),0))*'[1]Processer - data'!I59,"")*IF($C59&lt;&gt;"",IF($F59="Halm",Landbrug!D$16*Landbrug!D$17,IF(LEFT($D59,5)="Areal", IF($G59="Ton",Landbrug!D$18,1),1)),1)*IF($F59="Grøntsager",IF($A59="Grøntsager i drivhus",Landbrug!D$51,1-Landbrug!D$51),1)</f>
        <v>#REF!</v>
      </c>
      <c r="J59" s="304" t="e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input'!$A$3:$A$230,$A$1)),IF(VLOOKUP($A59,[1]!Table1[#All],2,FALSE)="Resultat",SUMIF($F$1:$F58,$D59,J$1:J58)+SUMIF($F60:$F$490,$D59,J60:J$490),0))*'[1]Processer - data'!J59,"")*IF($C59&lt;&gt;"",IF($F59="Halm",Landbrug!E$16*Landbrug!E$17,IF(LEFT($D59,5)="Areal", IF($G59="Ton",Landbrug!E$18,1),1)),1)*IF($F59="Grøntsager",IF($A59="Grøntsager i drivhus",Landbrug!E$51,1-Landbrug!E$51),1)</f>
        <v>#REF!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Skovtype4</v>
      </c>
      <c r="D60" t="str">
        <f>IF('[1]Processer - data'!D60&lt;&gt;"",'[1]Processer - data'!D60,"")</f>
        <v>Areal-skovtype4-40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302" t="e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input'!$A$3:$A$230,$A$1)),IF(VLOOKUP($A60,[1]!Table1[#All],2,FALSE)="Resultat",SUMIF($F$1:$F59,$D60,H$1:H59)+SUMIF($F61:$F$490,$D60,H61:H$490),0))*'[1]Processer - data'!H60,"")*IF($C60&lt;&gt;"",IF($F60="Halm",Landbrug!C$16*Landbrug!C$17,IF(LEFT($D60,5)="Areal", IF($G60="Ton",Landbrug!C$18,1),1)),1)*IF($F60="Grøntsager",IF($A60="Grøntsager i drivhus",Landbrug!C$51,1-Landbrug!C$51),1)</f>
        <v>#REF!</v>
      </c>
      <c r="I60" s="303" t="e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input'!$A$3:$A$230,$A$1)),IF(VLOOKUP($A60,[1]!Table1[#All],2,FALSE)="Resultat",SUMIF($F$1:$F59,$D60,I$1:I59)+SUMIF($F61:$F$490,$D60,I61:I$490),0))*'[1]Processer - data'!I60,"")*IF($C60&lt;&gt;"",IF($F60="Halm",Landbrug!D$16*Landbrug!D$17,IF(LEFT($D60,5)="Areal", IF($G60="Ton",Landbrug!D$18,1),1)),1)*IF($F60="Grøntsager",IF($A60="Grøntsager i drivhus",Landbrug!D$51,1-Landbrug!D$51),1)</f>
        <v>#REF!</v>
      </c>
      <c r="J60" s="304" t="e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input'!$A$3:$A$230,$A$1)),IF(VLOOKUP($A60,[1]!Table1[#All],2,FALSE)="Resultat",SUMIF($F$1:$F59,$D60,J$1:J59)+SUMIF($F61:$F$490,$D60,J61:J$490),0))*'[1]Processer - data'!J60,"")*IF($C60&lt;&gt;"",IF($F60="Halm",Landbrug!E$16*Landbrug!E$17,IF(LEFT($D60,5)="Areal", IF($G60="Ton",Landbrug!E$18,1),1)),1)*IF($F60="Grøntsager",IF($A60="Grøntsager i drivhus",Landbrug!E$51,1-Landbrug!E$51),1)</f>
        <v>#REF!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Skovtype4</v>
      </c>
      <c r="D61" t="str">
        <f>IF('[1]Processer - data'!D61&lt;&gt;"",'[1]Processer - data'!D61,"")</f>
        <v>Areal-skovtype4-40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302" t="e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input'!$A$3:$A$230,$A$1)),IF(VLOOKUP($A61,[1]!Table1[#All],2,FALSE)="Resultat",SUMIF($F$1:$F60,$D61,H$1:H60)+SUMIF($F62:$F$490,$D61,H62:H$490),0))*'[1]Processer - data'!H61,"")*IF($C61&lt;&gt;"",IF($F61="Halm",Landbrug!C$16*Landbrug!C$17,IF(LEFT($D61,5)="Areal", IF($G61="Ton",Landbrug!C$18,1),1)),1)*IF($F61="Grøntsager",IF($A61="Grøntsager i drivhus",Landbrug!C$51,1-Landbrug!C$51),1)</f>
        <v>#REF!</v>
      </c>
      <c r="I61" s="303" t="e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input'!$A$3:$A$230,$A$1)),IF(VLOOKUP($A61,[1]!Table1[#All],2,FALSE)="Resultat",SUMIF($F$1:$F60,$D61,I$1:I60)+SUMIF($F62:$F$490,$D61,I62:I$490),0))*'[1]Processer - data'!I61,"")*IF($C61&lt;&gt;"",IF($F61="Halm",Landbrug!D$16*Landbrug!D$17,IF(LEFT($D61,5)="Areal", IF($G61="Ton",Landbrug!D$18,1),1)),1)*IF($F61="Grøntsager",IF($A61="Grøntsager i drivhus",Landbrug!D$51,1-Landbrug!D$51),1)</f>
        <v>#REF!</v>
      </c>
      <c r="J61" s="304" t="e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input'!$A$3:$A$230,$A$1)),IF(VLOOKUP($A61,[1]!Table1[#All],2,FALSE)="Resultat",SUMIF($F$1:$F60,$D61,J$1:J60)+SUMIF($F62:$F$490,$D61,J62:J$490),0))*'[1]Processer - data'!J61,"")*IF($C61&lt;&gt;"",IF($F61="Halm",Landbrug!E$16*Landbrug!E$17,IF(LEFT($D61,5)="Areal", IF($G61="Ton",Landbrug!E$18,1),1)),1)*IF($F61="Grøntsager",IF($A61="Grøntsager i drivhus",Landbrug!E$51,1-Landbrug!E$51),1)</f>
        <v>#REF!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Skovtype5</v>
      </c>
      <c r="D62" t="str">
        <f>IF('[1]Processer - data'!D62&lt;&gt;"",'[1]Processer - data'!D62,"")</f>
        <v>Areal-skovtype5-10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Træer</v>
      </c>
      <c r="G62" t="str">
        <f>IF('[1]Processer - data'!G62&lt;&gt;"",'[1]Processer - data'!G62,"")</f>
        <v>m3</v>
      </c>
      <c r="H62" s="302" t="e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input'!$A$3:$A$230,$A$1)),IF(VLOOKUP($A62,[1]!Table1[#All],2,FALSE)="Resultat",SUMIF($F$1:$F61,$D62,H$1:H61)+SUMIF($F63:$F$490,$D62,H63:H$490),0))*'[1]Processer - data'!H62,"")*IF($C62&lt;&gt;"",IF($F62="Halm",Landbrug!C$16*Landbrug!C$17,IF(LEFT($D62,5)="Areal", IF($G62="Ton",Landbrug!C$18,1),1)),1)*IF($F62="Grøntsager",IF($A62="Grøntsager i drivhus",Landbrug!C$51,1-Landbrug!C$51),1)</f>
        <v>#REF!</v>
      </c>
      <c r="I62" s="303" t="e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input'!$A$3:$A$230,$A$1)),IF(VLOOKUP($A62,[1]!Table1[#All],2,FALSE)="Resultat",SUMIF($F$1:$F61,$D62,I$1:I61)+SUMIF($F63:$F$490,$D62,I63:I$490),0))*'[1]Processer - data'!I62,"")*IF($C62&lt;&gt;"",IF($F62="Halm",Landbrug!D$16*Landbrug!D$17,IF(LEFT($D62,5)="Areal", IF($G62="Ton",Landbrug!D$18,1),1)),1)*IF($F62="Grøntsager",IF($A62="Grøntsager i drivhus",Landbrug!D$51,1-Landbrug!D$51),1)</f>
        <v>#REF!</v>
      </c>
      <c r="J62" s="304" t="e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input'!$A$3:$A$230,$A$1)),IF(VLOOKUP($A62,[1]!Table1[#All],2,FALSE)="Resultat",SUMIF($F$1:$F61,$D62,J$1:J61)+SUMIF($F63:$F$490,$D62,J63:J$490),0))*'[1]Processer - data'!J62,"")*IF($C62&lt;&gt;"",IF($F62="Halm",Landbrug!E$16*Landbrug!E$17,IF(LEFT($D62,5)="Areal", IF($G62="Ton",Landbrug!E$18,1),1)),1)*IF($F62="Grøntsager",IF($A62="Grøntsager i drivhus",Landbrug!E$51,1-Landbrug!E$51),1)</f>
        <v>#REF!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Skovtype5</v>
      </c>
      <c r="D63" t="str">
        <f>IF('[1]Processer - data'!D63&lt;&gt;"",'[1]Processer - data'!D63,"")</f>
        <v>Areal-skovtype5-10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 til energi</v>
      </c>
      <c r="G63" t="str">
        <f>IF('[1]Processer - data'!G63&lt;&gt;"",'[1]Processer - data'!G63,"")</f>
        <v>m3</v>
      </c>
      <c r="H63" s="302" t="e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input'!$A$3:$A$230,$A$1)),IF(VLOOKUP($A63,[1]!Table1[#All],2,FALSE)="Resultat",SUMIF($F$1:$F62,$D63,H$1:H62)+SUMIF($F64:$F$490,$D63,H64:H$490),0))*'[1]Processer - data'!H63,"")*IF($C63&lt;&gt;"",IF($F63="Halm",Landbrug!C$16*Landbrug!C$17,IF(LEFT($D63,5)="Areal", IF($G63="Ton",Landbrug!C$18,1),1)),1)*IF($F63="Grøntsager",IF($A63="Grøntsager i drivhus",Landbrug!C$51,1-Landbrug!C$51),1)</f>
        <v>#REF!</v>
      </c>
      <c r="I63" s="303" t="e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input'!$A$3:$A$230,$A$1)),IF(VLOOKUP($A63,[1]!Table1[#All],2,FALSE)="Resultat",SUMIF($F$1:$F62,$D63,I$1:I62)+SUMIF($F64:$F$490,$D63,I64:I$490),0))*'[1]Processer - data'!I63,"")*IF($C63&lt;&gt;"",IF($F63="Halm",Landbrug!D$16*Landbrug!D$17,IF(LEFT($D63,5)="Areal", IF($G63="Ton",Landbrug!D$18,1),1)),1)*IF($F63="Grøntsager",IF($A63="Grøntsager i drivhus",Landbrug!D$51,1-Landbrug!D$51),1)</f>
        <v>#REF!</v>
      </c>
      <c r="J63" s="304" t="e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input'!$A$3:$A$230,$A$1)),IF(VLOOKUP($A63,[1]!Table1[#All],2,FALSE)="Resultat",SUMIF($F$1:$F62,$D63,J$1:J62)+SUMIF($F64:$F$490,$D63,J64:J$490),0))*'[1]Processer - data'!J63,"")*IF($C63&lt;&gt;"",IF($F63="Halm",Landbrug!E$16*Landbrug!E$17,IF(LEFT($D63,5)="Areal", IF($G63="Ton",Landbrug!E$18,1),1)),1)*IF($F63="Grøntsager",IF($A63="Grøntsager i drivhus",Landbrug!E$51,1-Landbrug!E$51),1)</f>
        <v>#REF!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Skovtype5</v>
      </c>
      <c r="D64" t="str">
        <f>IF('[1]Processer - data'!D64&lt;&gt;"",'[1]Processer - data'!D64,"")</f>
        <v>Areal-skovtype5-10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CO2 - atmosfære</v>
      </c>
      <c r="G64" t="str">
        <f>IF('[1]Processer - data'!G64&lt;&gt;"",'[1]Processer - data'!G64,"")</f>
        <v>t CO2-ækvivalenter</v>
      </c>
      <c r="H64" s="302" t="e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input'!$A$3:$A$230,$A$1)),IF(VLOOKUP($A64,[1]!Table1[#All],2,FALSE)="Resultat",SUMIF($F$1:$F63,$D64,H$1:H63)+SUMIF($F65:$F$490,$D64,H65:H$490),0))*'[1]Processer - data'!H64,"")*IF($C64&lt;&gt;"",IF($F64="Halm",Landbrug!C$16*Landbrug!C$17,IF(LEFT($D64,5)="Areal", IF($G64="Ton",Landbrug!C$18,1),1)),1)*IF($F64="Grøntsager",IF($A64="Grøntsager i drivhus",Landbrug!C$51,1-Landbrug!C$51),1)</f>
        <v>#REF!</v>
      </c>
      <c r="I64" s="303" t="e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input'!$A$3:$A$230,$A$1)),IF(VLOOKUP($A64,[1]!Table1[#All],2,FALSE)="Resultat",SUMIF($F$1:$F63,$D64,I$1:I63)+SUMIF($F65:$F$490,$D64,I65:I$490),0))*'[1]Processer - data'!I64,"")*IF($C64&lt;&gt;"",IF($F64="Halm",Landbrug!D$16*Landbrug!D$17,IF(LEFT($D64,5)="Areal", IF($G64="Ton",Landbrug!D$18,1),1)),1)*IF($F64="Grøntsager",IF($A64="Grøntsager i drivhus",Landbrug!D$51,1-Landbrug!D$51),1)</f>
        <v>#REF!</v>
      </c>
      <c r="J64" s="304" t="e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input'!$A$3:$A$230,$A$1)),IF(VLOOKUP($A64,[1]!Table1[#All],2,FALSE)="Resultat",SUMIF($F$1:$F63,$D64,J$1:J63)+SUMIF($F65:$F$490,$D64,J65:J$490),0))*'[1]Processer - data'!J64,"")*IF($C64&lt;&gt;"",IF($F64="Halm",Landbrug!E$16*Landbrug!E$17,IF(LEFT($D64,5)="Areal", IF($G64="Ton",Landbrug!E$18,1),1)),1)*IF($F64="Grøntsager",IF($A64="Grøntsager i drivhus",Landbrug!E$51,1-Landbrug!E$51),1)</f>
        <v>#REF!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Skovtype5</v>
      </c>
      <c r="D65" t="str">
        <f>IF('[1]Processer - data'!D65&lt;&gt;"",'[1]Processer - data'!D65,"")</f>
        <v>Areal-skovtype5-20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Træer</v>
      </c>
      <c r="G65" t="str">
        <f>IF('[1]Processer - data'!G65&lt;&gt;"",'[1]Processer - data'!G65,"")</f>
        <v>m3</v>
      </c>
      <c r="H65" s="302" t="e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input'!$A$3:$A$230,$A$1)),IF(VLOOKUP($A65,[1]!Table1[#All],2,FALSE)="Resultat",SUMIF($F$1:$F64,$D65,H$1:H64)+SUMIF($F66:$F$490,$D65,H66:H$490),0))*'[1]Processer - data'!H65,"")*IF($C65&lt;&gt;"",IF($F65="Halm",Landbrug!C$16*Landbrug!C$17,IF(LEFT($D65,5)="Areal", IF($G65="Ton",Landbrug!C$18,1),1)),1)*IF($F65="Grøntsager",IF($A65="Grøntsager i drivhus",Landbrug!C$51,1-Landbrug!C$51),1)</f>
        <v>#REF!</v>
      </c>
      <c r="I65" s="303" t="e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input'!$A$3:$A$230,$A$1)),IF(VLOOKUP($A65,[1]!Table1[#All],2,FALSE)="Resultat",SUMIF($F$1:$F64,$D65,I$1:I64)+SUMIF($F66:$F$490,$D65,I66:I$490),0))*'[1]Processer - data'!I65,"")*IF($C65&lt;&gt;"",IF($F65="Halm",Landbrug!D$16*Landbrug!D$17,IF(LEFT($D65,5)="Areal", IF($G65="Ton",Landbrug!D$18,1),1)),1)*IF($F65="Grøntsager",IF($A65="Grøntsager i drivhus",Landbrug!D$51,1-Landbrug!D$51),1)</f>
        <v>#REF!</v>
      </c>
      <c r="J65" s="304" t="e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input'!$A$3:$A$230,$A$1)),IF(VLOOKUP($A65,[1]!Table1[#All],2,FALSE)="Resultat",SUMIF($F$1:$F64,$D65,J$1:J64)+SUMIF($F66:$F$490,$D65,J66:J$490),0))*'[1]Processer - data'!J65,"")*IF($C65&lt;&gt;"",IF($F65="Halm",Landbrug!E$16*Landbrug!E$17,IF(LEFT($D65,5)="Areal", IF($G65="Ton",Landbrug!E$18,1),1)),1)*IF($F65="Grøntsager",IF($A65="Grøntsager i drivhus",Landbrug!E$51,1-Landbrug!E$51),1)</f>
        <v>#REF!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Skovtype5</v>
      </c>
      <c r="D66" t="str">
        <f>IF('[1]Processer - data'!D66&lt;&gt;"",'[1]Processer - data'!D66,"")</f>
        <v>Areal-skovtype5-20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Træ til energi</v>
      </c>
      <c r="G66" t="str">
        <f>IF('[1]Processer - data'!G66&lt;&gt;"",'[1]Processer - data'!G66,"")</f>
        <v>m3</v>
      </c>
      <c r="H66" s="302" t="e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input'!$A$3:$A$230,$A$1)),IF(VLOOKUP($A66,[1]!Table1[#All],2,FALSE)="Resultat",SUMIF($F$1:$F65,$D66,H$1:H65)+SUMIF($F67:$F$490,$D66,H67:H$490),0))*'[1]Processer - data'!H66,"")*IF($C66&lt;&gt;"",IF($F66="Halm",Landbrug!C$16*Landbrug!C$17,IF(LEFT($D66,5)="Areal", IF($G66="Ton",Landbrug!C$18,1),1)),1)*IF($F66="Grøntsager",IF($A66="Grøntsager i drivhus",Landbrug!C$51,1-Landbrug!C$51),1)</f>
        <v>#REF!</v>
      </c>
      <c r="I66" s="303" t="e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input'!$A$3:$A$230,$A$1)),IF(VLOOKUP($A66,[1]!Table1[#All],2,FALSE)="Resultat",SUMIF($F$1:$F65,$D66,I$1:I65)+SUMIF($F67:$F$490,$D66,I67:I$490),0))*'[1]Processer - data'!I66,"")*IF($C66&lt;&gt;"",IF($F66="Halm",Landbrug!D$16*Landbrug!D$17,IF(LEFT($D66,5)="Areal", IF($G66="Ton",Landbrug!D$18,1),1)),1)*IF($F66="Grøntsager",IF($A66="Grøntsager i drivhus",Landbrug!D$51,1-Landbrug!D$51),1)</f>
        <v>#REF!</v>
      </c>
      <c r="J66" s="304" t="e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input'!$A$3:$A$230,$A$1)),IF(VLOOKUP($A66,[1]!Table1[#All],2,FALSE)="Resultat",SUMIF($F$1:$F65,$D66,J$1:J65)+SUMIF($F67:$F$490,$D66,J67:J$490),0))*'[1]Processer - data'!J66,"")*IF($C66&lt;&gt;"",IF($F66="Halm",Landbrug!E$16*Landbrug!E$17,IF(LEFT($D66,5)="Areal", IF($G66="Ton",Landbrug!E$18,1),1)),1)*IF($F66="Grøntsager",IF($A66="Grøntsager i drivhus",Landbrug!E$51,1-Landbrug!E$51),1)</f>
        <v>#REF!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Skovtype5</v>
      </c>
      <c r="D67" t="str">
        <f>IF('[1]Processer - data'!D67&lt;&gt;"",'[1]Processer - data'!D67,"")</f>
        <v>Areal-skovtype5-20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CO2 - atmosfære</v>
      </c>
      <c r="G67" t="str">
        <f>IF('[1]Processer - data'!G67&lt;&gt;"",'[1]Processer - data'!G67,"")</f>
        <v>t CO2-ækvivalenter</v>
      </c>
      <c r="H67" s="302" t="e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input'!$A$3:$A$230,$A$1)),IF(VLOOKUP($A67,[1]!Table1[#All],2,FALSE)="Resultat",SUMIF($F$1:$F66,$D67,H$1:H66)+SUMIF($F68:$F$490,$D67,H68:H$490),0))*'[1]Processer - data'!H67,"")*IF($C67&lt;&gt;"",IF($F67="Halm",Landbrug!C$16*Landbrug!C$17,IF(LEFT($D67,5)="Areal", IF($G67="Ton",Landbrug!C$18,1),1)),1)*IF($F67="Grøntsager",IF($A67="Grøntsager i drivhus",Landbrug!C$51,1-Landbrug!C$51),1)</f>
        <v>#REF!</v>
      </c>
      <c r="I67" s="303" t="e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input'!$A$3:$A$230,$A$1)),IF(VLOOKUP($A67,[1]!Table1[#All],2,FALSE)="Resultat",SUMIF($F$1:$F66,$D67,I$1:I66)+SUMIF($F68:$F$490,$D67,I68:I$490),0))*'[1]Processer - data'!I67,"")*IF($C67&lt;&gt;"",IF($F67="Halm",Landbrug!D$16*Landbrug!D$17,IF(LEFT($D67,5)="Areal", IF($G67="Ton",Landbrug!D$18,1),1)),1)*IF($F67="Grøntsager",IF($A67="Grøntsager i drivhus",Landbrug!D$51,1-Landbrug!D$51),1)</f>
        <v>#REF!</v>
      </c>
      <c r="J67" s="304" t="e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input'!$A$3:$A$230,$A$1)),IF(VLOOKUP($A67,[1]!Table1[#All],2,FALSE)="Resultat",SUMIF($F$1:$F66,$D67,J$1:J66)+SUMIF($F68:$F$490,$D67,J68:J$490),0))*'[1]Processer - data'!J67,"")*IF($C67&lt;&gt;"",IF($F67="Halm",Landbrug!E$16*Landbrug!E$17,IF(LEFT($D67,5)="Areal", IF($G67="Ton",Landbrug!E$18,1),1)),1)*IF($F67="Grøntsager",IF($A67="Grøntsager i drivhus",Landbrug!E$51,1-Landbrug!E$51),1)</f>
        <v>#REF!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Skovtype5</v>
      </c>
      <c r="D68" t="str">
        <f>IF('[1]Processer - data'!D68&lt;&gt;"",'[1]Processer - data'!D68,"")</f>
        <v>Areal-skovtype5-30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Træer</v>
      </c>
      <c r="G68" t="str">
        <f>IF('[1]Processer - data'!G68&lt;&gt;"",'[1]Processer - data'!G68,"")</f>
        <v>m3</v>
      </c>
      <c r="H68" s="302" t="e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input'!$A$3:$A$230,$A$1)),IF(VLOOKUP($A68,[1]!Table1[#All],2,FALSE)="Resultat",SUMIF($F$1:$F67,$D68,H$1:H67)+SUMIF($F69:$F$490,$D68,H69:H$490),0))*'[1]Processer - data'!H68,"")*IF($C68&lt;&gt;"",IF($F68="Halm",Landbrug!C$16*Landbrug!C$17,IF(LEFT($D68,5)="Areal", IF($G68="Ton",Landbrug!C$18,1),1)),1)*IF($F68="Grøntsager",IF($A68="Grøntsager i drivhus",Landbrug!C$51,1-Landbrug!C$51),1)</f>
        <v>#REF!</v>
      </c>
      <c r="I68" s="303" t="e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input'!$A$3:$A$230,$A$1)),IF(VLOOKUP($A68,[1]!Table1[#All],2,FALSE)="Resultat",SUMIF($F$1:$F67,$D68,I$1:I67)+SUMIF($F69:$F$490,$D68,I69:I$490),0))*'[1]Processer - data'!I68,"")*IF($C68&lt;&gt;"",IF($F68="Halm",Landbrug!D$16*Landbrug!D$17,IF(LEFT($D68,5)="Areal", IF($G68="Ton",Landbrug!D$18,1),1)),1)*IF($F68="Grøntsager",IF($A68="Grøntsager i drivhus",Landbrug!D$51,1-Landbrug!D$51),1)</f>
        <v>#REF!</v>
      </c>
      <c r="J68" s="304" t="e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input'!$A$3:$A$230,$A$1)),IF(VLOOKUP($A68,[1]!Table1[#All],2,FALSE)="Resultat",SUMIF($F$1:$F67,$D68,J$1:J67)+SUMIF($F69:$F$490,$D68,J69:J$490),0))*'[1]Processer - data'!J68,"")*IF($C68&lt;&gt;"",IF($F68="Halm",Landbrug!E$16*Landbrug!E$17,IF(LEFT($D68,5)="Areal", IF($G68="Ton",Landbrug!E$18,1),1)),1)*IF($F68="Grøntsager",IF($A68="Grøntsager i drivhus",Landbrug!E$51,1-Landbrug!E$51),1)</f>
        <v>#REF!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Skovtype5</v>
      </c>
      <c r="D69" t="str">
        <f>IF('[1]Processer - data'!D69&lt;&gt;"",'[1]Processer - data'!D69,"")</f>
        <v>Areal-skovtype5-30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Træ til energi</v>
      </c>
      <c r="G69" t="str">
        <f>IF('[1]Processer - data'!G69&lt;&gt;"",'[1]Processer - data'!G69,"")</f>
        <v>m3</v>
      </c>
      <c r="H69" s="302" t="e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input'!$A$3:$A$230,$A$1)),IF(VLOOKUP($A69,[1]!Table1[#All],2,FALSE)="Resultat",SUMIF($F$1:$F68,$D69,H$1:H68)+SUMIF($F70:$F$490,$D69,H70:H$490),0))*'[1]Processer - data'!H69,"")*IF($C69&lt;&gt;"",IF($F69="Halm",Landbrug!C$16*Landbrug!C$17,IF(LEFT($D69,5)="Areal", IF($G69="Ton",Landbrug!C$18,1),1)),1)*IF($F69="Grøntsager",IF($A69="Grøntsager i drivhus",Landbrug!C$51,1-Landbrug!C$51),1)</f>
        <v>#REF!</v>
      </c>
      <c r="I69" s="303" t="e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input'!$A$3:$A$230,$A$1)),IF(VLOOKUP($A69,[1]!Table1[#All],2,FALSE)="Resultat",SUMIF($F$1:$F68,$D69,I$1:I68)+SUMIF($F70:$F$490,$D69,I70:I$490),0))*'[1]Processer - data'!I69,"")*IF($C69&lt;&gt;"",IF($F69="Halm",Landbrug!D$16*Landbrug!D$17,IF(LEFT($D69,5)="Areal", IF($G69="Ton",Landbrug!D$18,1),1)),1)*IF($F69="Grøntsager",IF($A69="Grøntsager i drivhus",Landbrug!D$51,1-Landbrug!D$51),1)</f>
        <v>#REF!</v>
      </c>
      <c r="J69" s="304" t="e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input'!$A$3:$A$230,$A$1)),IF(VLOOKUP($A69,[1]!Table1[#All],2,FALSE)="Resultat",SUMIF($F$1:$F68,$D69,J$1:J68)+SUMIF($F70:$F$490,$D69,J70:J$490),0))*'[1]Processer - data'!J69,"")*IF($C69&lt;&gt;"",IF($F69="Halm",Landbrug!E$16*Landbrug!E$17,IF(LEFT($D69,5)="Areal", IF($G69="Ton",Landbrug!E$18,1),1)),1)*IF($F69="Grøntsager",IF($A69="Grøntsager i drivhus",Landbrug!E$51,1-Landbrug!E$51),1)</f>
        <v>#REF!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Skovtype5</v>
      </c>
      <c r="D70" t="str">
        <f>IF('[1]Processer - data'!D70&lt;&gt;"",'[1]Processer - data'!D70,"")</f>
        <v>Areal-skovtype5-30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atmosfære</v>
      </c>
      <c r="G70" t="str">
        <f>IF('[1]Processer - data'!G70&lt;&gt;"",'[1]Processer - data'!G70,"")</f>
        <v>t CO2-ækvivalenter</v>
      </c>
      <c r="H70" s="302" t="e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input'!$A$3:$A$230,$A$1)),IF(VLOOKUP($A70,[1]!Table1[#All],2,FALSE)="Resultat",SUMIF($F$1:$F69,$D70,H$1:H69)+SUMIF($F71:$F$490,$D70,H71:H$490),0))*'[1]Processer - data'!H70,"")*IF($C70&lt;&gt;"",IF($F70="Halm",Landbrug!C$16*Landbrug!C$17,IF(LEFT($D70,5)="Areal", IF($G70="Ton",Landbrug!C$18,1),1)),1)*IF($F70="Grøntsager",IF($A70="Grøntsager i drivhus",Landbrug!C$51,1-Landbrug!C$51),1)</f>
        <v>#REF!</v>
      </c>
      <c r="I70" s="303" t="e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input'!$A$3:$A$230,$A$1)),IF(VLOOKUP($A70,[1]!Table1[#All],2,FALSE)="Resultat",SUMIF($F$1:$F69,$D70,I$1:I69)+SUMIF($F71:$F$490,$D70,I71:I$490),0))*'[1]Processer - data'!I70,"")*IF($C70&lt;&gt;"",IF($F70="Halm",Landbrug!D$16*Landbrug!D$17,IF(LEFT($D70,5)="Areal", IF($G70="Ton",Landbrug!D$18,1),1)),1)*IF($F70="Grøntsager",IF($A70="Grøntsager i drivhus",Landbrug!D$51,1-Landbrug!D$51),1)</f>
        <v>#REF!</v>
      </c>
      <c r="J70" s="304" t="e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input'!$A$3:$A$230,$A$1)),IF(VLOOKUP($A70,[1]!Table1[#All],2,FALSE)="Resultat",SUMIF($F$1:$F69,$D70,J$1:J69)+SUMIF($F71:$F$490,$D70,J71:J$490),0))*'[1]Processer - data'!J70,"")*IF($C70&lt;&gt;"",IF($F70="Halm",Landbrug!E$16*Landbrug!E$17,IF(LEFT($D70,5)="Areal", IF($G70="Ton",Landbrug!E$18,1),1)),1)*IF($F70="Grøntsager",IF($A70="Grøntsager i drivhus",Landbrug!E$51,1-Landbrug!E$51),1)</f>
        <v>#REF!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Skovtype5</v>
      </c>
      <c r="D71" t="str">
        <f>IF('[1]Processer - data'!D71&lt;&gt;"",'[1]Processer - data'!D71,"")</f>
        <v>Areal-skovtype5-40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302" t="e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input'!$A$3:$A$230,$A$1)),IF(VLOOKUP($A71,[1]!Table1[#All],2,FALSE)="Resultat",SUMIF($F$1:$F70,$D71,H$1:H70)+SUMIF($F72:$F$490,$D71,H72:H$490),0))*'[1]Processer - data'!H71,"")*IF($C71&lt;&gt;"",IF($F71="Halm",Landbrug!C$16*Landbrug!C$17,IF(LEFT($D71,5)="Areal", IF($G71="Ton",Landbrug!C$18,1),1)),1)*IF($F71="Grøntsager",IF($A71="Grøntsager i drivhus",Landbrug!C$51,1-Landbrug!C$51),1)</f>
        <v>#REF!</v>
      </c>
      <c r="I71" s="303" t="e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input'!$A$3:$A$230,$A$1)),IF(VLOOKUP($A71,[1]!Table1[#All],2,FALSE)="Resultat",SUMIF($F$1:$F70,$D71,I$1:I70)+SUMIF($F72:$F$490,$D71,I72:I$490),0))*'[1]Processer - data'!I71,"")*IF($C71&lt;&gt;"",IF($F71="Halm",Landbrug!D$16*Landbrug!D$17,IF(LEFT($D71,5)="Areal", IF($G71="Ton",Landbrug!D$18,1),1)),1)*IF($F71="Grøntsager",IF($A71="Grøntsager i drivhus",Landbrug!D$51,1-Landbrug!D$51),1)</f>
        <v>#REF!</v>
      </c>
      <c r="J71" s="304" t="e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input'!$A$3:$A$230,$A$1)),IF(VLOOKUP($A71,[1]!Table1[#All],2,FALSE)="Resultat",SUMIF($F$1:$F70,$D71,J$1:J70)+SUMIF($F72:$F$490,$D71,J72:J$490),0))*'[1]Processer - data'!J71,"")*IF($C71&lt;&gt;"",IF($F71="Halm",Landbrug!E$16*Landbrug!E$17,IF(LEFT($D71,5)="Areal", IF($G71="Ton",Landbrug!E$18,1),1)),1)*IF($F71="Grøntsager",IF($A71="Grøntsager i drivhus",Landbrug!E$51,1-Landbrug!E$51),1)</f>
        <v>#REF!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Skovtype5</v>
      </c>
      <c r="D72" t="str">
        <f>IF('[1]Processer - data'!D72&lt;&gt;"",'[1]Processer - data'!D72,"")</f>
        <v>Areal-skovtype5-40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302" t="e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input'!$A$3:$A$230,$A$1)),IF(VLOOKUP($A72,[1]!Table1[#All],2,FALSE)="Resultat",SUMIF($F$1:$F71,$D72,H$1:H71)+SUMIF($F73:$F$490,$D72,H73:H$490),0))*'[1]Processer - data'!H72,"")*IF($C72&lt;&gt;"",IF($F72="Halm",Landbrug!C$16*Landbrug!C$17,IF(LEFT($D72,5)="Areal", IF($G72="Ton",Landbrug!C$18,1),1)),1)*IF($F72="Grøntsager",IF($A72="Grøntsager i drivhus",Landbrug!C$51,1-Landbrug!C$51),1)</f>
        <v>#REF!</v>
      </c>
      <c r="I72" s="303" t="e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input'!$A$3:$A$230,$A$1)),IF(VLOOKUP($A72,[1]!Table1[#All],2,FALSE)="Resultat",SUMIF($F$1:$F71,$D72,I$1:I71)+SUMIF($F73:$F$490,$D72,I73:I$490),0))*'[1]Processer - data'!I72,"")*IF($C72&lt;&gt;"",IF($F72="Halm",Landbrug!D$16*Landbrug!D$17,IF(LEFT($D72,5)="Areal", IF($G72="Ton",Landbrug!D$18,1),1)),1)*IF($F72="Grøntsager",IF($A72="Grøntsager i drivhus",Landbrug!D$51,1-Landbrug!D$51),1)</f>
        <v>#REF!</v>
      </c>
      <c r="J72" s="304" t="e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input'!$A$3:$A$230,$A$1)),IF(VLOOKUP($A72,[1]!Table1[#All],2,FALSE)="Resultat",SUMIF($F$1:$F71,$D72,J$1:J71)+SUMIF($F73:$F$490,$D72,J73:J$490),0))*'[1]Processer - data'!J72,"")*IF($C72&lt;&gt;"",IF($F72="Halm",Landbrug!E$16*Landbrug!E$17,IF(LEFT($D72,5)="Areal", IF($G72="Ton",Landbrug!E$18,1),1)),1)*IF($F72="Grøntsager",IF($A72="Grøntsager i drivhus",Landbrug!E$51,1-Landbrug!E$51),1)</f>
        <v>#REF!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Skovtype5</v>
      </c>
      <c r="D73" t="str">
        <f>IF('[1]Processer - data'!D73&lt;&gt;"",'[1]Processer - data'!D73,"")</f>
        <v>Areal-skovtype5-40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302" t="e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input'!$A$3:$A$230,$A$1)),IF(VLOOKUP($A73,[1]!Table1[#All],2,FALSE)="Resultat",SUMIF($F$1:$F72,$D73,H$1:H72)+SUMIF($F74:$F$490,$D73,H74:H$490),0))*'[1]Processer - data'!H73,"")*IF($C73&lt;&gt;"",IF($F73="Halm",Landbrug!C$16*Landbrug!C$17,IF(LEFT($D73,5)="Areal", IF($G73="Ton",Landbrug!C$18,1),1)),1)*IF($F73="Grøntsager",IF($A73="Grøntsager i drivhus",Landbrug!C$51,1-Landbrug!C$51),1)</f>
        <v>#REF!</v>
      </c>
      <c r="I73" s="303" t="e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input'!$A$3:$A$230,$A$1)),IF(VLOOKUP($A73,[1]!Table1[#All],2,FALSE)="Resultat",SUMIF($F$1:$F72,$D73,I$1:I72)+SUMIF($F74:$F$490,$D73,I74:I$490),0))*'[1]Processer - data'!I73,"")*IF($C73&lt;&gt;"",IF($F73="Halm",Landbrug!D$16*Landbrug!D$17,IF(LEFT($D73,5)="Areal", IF($G73="Ton",Landbrug!D$18,1),1)),1)*IF($F73="Grøntsager",IF($A73="Grøntsager i drivhus",Landbrug!D$51,1-Landbrug!D$51),1)</f>
        <v>#REF!</v>
      </c>
      <c r="J73" s="304" t="e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input'!$A$3:$A$230,$A$1)),IF(VLOOKUP($A73,[1]!Table1[#All],2,FALSE)="Resultat",SUMIF($F$1:$F72,$D73,J$1:J72)+SUMIF($F74:$F$490,$D73,J74:J$490),0))*'[1]Processer - data'!J73,"")*IF($C73&lt;&gt;"",IF($F73="Halm",Landbrug!E$16*Landbrug!E$17,IF(LEFT($D73,5)="Areal", IF($G73="Ton",Landbrug!E$18,1),1)),1)*IF($F73="Grøntsager",IF($A73="Grøntsager i drivhus",Landbrug!E$51,1-Landbrug!E$51),1)</f>
        <v>#REF!</v>
      </c>
    </row>
    <row r="74" spans="1:10" x14ac:dyDescent="0.25">
      <c r="A74" t="str">
        <f>IF('[1]Processer - data'!A74&lt;&gt;"",'[1]Processer - data'!A74,"")</f>
        <v>Grisestald</v>
      </c>
      <c r="B74" t="str">
        <f>IF('[1]Processer - data'!B74&lt;&gt;"",'[1]Processer - data'!B74,"")</f>
        <v>Konventionel</v>
      </c>
      <c r="C74" t="str">
        <f>IF('[1]Processer - data'!C74&lt;&gt;"",'[1]Processer - data'!C74,"")</f>
        <v/>
      </c>
      <c r="D74" t="str">
        <f>IF('[1]Processer - data'!D74&lt;&gt;"",'[1]Processer - data'!D74,"")</f>
        <v>Svin</v>
      </c>
      <c r="E74" t="str">
        <f>IF('[1]Processer - data'!E74&lt;&gt;"",'[1]Processer - data'!E74,"")</f>
        <v>Antal</v>
      </c>
      <c r="F74" t="str">
        <f>IF('[1]Processer - data'!F74&lt;&gt;"",'[1]Processer - data'!F74,"")</f>
        <v>Slagtesvin</v>
      </c>
      <c r="G74" t="str">
        <f>IF('[1]Processer - data'!G74&lt;&gt;"",'[1]Processer - data'!G74,"")</f>
        <v>Antal</v>
      </c>
      <c r="H74" s="302" t="e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input'!$A$3:$A$230,$A$1)),IF(VLOOKUP($A74,[1]!Table1[#All],2,FALSE)="Resultat",SUMIF($F$1:$F28,$D74,H$1:H28)+SUMIF($F75:$F$490,$D74,H75:H$490),0))*'[1]Processer - data'!H74,"")*IF($C74&lt;&gt;"",IF($F74="Halm",Landbrug!C$16*Landbrug!C$17,IF(LEFT($D74,5)="Areal", IF($G74="Ton",Landbrug!C$18,1),1)),1)*IF($F74="Grøntsager",IF($A74="Grøntsager i drivhus",Landbrug!C$51,1-Landbrug!C$51),1)</f>
        <v>#REF!</v>
      </c>
      <c r="I74" s="303" t="e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input'!$A$3:$A$230,$A$1)),IF(VLOOKUP($A74,[1]!Table1[#All],2,FALSE)="Resultat",SUMIF($F$1:$F28,$D74,I$1:I28)+SUMIF($F75:$F$490,$D74,I75:I$490),0))*'[1]Processer - data'!I74,"")*IF($C74&lt;&gt;"",IF($F74="Halm",Landbrug!D$16*Landbrug!D$17,IF(LEFT($D74,5)="Areal", IF($G74="Ton",Landbrug!D$18,1),1)),1)*IF($F74="Grøntsager",IF($A74="Grøntsager i drivhus",Landbrug!D$51,1-Landbrug!D$51),1)</f>
        <v>#REF!</v>
      </c>
      <c r="J74" s="304" t="e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input'!$A$3:$A$230,$A$1)),IF(VLOOKUP($A74,[1]!Table1[#All],2,FALSE)="Resultat",SUMIF($F$1:$F28,$D74,J$1:J28)+SUMIF($F75:$F$490,$D74,J75:J$490),0))*'[1]Processer - data'!J74,"")*IF($C74&lt;&gt;"",IF($F74="Halm",Landbrug!E$16*Landbrug!E$17,IF(LEFT($D74,5)="Areal", IF($G74="Ton",Landbrug!E$18,1),1)),1)*IF($F74="Grøntsager",IF($A74="Grøntsager i drivhus",Landbrug!E$51,1-Landbrug!E$51),1)</f>
        <v>#REF!</v>
      </c>
    </row>
    <row r="75" spans="1:10" x14ac:dyDescent="0.25">
      <c r="A75" t="str">
        <f>IF('[1]Processer - data'!A75&lt;&gt;"",'[1]Processer - data'!A75,"")</f>
        <v>Grisestald</v>
      </c>
      <c r="B75" t="str">
        <f>IF('[1]Processer - data'!B75&lt;&gt;"",'[1]Processer - data'!B75,"")</f>
        <v>Konventionel</v>
      </c>
      <c r="C75" t="str">
        <f>IF('[1]Processer - data'!C75&lt;&gt;"",'[1]Processer - data'!C75,"")</f>
        <v/>
      </c>
      <c r="D75" t="str">
        <f>IF('[1]Processer - data'!D75&lt;&gt;"",'[1]Processer - data'!D75,"")</f>
        <v>Svin</v>
      </c>
      <c r="E75" t="str">
        <f>IF('[1]Processer - data'!E75&lt;&gt;"",'[1]Processer - data'!E75,"")</f>
        <v>Antal</v>
      </c>
      <c r="F75" t="str">
        <f>IF('[1]Processer - data'!F75&lt;&gt;"",'[1]Processer - data'!F75,"")</f>
        <v>Svinegylle</v>
      </c>
      <c r="G75" t="str">
        <f>IF('[1]Processer - data'!G75&lt;&gt;"",'[1]Processer - data'!G75,"")</f>
        <v>Ton</v>
      </c>
      <c r="H75" s="302" t="e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input'!$A$3:$A$230,$A$1)),IF(VLOOKUP($A75,[1]!Table1[#All],2,FALSE)="Resultat",SUMIF($F$1:$F74,$D75,H$1:H74)+SUMIF($F76:$F$490,$D75,H76:H$490),0))*'[1]Processer - data'!H75,"")*IF($C75&lt;&gt;"",IF($F75="Halm",Landbrug!C$16*Landbrug!C$17,IF(LEFT($D75,5)="Areal", IF($G75="Ton",Landbrug!C$18,1),1)),1)*IF($F75="Grøntsager",IF($A75="Grøntsager i drivhus",Landbrug!C$51,1-Landbrug!C$51),1)</f>
        <v>#REF!</v>
      </c>
      <c r="I75" s="303" t="e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input'!$A$3:$A$230,$A$1)),IF(VLOOKUP($A75,[1]!Table1[#All],2,FALSE)="Resultat",SUMIF($F$1:$F74,$D75,I$1:I74)+SUMIF($F76:$F$490,$D75,I76:I$490),0))*'[1]Processer - data'!I75,"")*IF($C75&lt;&gt;"",IF($F75="Halm",Landbrug!D$16*Landbrug!D$17,IF(LEFT($D75,5)="Areal", IF($G75="Ton",Landbrug!D$18,1),1)),1)*IF($F75="Grøntsager",IF($A75="Grøntsager i drivhus",Landbrug!D$51,1-Landbrug!D$51),1)</f>
        <v>#REF!</v>
      </c>
      <c r="J75" s="304" t="e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input'!$A$3:$A$230,$A$1)),IF(VLOOKUP($A75,[1]!Table1[#All],2,FALSE)="Resultat",SUMIF($F$1:$F74,$D75,J$1:J74)+SUMIF($F76:$F$490,$D75,J76:J$490),0))*'[1]Processer - data'!J75,"")*IF($C75&lt;&gt;"",IF($F75="Halm",Landbrug!E$16*Landbrug!E$17,IF(LEFT($D75,5)="Areal", IF($G75="Ton",Landbrug!E$18,1),1)),1)*IF($F75="Grøntsager",IF($A75="Grøntsager i drivhus",Landbrug!E$51,1-Landbrug!E$51),1)</f>
        <v>#REF!</v>
      </c>
    </row>
    <row r="76" spans="1:10" x14ac:dyDescent="0.25">
      <c r="A76" t="str">
        <f>IF('[1]Processer - data'!A76&lt;&gt;"",'[1]Processer - data'!A76,"")</f>
        <v>Grisestald</v>
      </c>
      <c r="B76" t="str">
        <f>IF('[1]Processer - data'!B76&lt;&gt;"",'[1]Processer - data'!B76,"")</f>
        <v>Konventionel</v>
      </c>
      <c r="C76" t="str">
        <f>IF('[1]Processer - data'!C76&lt;&gt;"",'[1]Processer - data'!C76,"")</f>
        <v/>
      </c>
      <c r="D76" t="str">
        <f>IF('[1]Processer - data'!D76&lt;&gt;"",'[1]Processer - data'!D76,"")</f>
        <v>Svin</v>
      </c>
      <c r="E76" t="str">
        <f>IF('[1]Processer - data'!E76&lt;&gt;"",'[1]Processer - data'!E76,"")</f>
        <v>Antal</v>
      </c>
      <c r="F76" t="str">
        <f>IF('[1]Processer - data'!F76&lt;&gt;"",'[1]Processer - data'!F76,"")</f>
        <v>Dybstrøelse</v>
      </c>
      <c r="G76" t="str">
        <f>IF('[1]Processer - data'!G76&lt;&gt;"",'[1]Processer - data'!G76,"")</f>
        <v>Ton</v>
      </c>
      <c r="H76" s="302" t="e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input'!$A$3:$A$230,$A$1)),IF(VLOOKUP($A76,[1]!Table1[#All],2,FALSE)="Resultat",SUMIF($F$1:$F75,$D76,H$1:H75)+SUMIF($F77:$F$490,$D76,H77:H$490),0))*'[1]Processer - data'!H76,"")*IF($C76&lt;&gt;"",IF($F76="Halm",Landbrug!C$16*Landbrug!C$17,IF(LEFT($D76,5)="Areal", IF($G76="Ton",Landbrug!C$18,1),1)),1)*IF($F76="Grøntsager",IF($A76="Grøntsager i drivhus",Landbrug!C$51,1-Landbrug!C$51),1)</f>
        <v>#REF!</v>
      </c>
      <c r="I76" s="303" t="e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input'!$A$3:$A$230,$A$1)),IF(VLOOKUP($A76,[1]!Table1[#All],2,FALSE)="Resultat",SUMIF($F$1:$F75,$D76,I$1:I75)+SUMIF($F77:$F$490,$D76,I77:I$490),0))*'[1]Processer - data'!I76,"")*IF($C76&lt;&gt;"",IF($F76="Halm",Landbrug!D$16*Landbrug!D$17,IF(LEFT($D76,5)="Areal", IF($G76="Ton",Landbrug!D$18,1),1)),1)*IF($F76="Grøntsager",IF($A76="Grøntsager i drivhus",Landbrug!D$51,1-Landbrug!D$51),1)</f>
        <v>#REF!</v>
      </c>
      <c r="J76" s="304" t="e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input'!$A$3:$A$230,$A$1)),IF(VLOOKUP($A76,[1]!Table1[#All],2,FALSE)="Resultat",SUMIF($F$1:$F75,$D76,J$1:J75)+SUMIF($F77:$F$490,$D76,J77:J$490),0))*'[1]Processer - data'!J76,"")*IF($C76&lt;&gt;"",IF($F76="Halm",Landbrug!E$16*Landbrug!E$17,IF(LEFT($D76,5)="Areal", IF($G76="Ton",Landbrug!E$18,1),1)),1)*IF($F76="Grøntsager",IF($A76="Grøntsager i drivhus",Landbrug!E$51,1-Landbrug!E$51),1)</f>
        <v>#REF!</v>
      </c>
    </row>
    <row r="77" spans="1:10" x14ac:dyDescent="0.25">
      <c r="A77" t="str">
        <f>IF('[1]Processer - data'!A77&lt;&gt;"",'[1]Processer - data'!A77,"")</f>
        <v>Grisestald</v>
      </c>
      <c r="B77" t="str">
        <f>IF('[1]Processer - data'!B77&lt;&gt;"",'[1]Processer - data'!B77,"")</f>
        <v>Konventionel</v>
      </c>
      <c r="C77" t="str">
        <f>IF('[1]Processer - data'!C77&lt;&gt;"",'[1]Processer - data'!C77,"")</f>
        <v/>
      </c>
      <c r="D77" t="str">
        <f>IF('[1]Processer - data'!D77&lt;&gt;"",'[1]Processer - data'!D77,"")</f>
        <v>Svin</v>
      </c>
      <c r="E77" t="str">
        <f>IF('[1]Processer - data'!E77&lt;&gt;"",'[1]Processer - data'!E77,"")</f>
        <v>Antal</v>
      </c>
      <c r="F77" t="str">
        <f>IF('[1]Processer - data'!F77&lt;&gt;"",'[1]Processer - data'!F77,"")</f>
        <v>Industriaffald</v>
      </c>
      <c r="G77" t="str">
        <f>IF('[1]Processer - data'!G77&lt;&gt;"",'[1]Processer - data'!G77,"")</f>
        <v>Ton</v>
      </c>
      <c r="H77" s="302" t="e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input'!$A$3:$A$230,$A$1)),IF(VLOOKUP($A77,[1]!Table1[#All],2,FALSE)="Resultat",SUMIF($F$1:$F76,$D77,H$1:H76)+SUMIF($F78:$F$490,$D77,H78:H$490),0))*'[1]Processer - data'!H77,"")*IF($C77&lt;&gt;"",IF($F77="Halm",Landbrug!C$16*Landbrug!C$17,IF(LEFT($D77,5)="Areal", IF($G77="Ton",Landbrug!C$18,1),1)),1)*IF($F77="Grøntsager",IF($A77="Grøntsager i drivhus",Landbrug!C$51,1-Landbrug!C$51),1)</f>
        <v>#REF!</v>
      </c>
      <c r="I77" s="303" t="e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input'!$A$3:$A$230,$A$1)),IF(VLOOKUP($A77,[1]!Table1[#All],2,FALSE)="Resultat",SUMIF($F$1:$F76,$D77,I$1:I76)+SUMIF($F78:$F$490,$D77,I78:I$490),0))*'[1]Processer - data'!I77,"")*IF($C77&lt;&gt;"",IF($F77="Halm",Landbrug!D$16*Landbrug!D$17,IF(LEFT($D77,5)="Areal", IF($G77="Ton",Landbrug!D$18,1),1)),1)*IF($F77="Grøntsager",IF($A77="Grøntsager i drivhus",Landbrug!D$51,1-Landbrug!D$51),1)</f>
        <v>#REF!</v>
      </c>
      <c r="J77" s="304" t="e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input'!$A$3:$A$230,$A$1)),IF(VLOOKUP($A77,[1]!Table1[#All],2,FALSE)="Resultat",SUMIF($F$1:$F76,$D77,J$1:J76)+SUMIF($F78:$F$490,$D77,J78:J$490),0))*'[1]Processer - data'!J77,"")*IF($C77&lt;&gt;"",IF($F77="Halm",Landbrug!E$16*Landbrug!E$17,IF(LEFT($D77,5)="Areal", IF($G77="Ton",Landbrug!E$18,1),1)),1)*IF($F77="Grøntsager",IF($A77="Grøntsager i drivhus",Landbrug!E$51,1-Landbrug!E$51),1)</f>
        <v>#REF!</v>
      </c>
    </row>
    <row r="78" spans="1:10" x14ac:dyDescent="0.25">
      <c r="A78" t="str">
        <f>IF('[1]Processer - data'!A78&lt;&gt;"",'[1]Processer - data'!A78,"")</f>
        <v>Grisestald</v>
      </c>
      <c r="B78" t="str">
        <f>IF('[1]Processer - data'!B78&lt;&gt;"",'[1]Processer - data'!B78,"")</f>
        <v>Konventionel</v>
      </c>
      <c r="C78" t="str">
        <f>IF('[1]Processer - data'!C78&lt;&gt;"",'[1]Processer - data'!C78,"")</f>
        <v/>
      </c>
      <c r="D78" t="str">
        <f>IF('[1]Processer - data'!D78&lt;&gt;"",'[1]Processer - data'!D78,"")</f>
        <v>Svin</v>
      </c>
      <c r="E78" t="str">
        <f>IF('[1]Processer - data'!E78&lt;&gt;"",'[1]Processer - data'!E78,"")</f>
        <v>Antal</v>
      </c>
      <c r="F78" t="str">
        <f>IF('[1]Processer - data'!F78&lt;&gt;"",'[1]Processer - data'!F78,"")</f>
        <v>Foder</v>
      </c>
      <c r="G78" t="str">
        <f>IF('[1]Processer - data'!G78&lt;&gt;"",'[1]Processer - data'!G78,"")</f>
        <v>FE</v>
      </c>
      <c r="H78" s="302" t="e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input'!$A$3:$A$230,$A$1)),IF(VLOOKUP($A78,[1]!Table1[#All],2,FALSE)="Resultat",SUMIF($F$1:$F77,$D78,H$1:H77)+SUMIF($F79:$F$490,$D78,H79:H$490),0))*'[1]Processer - data'!H78,"")*IF($C78&lt;&gt;"",IF($F78="Halm",Landbrug!C$16*Landbrug!C$17,IF(LEFT($D78,5)="Areal", IF($G78="Ton",Landbrug!C$18,1),1)),1)*IF($F78="Grøntsager",IF($A78="Grøntsager i drivhus",Landbrug!C$51,1-Landbrug!C$51),1)</f>
        <v>#REF!</v>
      </c>
      <c r="I78" s="303" t="e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input'!$A$3:$A$230,$A$1)),IF(VLOOKUP($A78,[1]!Table1[#All],2,FALSE)="Resultat",SUMIF($F$1:$F77,$D78,I$1:I77)+SUMIF($F79:$F$490,$D78,I79:I$490),0))*'[1]Processer - data'!I78,"")*IF($C78&lt;&gt;"",IF($F78="Halm",Landbrug!D$16*Landbrug!D$17,IF(LEFT($D78,5)="Areal", IF($G78="Ton",Landbrug!D$18,1),1)),1)*IF($F78="Grøntsager",IF($A78="Grøntsager i drivhus",Landbrug!D$51,1-Landbrug!D$51),1)</f>
        <v>#REF!</v>
      </c>
      <c r="J78" s="304" t="e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input'!$A$3:$A$230,$A$1)),IF(VLOOKUP($A78,[1]!Table1[#All],2,FALSE)="Resultat",SUMIF($F$1:$F77,$D78,J$1:J77)+SUMIF($F79:$F$490,$D78,J79:J$490),0))*'[1]Processer - data'!J78,"")*IF($C78&lt;&gt;"",IF($F78="Halm",Landbrug!E$16*Landbrug!E$17,IF(LEFT($D78,5)="Areal", IF($G78="Ton",Landbrug!E$18,1),1)),1)*IF($F78="Grøntsager",IF($A78="Grøntsager i drivhus",Landbrug!E$51,1-Landbrug!E$51),1)</f>
        <v>#REF!</v>
      </c>
    </row>
    <row r="79" spans="1:10" x14ac:dyDescent="0.25">
      <c r="A79" t="str">
        <f>IF('[1]Processer - data'!A79&lt;&gt;"",'[1]Processer - data'!A79,"")</f>
        <v>Grisestald</v>
      </c>
      <c r="B79" t="str">
        <f>IF('[1]Processer - data'!B79&lt;&gt;"",'[1]Processer - data'!B79,"")</f>
        <v>Konventionel</v>
      </c>
      <c r="C79" t="str">
        <f>IF('[1]Processer - data'!C79&lt;&gt;"",'[1]Processer - data'!C79,"")</f>
        <v/>
      </c>
      <c r="D79" t="str">
        <f>IF('[1]Processer - data'!D79&lt;&gt;"",'[1]Processer - data'!D79,"")</f>
        <v>Svin</v>
      </c>
      <c r="E79" t="str">
        <f>IF('[1]Processer - data'!E79&lt;&gt;"",'[1]Processer - data'!E79,"")</f>
        <v>Antal</v>
      </c>
      <c r="F79" t="str">
        <f>IF('[1]Processer - data'!F79&lt;&gt;"",'[1]Processer - data'!F79,"")</f>
        <v>Halm</v>
      </c>
      <c r="G79" t="str">
        <f>IF('[1]Processer - data'!G79&lt;&gt;"",'[1]Processer - data'!G79,"")</f>
        <v>Ton</v>
      </c>
      <c r="H79" s="302" t="e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input'!$A$3:$A$230,$A$1)),IF(VLOOKUP($A79,[1]!Table1[#All],2,FALSE)="Resultat",SUMIF($F$1:$F78,$D79,H$1:H78)+SUMIF($F80:$F$490,$D79,H80:H$490),0))*'[1]Processer - data'!H79,"")*IF($C79&lt;&gt;"",IF($F79="Halm",Landbrug!C$16*Landbrug!C$17,IF(LEFT($D79,5)="Areal", IF($G79="Ton",Landbrug!C$18,1),1)),1)*IF($F79="Grøntsager",IF($A79="Grøntsager i drivhus",Landbrug!C$51,1-Landbrug!C$51),1)</f>
        <v>#REF!</v>
      </c>
      <c r="I79" s="303" t="e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input'!$A$3:$A$230,$A$1)),IF(VLOOKUP($A79,[1]!Table1[#All],2,FALSE)="Resultat",SUMIF($F$1:$F78,$D79,I$1:I78)+SUMIF($F80:$F$490,$D79,I80:I$490),0))*'[1]Processer - data'!I79,"")*IF($C79&lt;&gt;"",IF($F79="Halm",Landbrug!D$16*Landbrug!D$17,IF(LEFT($D79,5)="Areal", IF($G79="Ton",Landbrug!D$18,1),1)),1)*IF($F79="Grøntsager",IF($A79="Grøntsager i drivhus",Landbrug!D$51,1-Landbrug!D$51),1)</f>
        <v>#REF!</v>
      </c>
      <c r="J79" s="304" t="e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input'!$A$3:$A$230,$A$1)),IF(VLOOKUP($A79,[1]!Table1[#All],2,FALSE)="Resultat",SUMIF($F$1:$F78,$D79,J$1:J78)+SUMIF($F80:$F$490,$D79,J80:J$490),0))*'[1]Processer - data'!J79,"")*IF($C79&lt;&gt;"",IF($F79="Halm",Landbrug!E$16*Landbrug!E$17,IF(LEFT($D79,5)="Areal", IF($G79="Ton",Landbrug!E$18,1),1)),1)*IF($F79="Grøntsager",IF($A79="Grøntsager i drivhus",Landbrug!E$51,1-Landbrug!E$51),1)</f>
        <v>#REF!</v>
      </c>
    </row>
    <row r="80" spans="1:10" x14ac:dyDescent="0.25">
      <c r="A80" t="str">
        <f>IF('[1]Processer - data'!A80&lt;&gt;"",'[1]Processer - data'!A80,"")</f>
        <v>Grisestald</v>
      </c>
      <c r="B80" t="str">
        <f>IF('[1]Processer - data'!B80&lt;&gt;"",'[1]Processer - data'!B80,"")</f>
        <v>Konventionel</v>
      </c>
      <c r="C80" t="str">
        <f>IF('[1]Processer - data'!C80&lt;&gt;"",'[1]Processer - data'!C80,"")</f>
        <v/>
      </c>
      <c r="D80" t="str">
        <f>IF('[1]Processer - data'!D80&lt;&gt;"",'[1]Processer - data'!D80,"")</f>
        <v>Svin</v>
      </c>
      <c r="E80" t="str">
        <f>IF('[1]Processer - data'!E80&lt;&gt;"",'[1]Processer - data'!E80,"")</f>
        <v>Antal</v>
      </c>
      <c r="F80" t="str">
        <f>IF('[1]Processer - data'!F80&lt;&gt;"",'[1]Processer - data'!F80,"")</f>
        <v>CO2 - atmosfære</v>
      </c>
      <c r="G80" t="str">
        <f>IF('[1]Processer - data'!G80&lt;&gt;"",'[1]Processer - data'!G80,"")</f>
        <v>t CO2-ækvivalenter</v>
      </c>
      <c r="H80" s="302" t="e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input'!$A$3:$A$230,$A$1)),IF(VLOOKUP($A80,[1]!Table1[#All],2,FALSE)="Resultat",SUMIF($F$1:$F79,$D80,H$1:H79)+SUMIF($F81:$F$490,$D80,H81:H$490),0))*'[1]Processer - data'!H80,"")*IF($C80&lt;&gt;"",IF($F80="Halm",Landbrug!C$16*Landbrug!C$17,IF(LEFT($D80,5)="Areal", IF($G80="Ton",Landbrug!C$18,1),1)),1)*IF($F80="Grøntsager",IF($A80="Grøntsager i drivhus",Landbrug!C$51,1-Landbrug!C$51),1)</f>
        <v>#REF!</v>
      </c>
      <c r="I80" s="303" t="e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input'!$A$3:$A$230,$A$1)),IF(VLOOKUP($A80,[1]!Table1[#All],2,FALSE)="Resultat",SUMIF($F$1:$F79,$D80,I$1:I79)+SUMIF($F81:$F$490,$D80,I81:I$490),0))*'[1]Processer - data'!I80,"")*IF($C80&lt;&gt;"",IF($F80="Halm",Landbrug!D$16*Landbrug!D$17,IF(LEFT($D80,5)="Areal", IF($G80="Ton",Landbrug!D$18,1),1)),1)*IF($F80="Grøntsager",IF($A80="Grøntsager i drivhus",Landbrug!D$51,1-Landbrug!D$51),1)</f>
        <v>#REF!</v>
      </c>
      <c r="J80" s="304" t="e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input'!$A$3:$A$230,$A$1)),IF(VLOOKUP($A80,[1]!Table1[#All],2,FALSE)="Resultat",SUMIF($F$1:$F79,$D80,J$1:J79)+SUMIF($F81:$F$490,$D80,J81:J$490),0))*'[1]Processer - data'!J80,"")*IF($C80&lt;&gt;"",IF($F80="Halm",Landbrug!E$16*Landbrug!E$17,IF(LEFT($D80,5)="Areal", IF($G80="Ton",Landbrug!E$18,1),1)),1)*IF($F80="Grøntsager",IF($A80="Grøntsager i drivhus",Landbrug!E$51,1-Landbrug!E$51),1)</f>
        <v>#REF!</v>
      </c>
    </row>
    <row r="81" spans="1:10" x14ac:dyDescent="0.25">
      <c r="A81" t="str">
        <f>IF('[1]Processer - data'!A81&lt;&gt;"",'[1]Processer - data'!A81,"")</f>
        <v>Grisestald</v>
      </c>
      <c r="B81" t="str">
        <f>IF('[1]Processer - data'!B81&lt;&gt;"",'[1]Processer - data'!B81,"")</f>
        <v>Økologisk</v>
      </c>
      <c r="C81" t="str">
        <f>IF('[1]Processer - data'!C81&lt;&gt;"",'[1]Processer - data'!C81,"")</f>
        <v/>
      </c>
      <c r="D81" t="str">
        <f>IF('[1]Processer - data'!D81&lt;&gt;"",'[1]Processer - data'!D81,"")</f>
        <v>Svin</v>
      </c>
      <c r="E81" t="str">
        <f>IF('[1]Processer - data'!E81&lt;&gt;"",'[1]Processer - data'!E81,"")</f>
        <v>Antal</v>
      </c>
      <c r="F81" t="str">
        <f>IF('[1]Processer - data'!F81&lt;&gt;"",'[1]Processer - data'!F81,"")</f>
        <v>Slagtesvin</v>
      </c>
      <c r="G81" t="str">
        <f>IF('[1]Processer - data'!G81&lt;&gt;"",'[1]Processer - data'!G81,"")</f>
        <v>Antal</v>
      </c>
      <c r="H81" s="302" t="e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input'!$A$3:$A$230,$A$1)),IF(VLOOKUP($A81,[1]!Table1[#All],2,FALSE)="Resultat",SUMIF($F$1:$F80,$D81,H$1:H80)+SUMIF($F82:$F$490,$D81,H82:H$490),0))*'[1]Processer - data'!H81,"")*IF($C81&lt;&gt;"",IF($F81="Halm",Landbrug!C$16*Landbrug!C$17,IF(LEFT($D81,5)="Areal", IF($G81="Ton",Landbrug!C$18,1),1)),1)*IF($F81="Grøntsager",IF($A81="Grøntsager i drivhus",Landbrug!C$51,1-Landbrug!C$51),1)</f>
        <v>#REF!</v>
      </c>
      <c r="I81" s="303" t="e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input'!$A$3:$A$230,$A$1)),IF(VLOOKUP($A81,[1]!Table1[#All],2,FALSE)="Resultat",SUMIF($F$1:$F80,$D81,I$1:I80)+SUMIF($F82:$F$490,$D81,I82:I$490),0))*'[1]Processer - data'!I81,"")*IF($C81&lt;&gt;"",IF($F81="Halm",Landbrug!D$16*Landbrug!D$17,IF(LEFT($D81,5)="Areal", IF($G81="Ton",Landbrug!D$18,1),1)),1)*IF($F81="Grøntsager",IF($A81="Grøntsager i drivhus",Landbrug!D$51,1-Landbrug!D$51),1)</f>
        <v>#REF!</v>
      </c>
      <c r="J81" s="304" t="e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input'!$A$3:$A$230,$A$1)),IF(VLOOKUP($A81,[1]!Table1[#All],2,FALSE)="Resultat",SUMIF($F$1:$F80,$D81,J$1:J80)+SUMIF($F82:$F$490,$D81,J82:J$490),0))*'[1]Processer - data'!J81,"")*IF($C81&lt;&gt;"",IF($F81="Halm",Landbrug!E$16*Landbrug!E$17,IF(LEFT($D81,5)="Areal", IF($G81="Ton",Landbrug!E$18,1),1)),1)*IF($F81="Grøntsager",IF($A81="Grøntsager i drivhus",Landbrug!E$51,1-Landbrug!E$51),1)</f>
        <v>#REF!</v>
      </c>
    </row>
    <row r="82" spans="1:10" x14ac:dyDescent="0.25">
      <c r="A82" t="str">
        <f>IF('[1]Processer - data'!A82&lt;&gt;"",'[1]Processer - data'!A82,"")</f>
        <v>Grisestald</v>
      </c>
      <c r="B82" t="str">
        <f>IF('[1]Processer - data'!B82&lt;&gt;"",'[1]Processer - data'!B82,"")</f>
        <v>Økologisk</v>
      </c>
      <c r="C82" t="str">
        <f>IF('[1]Processer - data'!C82&lt;&gt;"",'[1]Processer - data'!C82,"")</f>
        <v/>
      </c>
      <c r="D82" t="str">
        <f>IF('[1]Processer - data'!D82&lt;&gt;"",'[1]Processer - data'!D82,"")</f>
        <v>Svin</v>
      </c>
      <c r="E82" t="str">
        <f>IF('[1]Processer - data'!E82&lt;&gt;"",'[1]Processer - data'!E82,"")</f>
        <v>Antal</v>
      </c>
      <c r="F82" t="str">
        <f>IF('[1]Processer - data'!F82&lt;&gt;"",'[1]Processer - data'!F82,"")</f>
        <v>Svinegylle</v>
      </c>
      <c r="G82" t="str">
        <f>IF('[1]Processer - data'!G82&lt;&gt;"",'[1]Processer - data'!G82,"")</f>
        <v>Ton</v>
      </c>
      <c r="H82" s="302" t="e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input'!$A$3:$A$230,$A$1)),IF(VLOOKUP($A82,[1]!Table1[#All],2,FALSE)="Resultat",SUMIF($F$1:$F81,$D82,H$1:H81)+SUMIF($F83:$F$490,$D82,H83:H$490),0))*'[1]Processer - data'!H82,"")*IF($C82&lt;&gt;"",IF($F82="Halm",Landbrug!C$16*Landbrug!C$17,IF(LEFT($D82,5)="Areal", IF($G82="Ton",Landbrug!C$18,1),1)),1)*IF($F82="Grøntsager",IF($A82="Grøntsager i drivhus",Landbrug!C$51,1-Landbrug!C$51),1)</f>
        <v>#REF!</v>
      </c>
      <c r="I82" s="303" t="e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input'!$A$3:$A$230,$A$1)),IF(VLOOKUP($A82,[1]!Table1[#All],2,FALSE)="Resultat",SUMIF($F$1:$F81,$D82,I$1:I81)+SUMIF($F83:$F$490,$D82,I83:I$490),0))*'[1]Processer - data'!I82,"")*IF($C82&lt;&gt;"",IF($F82="Halm",Landbrug!D$16*Landbrug!D$17,IF(LEFT($D82,5)="Areal", IF($G82="Ton",Landbrug!D$18,1),1)),1)*IF($F82="Grøntsager",IF($A82="Grøntsager i drivhus",Landbrug!D$51,1-Landbrug!D$51),1)</f>
        <v>#REF!</v>
      </c>
      <c r="J82" s="304" t="e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input'!$A$3:$A$230,$A$1)),IF(VLOOKUP($A82,[1]!Table1[#All],2,FALSE)="Resultat",SUMIF($F$1:$F81,$D82,J$1:J81)+SUMIF($F83:$F$490,$D82,J83:J$490),0))*'[1]Processer - data'!J82,"")*IF($C82&lt;&gt;"",IF($F82="Halm",Landbrug!E$16*Landbrug!E$17,IF(LEFT($D82,5)="Areal", IF($G82="Ton",Landbrug!E$18,1),1)),1)*IF($F82="Grøntsager",IF($A82="Grøntsager i drivhus",Landbrug!E$51,1-Landbrug!E$51),1)</f>
        <v>#REF!</v>
      </c>
    </row>
    <row r="83" spans="1:10" x14ac:dyDescent="0.25">
      <c r="A83" t="str">
        <f>IF('[1]Processer - data'!A83&lt;&gt;"",'[1]Processer - data'!A83,"")</f>
        <v>Grisestald</v>
      </c>
      <c r="B83" t="str">
        <f>IF('[1]Processer - data'!B83&lt;&gt;"",'[1]Processer - data'!B83,"")</f>
        <v>Økologisk</v>
      </c>
      <c r="C83" t="str">
        <f>IF('[1]Processer - data'!C83&lt;&gt;"",'[1]Processer - data'!C83,"")</f>
        <v/>
      </c>
      <c r="D83" t="str">
        <f>IF('[1]Processer - data'!D83&lt;&gt;"",'[1]Processer - data'!D83,"")</f>
        <v>Svin</v>
      </c>
      <c r="E83" t="str">
        <f>IF('[1]Processer - data'!E83&lt;&gt;"",'[1]Processer - data'!E83,"")</f>
        <v>Antal</v>
      </c>
      <c r="F83" t="str">
        <f>IF('[1]Processer - data'!F83&lt;&gt;"",'[1]Processer - data'!F83,"")</f>
        <v>Dybstrøelse</v>
      </c>
      <c r="G83" t="str">
        <f>IF('[1]Processer - data'!G83&lt;&gt;"",'[1]Processer - data'!G83,"")</f>
        <v>Ton</v>
      </c>
      <c r="H83" s="302" t="e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input'!$A$3:$A$230,$A$1)),IF(VLOOKUP($A83,[1]!Table1[#All],2,FALSE)="Resultat",SUMIF($F$1:$F82,$D83,H$1:H82)+SUMIF($F84:$F$490,$D83,H84:H$490),0))*'[1]Processer - data'!H83,"")*IF($C83&lt;&gt;"",IF($F83="Halm",Landbrug!C$16*Landbrug!C$17,IF(LEFT($D83,5)="Areal", IF($G83="Ton",Landbrug!C$18,1),1)),1)*IF($F83="Grøntsager",IF($A83="Grøntsager i drivhus",Landbrug!C$51,1-Landbrug!C$51),1)</f>
        <v>#REF!</v>
      </c>
      <c r="I83" s="303" t="e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input'!$A$3:$A$230,$A$1)),IF(VLOOKUP($A83,[1]!Table1[#All],2,FALSE)="Resultat",SUMIF($F$1:$F82,$D83,I$1:I82)+SUMIF($F84:$F$490,$D83,I84:I$490),0))*'[1]Processer - data'!I83,"")*IF($C83&lt;&gt;"",IF($F83="Halm",Landbrug!D$16*Landbrug!D$17,IF(LEFT($D83,5)="Areal", IF($G83="Ton",Landbrug!D$18,1),1)),1)*IF($F83="Grøntsager",IF($A83="Grøntsager i drivhus",Landbrug!D$51,1-Landbrug!D$51),1)</f>
        <v>#REF!</v>
      </c>
      <c r="J83" s="304" t="e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input'!$A$3:$A$230,$A$1)),IF(VLOOKUP($A83,[1]!Table1[#All],2,FALSE)="Resultat",SUMIF($F$1:$F82,$D83,J$1:J82)+SUMIF($F84:$F$490,$D83,J84:J$490),0))*'[1]Processer - data'!J83,"")*IF($C83&lt;&gt;"",IF($F83="Halm",Landbrug!E$16*Landbrug!E$17,IF(LEFT($D83,5)="Areal", IF($G83="Ton",Landbrug!E$18,1),1)),1)*IF($F83="Grøntsager",IF($A83="Grøntsager i drivhus",Landbrug!E$51,1-Landbrug!E$51),1)</f>
        <v>#REF!</v>
      </c>
    </row>
    <row r="84" spans="1:10" x14ac:dyDescent="0.25">
      <c r="A84" t="str">
        <f>IF('[1]Processer - data'!A84&lt;&gt;"",'[1]Processer - data'!A84,"")</f>
        <v>Grisestald</v>
      </c>
      <c r="B84" t="str">
        <f>IF('[1]Processer - data'!B84&lt;&gt;"",'[1]Processer - data'!B84,"")</f>
        <v>Økologisk</v>
      </c>
      <c r="C84" t="str">
        <f>IF('[1]Processer - data'!C84&lt;&gt;"",'[1]Processer - data'!C84,"")</f>
        <v/>
      </c>
      <c r="D84" t="str">
        <f>IF('[1]Processer - data'!D84&lt;&gt;"",'[1]Processer - data'!D84,"")</f>
        <v>Svin</v>
      </c>
      <c r="E84" t="str">
        <f>IF('[1]Processer - data'!E84&lt;&gt;"",'[1]Processer - data'!E84,"")</f>
        <v>Antal</v>
      </c>
      <c r="F84" t="str">
        <f>IF('[1]Processer - data'!F84&lt;&gt;"",'[1]Processer - data'!F84,"")</f>
        <v>Industriaffald</v>
      </c>
      <c r="G84" t="str">
        <f>IF('[1]Processer - data'!G84&lt;&gt;"",'[1]Processer - data'!G84,"")</f>
        <v>Ton</v>
      </c>
      <c r="H84" s="302" t="e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input'!$A$3:$A$230,$A$1)),IF(VLOOKUP($A84,[1]!Table1[#All],2,FALSE)="Resultat",SUMIF($F$1:$F83,$D84,H$1:H83)+SUMIF($F85:$F$490,$D84,H85:H$490),0))*'[1]Processer - data'!H84,"")*IF($C84&lt;&gt;"",IF($F84="Halm",Landbrug!C$16*Landbrug!C$17,IF(LEFT($D84,5)="Areal", IF($G84="Ton",Landbrug!C$18,1),1)),1)*IF($F84="Grøntsager",IF($A84="Grøntsager i drivhus",Landbrug!C$51,1-Landbrug!C$51),1)</f>
        <v>#REF!</v>
      </c>
      <c r="I84" s="303" t="e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input'!$A$3:$A$230,$A$1)),IF(VLOOKUP($A84,[1]!Table1[#All],2,FALSE)="Resultat",SUMIF($F$1:$F83,$D84,I$1:I83)+SUMIF($F85:$F$490,$D84,I85:I$490),0))*'[1]Processer - data'!I84,"")*IF($C84&lt;&gt;"",IF($F84="Halm",Landbrug!D$16*Landbrug!D$17,IF(LEFT($D84,5)="Areal", IF($G84="Ton",Landbrug!D$18,1),1)),1)*IF($F84="Grøntsager",IF($A84="Grøntsager i drivhus",Landbrug!D$51,1-Landbrug!D$51),1)</f>
        <v>#REF!</v>
      </c>
      <c r="J84" s="304" t="e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input'!$A$3:$A$230,$A$1)),IF(VLOOKUP($A84,[1]!Table1[#All],2,FALSE)="Resultat",SUMIF($F$1:$F83,$D84,J$1:J83)+SUMIF($F85:$F$490,$D84,J85:J$490),0))*'[1]Processer - data'!J84,"")*IF($C84&lt;&gt;"",IF($F84="Halm",Landbrug!E$16*Landbrug!E$17,IF(LEFT($D84,5)="Areal", IF($G84="Ton",Landbrug!E$18,1),1)),1)*IF($F84="Grøntsager",IF($A84="Grøntsager i drivhus",Landbrug!E$51,1-Landbrug!E$51),1)</f>
        <v>#REF!</v>
      </c>
    </row>
    <row r="85" spans="1:10" x14ac:dyDescent="0.25">
      <c r="A85" t="str">
        <f>IF('[1]Processer - data'!A85&lt;&gt;"",'[1]Processer - data'!A85,"")</f>
        <v>Grisestald</v>
      </c>
      <c r="B85" t="str">
        <f>IF('[1]Processer - data'!B85&lt;&gt;"",'[1]Processer - data'!B85,"")</f>
        <v>Økologisk</v>
      </c>
      <c r="C85" t="str">
        <f>IF('[1]Processer - data'!C85&lt;&gt;"",'[1]Processer - data'!C85,"")</f>
        <v/>
      </c>
      <c r="D85" t="str">
        <f>IF('[1]Processer - data'!D85&lt;&gt;"",'[1]Processer - data'!D85,"")</f>
        <v>Svin</v>
      </c>
      <c r="E85" t="str">
        <f>IF('[1]Processer - data'!E85&lt;&gt;"",'[1]Processer - data'!E85,"")</f>
        <v>Antal</v>
      </c>
      <c r="F85" t="str">
        <f>IF('[1]Processer - data'!F85&lt;&gt;"",'[1]Processer - data'!F85,"")</f>
        <v>Foder</v>
      </c>
      <c r="G85" t="str">
        <f>IF('[1]Processer - data'!G85&lt;&gt;"",'[1]Processer - data'!G85,"")</f>
        <v>FE</v>
      </c>
      <c r="H85" s="302" t="e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input'!$A$3:$A$230,$A$1)),IF(VLOOKUP($A85,[1]!Table1[#All],2,FALSE)="Resultat",SUMIF($F$1:$F84,$D85,H$1:H84)+SUMIF($F86:$F$490,$D85,H86:H$490),0))*'[1]Processer - data'!H85,"")*IF($C85&lt;&gt;"",IF($F85="Halm",Landbrug!C$16*Landbrug!C$17,IF(LEFT($D85,5)="Areal", IF($G85="Ton",Landbrug!C$18,1),1)),1)*IF($F85="Grøntsager",IF($A85="Grøntsager i drivhus",Landbrug!C$51,1-Landbrug!C$51),1)</f>
        <v>#REF!</v>
      </c>
      <c r="I85" s="303" t="e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input'!$A$3:$A$230,$A$1)),IF(VLOOKUP($A85,[1]!Table1[#All],2,FALSE)="Resultat",SUMIF($F$1:$F84,$D85,I$1:I84)+SUMIF($F86:$F$490,$D85,I86:I$490),0))*'[1]Processer - data'!I85,"")*IF($C85&lt;&gt;"",IF($F85="Halm",Landbrug!D$16*Landbrug!D$17,IF(LEFT($D85,5)="Areal", IF($G85="Ton",Landbrug!D$18,1),1)),1)*IF($F85="Grøntsager",IF($A85="Grøntsager i drivhus",Landbrug!D$51,1-Landbrug!D$51),1)</f>
        <v>#REF!</v>
      </c>
      <c r="J85" s="304" t="e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input'!$A$3:$A$230,$A$1)),IF(VLOOKUP($A85,[1]!Table1[#All],2,FALSE)="Resultat",SUMIF($F$1:$F84,$D85,J$1:J84)+SUMIF($F86:$F$490,$D85,J86:J$490),0))*'[1]Processer - data'!J85,"")*IF($C85&lt;&gt;"",IF($F85="Halm",Landbrug!E$16*Landbrug!E$17,IF(LEFT($D85,5)="Areal", IF($G85="Ton",Landbrug!E$18,1),1)),1)*IF($F85="Grøntsager",IF($A85="Grøntsager i drivhus",Landbrug!E$51,1-Landbrug!E$51),1)</f>
        <v>#REF!</v>
      </c>
    </row>
    <row r="86" spans="1:10" x14ac:dyDescent="0.25">
      <c r="A86" t="str">
        <f>IF('[1]Processer - data'!A86&lt;&gt;"",'[1]Processer - data'!A86,"")</f>
        <v>Grisestald</v>
      </c>
      <c r="B86" t="str">
        <f>IF('[1]Processer - data'!B86&lt;&gt;"",'[1]Processer - data'!B86,"")</f>
        <v>Økologisk</v>
      </c>
      <c r="C86" t="str">
        <f>IF('[1]Processer - data'!C86&lt;&gt;"",'[1]Processer - data'!C86,"")</f>
        <v/>
      </c>
      <c r="D86" t="str">
        <f>IF('[1]Processer - data'!D86&lt;&gt;"",'[1]Processer - data'!D86,"")</f>
        <v>Svin</v>
      </c>
      <c r="E86" t="str">
        <f>IF('[1]Processer - data'!E86&lt;&gt;"",'[1]Processer - data'!E86,"")</f>
        <v>Antal</v>
      </c>
      <c r="F86" t="str">
        <f>IF('[1]Processer - data'!F86&lt;&gt;"",'[1]Processer - data'!F86,"")</f>
        <v>Halm</v>
      </c>
      <c r="G86" t="str">
        <f>IF('[1]Processer - data'!G86&lt;&gt;"",'[1]Processer - data'!G86,"")</f>
        <v>Ton</v>
      </c>
      <c r="H86" s="302" t="e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input'!$A$3:$A$230,$A$1)),IF(VLOOKUP($A86,[1]!Table1[#All],2,FALSE)="Resultat",SUMIF($F$1:$F85,$D86,H$1:H85)+SUMIF($F87:$F$490,$D86,H87:H$490),0))*'[1]Processer - data'!H86,"")*IF($C86&lt;&gt;"",IF($F86="Halm",Landbrug!C$16*Landbrug!C$17,IF(LEFT($D86,5)="Areal", IF($G86="Ton",Landbrug!C$18,1),1)),1)*IF($F86="Grøntsager",IF($A86="Grøntsager i drivhus",Landbrug!C$51,1-Landbrug!C$51),1)</f>
        <v>#REF!</v>
      </c>
      <c r="I86" s="303" t="e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input'!$A$3:$A$230,$A$1)),IF(VLOOKUP($A86,[1]!Table1[#All],2,FALSE)="Resultat",SUMIF($F$1:$F85,$D86,I$1:I85)+SUMIF($F87:$F$490,$D86,I87:I$490),0))*'[1]Processer - data'!I86,"")*IF($C86&lt;&gt;"",IF($F86="Halm",Landbrug!D$16*Landbrug!D$17,IF(LEFT($D86,5)="Areal", IF($G86="Ton",Landbrug!D$18,1),1)),1)*IF($F86="Grøntsager",IF($A86="Grøntsager i drivhus",Landbrug!D$51,1-Landbrug!D$51),1)</f>
        <v>#REF!</v>
      </c>
      <c r="J86" s="304" t="e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input'!$A$3:$A$230,$A$1)),IF(VLOOKUP($A86,[1]!Table1[#All],2,FALSE)="Resultat",SUMIF($F$1:$F85,$D86,J$1:J85)+SUMIF($F87:$F$490,$D86,J87:J$490),0))*'[1]Processer - data'!J86,"")*IF($C86&lt;&gt;"",IF($F86="Halm",Landbrug!E$16*Landbrug!E$17,IF(LEFT($D86,5)="Areal", IF($G86="Ton",Landbrug!E$18,1),1)),1)*IF($F86="Grøntsager",IF($A86="Grøntsager i drivhus",Landbrug!E$51,1-Landbrug!E$51),1)</f>
        <v>#REF!</v>
      </c>
    </row>
    <row r="87" spans="1:10" x14ac:dyDescent="0.25">
      <c r="A87" t="str">
        <f>IF('[1]Processer - data'!A87&lt;&gt;"",'[1]Processer - data'!A87,"")</f>
        <v>Grisestald</v>
      </c>
      <c r="B87" t="str">
        <f>IF('[1]Processer - data'!B87&lt;&gt;"",'[1]Processer - data'!B87,"")</f>
        <v>Økologisk</v>
      </c>
      <c r="C87" t="str">
        <f>IF('[1]Processer - data'!C87&lt;&gt;"",'[1]Processer - data'!C87,"")</f>
        <v/>
      </c>
      <c r="D87" t="str">
        <f>IF('[1]Processer - data'!D87&lt;&gt;"",'[1]Processer - data'!D87,"")</f>
        <v>Svin</v>
      </c>
      <c r="E87" t="str">
        <f>IF('[1]Processer - data'!E87&lt;&gt;"",'[1]Processer - data'!E87,"")</f>
        <v>Antal</v>
      </c>
      <c r="F87" t="str">
        <f>IF('[1]Processer - data'!F87&lt;&gt;"",'[1]Processer - data'!F87,"")</f>
        <v>CO2 - atmosfære</v>
      </c>
      <c r="G87" t="str">
        <f>IF('[1]Processer - data'!G87&lt;&gt;"",'[1]Processer - data'!G87,"")</f>
        <v>t CO2-ækvivalenter</v>
      </c>
      <c r="H87" s="302" t="e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input'!$A$3:$A$230,$A$1)),IF(VLOOKUP($A87,[1]!Table1[#All],2,FALSE)="Resultat",SUMIF($F$1:$F86,$D87,H$1:H86)+SUMIF($F88:$F$490,$D87,H88:H$490),0))*'[1]Processer - data'!H87,"")*IF($C87&lt;&gt;"",IF($F87="Halm",Landbrug!C$16*Landbrug!C$17,IF(LEFT($D87,5)="Areal", IF($G87="Ton",Landbrug!C$18,1),1)),1)*IF($F87="Grøntsager",IF($A87="Grøntsager i drivhus",Landbrug!C$51,1-Landbrug!C$51),1)</f>
        <v>#REF!</v>
      </c>
      <c r="I87" s="303" t="e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input'!$A$3:$A$230,$A$1)),IF(VLOOKUP($A87,[1]!Table1[#All],2,FALSE)="Resultat",SUMIF($F$1:$F86,$D87,I$1:I86)+SUMIF($F88:$F$490,$D87,I88:I$490),0))*'[1]Processer - data'!I87,"")*IF($C87&lt;&gt;"",IF($F87="Halm",Landbrug!D$16*Landbrug!D$17,IF(LEFT($D87,5)="Areal", IF($G87="Ton",Landbrug!D$18,1),1)),1)*IF($F87="Grøntsager",IF($A87="Grøntsager i drivhus",Landbrug!D$51,1-Landbrug!D$51),1)</f>
        <v>#REF!</v>
      </c>
      <c r="J87" s="304" t="e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input'!$A$3:$A$230,$A$1)),IF(VLOOKUP($A87,[1]!Table1[#All],2,FALSE)="Resultat",SUMIF($F$1:$F86,$D87,J$1:J86)+SUMIF($F88:$F$490,$D87,J88:J$490),0))*'[1]Processer - data'!J87,"")*IF($C87&lt;&gt;"",IF($F87="Halm",Landbrug!E$16*Landbrug!E$17,IF(LEFT($D87,5)="Areal", IF($G87="Ton",Landbrug!E$18,1),1)),1)*IF($F87="Grøntsager",IF($A87="Grøntsager i drivhus",Landbrug!E$51,1-Landbrug!E$51),1)</f>
        <v>#REF!</v>
      </c>
    </row>
    <row r="88" spans="1:10" x14ac:dyDescent="0.25">
      <c r="A88" t="str">
        <f>IF('[1]Processer - data'!A88&lt;&gt;"",'[1]Processer - data'!A88,"")</f>
        <v>Kostald</v>
      </c>
      <c r="B88" t="str">
        <f>IF('[1]Processer - data'!B88&lt;&gt;"",'[1]Processer - data'!B88,"")</f>
        <v>Konventionel</v>
      </c>
      <c r="C88" t="str">
        <f>IF('[1]Processer - data'!C88&lt;&gt;"",'[1]Processer - data'!C88,"")</f>
        <v/>
      </c>
      <c r="D88" t="str">
        <f>IF('[1]Processer - data'!D88&lt;&gt;"",'[1]Processer - data'!D88,"")</f>
        <v>Køer</v>
      </c>
      <c r="E88" t="str">
        <f>IF('[1]Processer - data'!E88&lt;&gt;"",'[1]Processer - data'!E88,"")</f>
        <v>Antal</v>
      </c>
      <c r="F88" t="str">
        <f>IF('[1]Processer - data'!F88&lt;&gt;"",'[1]Processer - data'!F88,"")</f>
        <v>Slagtekøer</v>
      </c>
      <c r="G88" t="str">
        <f>IF('[1]Processer - data'!G88&lt;&gt;"",'[1]Processer - data'!G88,"")</f>
        <v>Antal</v>
      </c>
      <c r="H88" s="302" t="e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input'!$A$3:$A$230,$A$1)),IF(VLOOKUP($A88,[1]!Table1[#All],2,FALSE)="Resultat",SUMIF($F$1:$F87,$D88,H$1:H87)+SUMIF($F89:$F$490,$D88,H89:H$490),0))*'[1]Processer - data'!H88,"")*IF($C88&lt;&gt;"",IF($F88="Halm",Landbrug!C$16*Landbrug!C$17,IF(LEFT($D88,5)="Areal", IF($G88="Ton",Landbrug!C$18,1),1)),1)*IF($F88="Grøntsager",IF($A88="Grøntsager i drivhus",Landbrug!C$51,1-Landbrug!C$51),1)</f>
        <v>#REF!</v>
      </c>
      <c r="I88" s="303" t="e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input'!$A$3:$A$230,$A$1)),IF(VLOOKUP($A88,[1]!Table1[#All],2,FALSE)="Resultat",SUMIF($F$1:$F87,$D88,I$1:I87)+SUMIF($F89:$F$490,$D88,I89:I$490),0))*'[1]Processer - data'!I88,"")*IF($C88&lt;&gt;"",IF($F88="Halm",Landbrug!D$16*Landbrug!D$17,IF(LEFT($D88,5)="Areal", IF($G88="Ton",Landbrug!D$18,1),1)),1)*IF($F88="Grøntsager",IF($A88="Grøntsager i drivhus",Landbrug!D$51,1-Landbrug!D$51),1)</f>
        <v>#REF!</v>
      </c>
      <c r="J88" s="304" t="e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input'!$A$3:$A$230,$A$1)),IF(VLOOKUP($A88,[1]!Table1[#All],2,FALSE)="Resultat",SUMIF($F$1:$F87,$D88,J$1:J87)+SUMIF($F89:$F$490,$D88,J89:J$490),0))*'[1]Processer - data'!J88,"")*IF($C88&lt;&gt;"",IF($F88="Halm",Landbrug!E$16*Landbrug!E$17,IF(LEFT($D88,5)="Areal", IF($G88="Ton",Landbrug!E$18,1),1)),1)*IF($F88="Grøntsager",IF($A88="Grøntsager i drivhus",Landbrug!E$51,1-Landbrug!E$51),1)</f>
        <v>#REF!</v>
      </c>
    </row>
    <row r="89" spans="1:10" x14ac:dyDescent="0.25">
      <c r="A89" t="str">
        <f>IF('[1]Processer - data'!A89&lt;&gt;"",'[1]Processer - data'!A89,"")</f>
        <v>Kostald</v>
      </c>
      <c r="B89" t="str">
        <f>IF('[1]Processer - data'!B89&lt;&gt;"",'[1]Processer - data'!B89,"")</f>
        <v>Konventionel</v>
      </c>
      <c r="C89" t="str">
        <f>IF('[1]Processer - data'!C89&lt;&gt;"",'[1]Processer - data'!C89,"")</f>
        <v/>
      </c>
      <c r="D89" t="str">
        <f>IF('[1]Processer - data'!D89&lt;&gt;"",'[1]Processer - data'!D89,"")</f>
        <v>Køer</v>
      </c>
      <c r="E89" t="str">
        <f>IF('[1]Processer - data'!E89&lt;&gt;"",'[1]Processer - data'!E89,"")</f>
        <v>Antal</v>
      </c>
      <c r="F89" t="str">
        <f>IF('[1]Processer - data'!F89&lt;&gt;"",'[1]Processer - data'!F89,"")</f>
        <v>Kvæggylle</v>
      </c>
      <c r="G89" t="str">
        <f>IF('[1]Processer - data'!G89&lt;&gt;"",'[1]Processer - data'!G89,"")</f>
        <v>Ton</v>
      </c>
      <c r="H89" s="302" t="e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input'!$A$3:$A$230,$A$1)),IF(VLOOKUP($A89,[1]!Table1[#All],2,FALSE)="Resultat",SUMIF($F$1:$F88,$D89,H$1:H88)+SUMIF($F90:$F$490,$D89,H90:H$490),0))*'[1]Processer - data'!H89,"")*IF($C89&lt;&gt;"",IF($F89="Halm",Landbrug!C$16*Landbrug!C$17,IF(LEFT($D89,5)="Areal", IF($G89="Ton",Landbrug!C$18,1),1)),1)*IF($F89="Grøntsager",IF($A89="Grøntsager i drivhus",Landbrug!C$51,1-Landbrug!C$51),1)</f>
        <v>#REF!</v>
      </c>
      <c r="I89" s="303" t="e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input'!$A$3:$A$230,$A$1)),IF(VLOOKUP($A89,[1]!Table1[#All],2,FALSE)="Resultat",SUMIF($F$1:$F88,$D89,I$1:I88)+SUMIF($F90:$F$490,$D89,I90:I$490),0))*'[1]Processer - data'!I89,"")*IF($C89&lt;&gt;"",IF($F89="Halm",Landbrug!D$16*Landbrug!D$17,IF(LEFT($D89,5)="Areal", IF($G89="Ton",Landbrug!D$18,1),1)),1)*IF($F89="Grøntsager",IF($A89="Grøntsager i drivhus",Landbrug!D$51,1-Landbrug!D$51),1)</f>
        <v>#REF!</v>
      </c>
      <c r="J89" s="304" t="e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input'!$A$3:$A$230,$A$1)),IF(VLOOKUP($A89,[1]!Table1[#All],2,FALSE)="Resultat",SUMIF($F$1:$F88,$D89,J$1:J88)+SUMIF($F90:$F$490,$D89,J90:J$490),0))*'[1]Processer - data'!J89,"")*IF($C89&lt;&gt;"",IF($F89="Halm",Landbrug!E$16*Landbrug!E$17,IF(LEFT($D89,5)="Areal", IF($G89="Ton",Landbrug!E$18,1),1)),1)*IF($F89="Grøntsager",IF($A89="Grøntsager i drivhus",Landbrug!E$51,1-Landbrug!E$51),1)</f>
        <v>#REF!</v>
      </c>
    </row>
    <row r="90" spans="1:10" x14ac:dyDescent="0.25">
      <c r="A90" t="str">
        <f>IF('[1]Processer - data'!A90&lt;&gt;"",'[1]Processer - data'!A90,"")</f>
        <v>Kostald</v>
      </c>
      <c r="B90" t="str">
        <f>IF('[1]Processer - data'!B90&lt;&gt;"",'[1]Processer - data'!B90,"")</f>
        <v>Konventionel</v>
      </c>
      <c r="C90" t="str">
        <f>IF('[1]Processer - data'!C90&lt;&gt;"",'[1]Processer - data'!C90,"")</f>
        <v/>
      </c>
      <c r="D90" t="str">
        <f>IF('[1]Processer - data'!D90&lt;&gt;"",'[1]Processer - data'!D90,"")</f>
        <v>Køer</v>
      </c>
      <c r="E90" t="str">
        <f>IF('[1]Processer - data'!E90&lt;&gt;"",'[1]Processer - data'!E90,"")</f>
        <v>Antal</v>
      </c>
      <c r="F90" t="str">
        <f>IF('[1]Processer - data'!F90&lt;&gt;"",'[1]Processer - data'!F90,"")</f>
        <v>Dybstrøelse</v>
      </c>
      <c r="G90" t="str">
        <f>IF('[1]Processer - data'!G90&lt;&gt;"",'[1]Processer - data'!G90,"")</f>
        <v>Ton</v>
      </c>
      <c r="H90" s="302" t="e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input'!$A$3:$A$230,$A$1)),IF(VLOOKUP($A90,[1]!Table1[#All],2,FALSE)="Resultat",SUMIF($F$1:$F89,$D90,H$1:H89)+SUMIF($F91:$F$490,$D90,H91:H$490),0))*'[1]Processer - data'!H90,"")*IF($C90&lt;&gt;"",IF($F90="Halm",Landbrug!C$16*Landbrug!C$17,IF(LEFT($D90,5)="Areal", IF($G90="Ton",Landbrug!C$18,1),1)),1)*IF($F90="Grøntsager",IF($A90="Grøntsager i drivhus",Landbrug!C$51,1-Landbrug!C$51),1)</f>
        <v>#REF!</v>
      </c>
      <c r="I90" s="303" t="e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input'!$A$3:$A$230,$A$1)),IF(VLOOKUP($A90,[1]!Table1[#All],2,FALSE)="Resultat",SUMIF($F$1:$F89,$D90,I$1:I89)+SUMIF($F91:$F$490,$D90,I91:I$490),0))*'[1]Processer - data'!I90,"")*IF($C90&lt;&gt;"",IF($F90="Halm",Landbrug!D$16*Landbrug!D$17,IF(LEFT($D90,5)="Areal", IF($G90="Ton",Landbrug!D$18,1),1)),1)*IF($F90="Grøntsager",IF($A90="Grøntsager i drivhus",Landbrug!D$51,1-Landbrug!D$51),1)</f>
        <v>#REF!</v>
      </c>
      <c r="J90" s="304" t="e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input'!$A$3:$A$230,$A$1)),IF(VLOOKUP($A90,[1]!Table1[#All],2,FALSE)="Resultat",SUMIF($F$1:$F89,$D90,J$1:J89)+SUMIF($F91:$F$490,$D90,J91:J$490),0))*'[1]Processer - data'!J90,"")*IF($C90&lt;&gt;"",IF($F90="Halm",Landbrug!E$16*Landbrug!E$17,IF(LEFT($D90,5)="Areal", IF($G90="Ton",Landbrug!E$18,1),1)),1)*IF($F90="Grøntsager",IF($A90="Grøntsager i drivhus",Landbrug!E$51,1-Landbrug!E$51),1)</f>
        <v>#REF!</v>
      </c>
    </row>
    <row r="91" spans="1:10" x14ac:dyDescent="0.25">
      <c r="A91" t="str">
        <f>IF('[1]Processer - data'!A91&lt;&gt;"",'[1]Processer - data'!A91,"")</f>
        <v>Kostald</v>
      </c>
      <c r="B91" t="str">
        <f>IF('[1]Processer - data'!B91&lt;&gt;"",'[1]Processer - data'!B91,"")</f>
        <v>Konventionel</v>
      </c>
      <c r="C91" t="str">
        <f>IF('[1]Processer - data'!C91&lt;&gt;"",'[1]Processer - data'!C91,"")</f>
        <v/>
      </c>
      <c r="D91" t="str">
        <f>IF('[1]Processer - data'!D91&lt;&gt;"",'[1]Processer - data'!D91,"")</f>
        <v>Køer</v>
      </c>
      <c r="E91" t="str">
        <f>IF('[1]Processer - data'!E91&lt;&gt;"",'[1]Processer - data'!E91,"")</f>
        <v>Antal</v>
      </c>
      <c r="F91" t="str">
        <f>IF('[1]Processer - data'!F91&lt;&gt;"",'[1]Processer - data'!F91,"")</f>
        <v>Råmælk</v>
      </c>
      <c r="G91" t="str">
        <f>IF('[1]Processer - data'!G91&lt;&gt;"",'[1]Processer - data'!G91,"")</f>
        <v>Ton</v>
      </c>
      <c r="H91" s="302" t="e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input'!$A$3:$A$230,$A$1)),IF(VLOOKUP($A91,[1]!Table1[#All],2,FALSE)="Resultat",SUMIF($F$1:$F90,$D91,H$1:H90)+SUMIF($F92:$F$490,$D91,H92:H$490),0))*'[1]Processer - data'!H91,"")*IF($C91&lt;&gt;"",IF($F91="Halm",Landbrug!C$16*Landbrug!C$17,IF(LEFT($D91,5)="Areal", IF($G91="Ton",Landbrug!C$18,1),1)),1)*IF($F91="Grøntsager",IF($A91="Grøntsager i drivhus",Landbrug!C$51,1-Landbrug!C$51),1)</f>
        <v>#REF!</v>
      </c>
      <c r="I91" s="303" t="e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input'!$A$3:$A$230,$A$1)),IF(VLOOKUP($A91,[1]!Table1[#All],2,FALSE)="Resultat",SUMIF($F$1:$F90,$D91,I$1:I90)+SUMIF($F92:$F$490,$D91,I92:I$490),0))*'[1]Processer - data'!I91,"")*IF($C91&lt;&gt;"",IF($F91="Halm",Landbrug!D$16*Landbrug!D$17,IF(LEFT($D91,5)="Areal", IF($G91="Ton",Landbrug!D$18,1),1)),1)*IF($F91="Grøntsager",IF($A91="Grøntsager i drivhus",Landbrug!D$51,1-Landbrug!D$51),1)</f>
        <v>#REF!</v>
      </c>
      <c r="J91" s="304" t="e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input'!$A$3:$A$230,$A$1)),IF(VLOOKUP($A91,[1]!Table1[#All],2,FALSE)="Resultat",SUMIF($F$1:$F90,$D91,J$1:J90)+SUMIF($F92:$F$490,$D91,J92:J$490),0))*'[1]Processer - data'!J91,"")*IF($C91&lt;&gt;"",IF($F91="Halm",Landbrug!E$16*Landbrug!E$17,IF(LEFT($D91,5)="Areal", IF($G91="Ton",Landbrug!E$18,1),1)),1)*IF($F91="Grøntsager",IF($A91="Grøntsager i drivhus",Landbrug!E$51,1-Landbrug!E$51),1)</f>
        <v>#REF!</v>
      </c>
    </row>
    <row r="92" spans="1:10" x14ac:dyDescent="0.25">
      <c r="A92" t="str">
        <f>IF('[1]Processer - data'!A92&lt;&gt;"",'[1]Processer - data'!A92,"")</f>
        <v>Kostald</v>
      </c>
      <c r="B92" t="str">
        <f>IF('[1]Processer - data'!B92&lt;&gt;"",'[1]Processer - data'!B92,"")</f>
        <v>Konventionel</v>
      </c>
      <c r="C92" t="str">
        <f>IF('[1]Processer - data'!C92&lt;&gt;"",'[1]Processer - data'!C92,"")</f>
        <v/>
      </c>
      <c r="D92" t="str">
        <f>IF('[1]Processer - data'!D92&lt;&gt;"",'[1]Processer - data'!D92,"")</f>
        <v>Køer</v>
      </c>
      <c r="E92" t="str">
        <f>IF('[1]Processer - data'!E92&lt;&gt;"",'[1]Processer - data'!E92,"")</f>
        <v>Antal</v>
      </c>
      <c r="F92" t="str">
        <f>IF('[1]Processer - data'!F92&lt;&gt;"",'[1]Processer - data'!F92,"")</f>
        <v>Industriaffald</v>
      </c>
      <c r="G92" t="str">
        <f>IF('[1]Processer - data'!G92&lt;&gt;"",'[1]Processer - data'!G92,"")</f>
        <v>Ton</v>
      </c>
      <c r="H92" s="302" t="e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input'!$A$3:$A$230,$A$1)),IF(VLOOKUP($A92,[1]!Table1[#All],2,FALSE)="Resultat",SUMIF($F$1:$F91,$D92,H$1:H91)+SUMIF($F93:$F$490,$D92,H93:H$490),0))*'[1]Processer - data'!H92,"")*IF($C92&lt;&gt;"",IF($F92="Halm",Landbrug!C$16*Landbrug!C$17,IF(LEFT($D92,5)="Areal", IF($G92="Ton",Landbrug!C$18,1),1)),1)*IF($F92="Grøntsager",IF($A92="Grøntsager i drivhus",Landbrug!C$51,1-Landbrug!C$51),1)</f>
        <v>#REF!</v>
      </c>
      <c r="I92" s="303" t="e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input'!$A$3:$A$230,$A$1)),IF(VLOOKUP($A92,[1]!Table1[#All],2,FALSE)="Resultat",SUMIF($F$1:$F91,$D92,I$1:I91)+SUMIF($F93:$F$490,$D92,I93:I$490),0))*'[1]Processer - data'!I92,"")*IF($C92&lt;&gt;"",IF($F92="Halm",Landbrug!D$16*Landbrug!D$17,IF(LEFT($D92,5)="Areal", IF($G92="Ton",Landbrug!D$18,1),1)),1)*IF($F92="Grøntsager",IF($A92="Grøntsager i drivhus",Landbrug!D$51,1-Landbrug!D$51),1)</f>
        <v>#REF!</v>
      </c>
      <c r="J92" s="304" t="e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input'!$A$3:$A$230,$A$1)),IF(VLOOKUP($A92,[1]!Table1[#All],2,FALSE)="Resultat",SUMIF($F$1:$F91,$D92,J$1:J91)+SUMIF($F93:$F$490,$D92,J93:J$490),0))*'[1]Processer - data'!J92,"")*IF($C92&lt;&gt;"",IF($F92="Halm",Landbrug!E$16*Landbrug!E$17,IF(LEFT($D92,5)="Areal", IF($G92="Ton",Landbrug!E$18,1),1)),1)*IF($F92="Grøntsager",IF($A92="Grøntsager i drivhus",Landbrug!E$51,1-Landbrug!E$51),1)</f>
        <v>#REF!</v>
      </c>
    </row>
    <row r="93" spans="1:10" x14ac:dyDescent="0.25">
      <c r="A93" t="str">
        <f>IF('[1]Processer - data'!A93&lt;&gt;"",'[1]Processer - data'!A93,"")</f>
        <v>Kostald</v>
      </c>
      <c r="B93" t="str">
        <f>IF('[1]Processer - data'!B93&lt;&gt;"",'[1]Processer - data'!B93,"")</f>
        <v>Konventionel</v>
      </c>
      <c r="C93" t="str">
        <f>IF('[1]Processer - data'!C93&lt;&gt;"",'[1]Processer - data'!C93,"")</f>
        <v/>
      </c>
      <c r="D93" t="str">
        <f>IF('[1]Processer - data'!D93&lt;&gt;"",'[1]Processer - data'!D93,"")</f>
        <v>Køer</v>
      </c>
      <c r="E93" t="str">
        <f>IF('[1]Processer - data'!E93&lt;&gt;"",'[1]Processer - data'!E93,"")</f>
        <v>Antal</v>
      </c>
      <c r="F93" t="str">
        <f>IF('[1]Processer - data'!F93&lt;&gt;"",'[1]Processer - data'!F93,"")</f>
        <v>Foder</v>
      </c>
      <c r="G93" t="str">
        <f>IF('[1]Processer - data'!G93&lt;&gt;"",'[1]Processer - data'!G93,"")</f>
        <v>FE</v>
      </c>
      <c r="H93" s="302" t="e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input'!$A$3:$A$230,$A$1)),IF(VLOOKUP($A93,[1]!Table1[#All],2,FALSE)="Resultat",SUMIF($F$1:$F92,$D93,H$1:H92)+SUMIF($F94:$F$490,$D93,H94:H$490),0))*'[1]Processer - data'!H93,"")*IF($C93&lt;&gt;"",IF($F93="Halm",Landbrug!C$16*Landbrug!C$17,IF(LEFT($D93,5)="Areal", IF($G93="Ton",Landbrug!C$18,1),1)),1)*IF($F93="Grøntsager",IF($A93="Grøntsager i drivhus",Landbrug!C$51,1-Landbrug!C$51),1)</f>
        <v>#REF!</v>
      </c>
      <c r="I93" s="303" t="e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input'!$A$3:$A$230,$A$1)),IF(VLOOKUP($A93,[1]!Table1[#All],2,FALSE)="Resultat",SUMIF($F$1:$F92,$D93,I$1:I92)+SUMIF($F94:$F$490,$D93,I94:I$490),0))*'[1]Processer - data'!I93,"")*IF($C93&lt;&gt;"",IF($F93="Halm",Landbrug!D$16*Landbrug!D$17,IF(LEFT($D93,5)="Areal", IF($G93="Ton",Landbrug!D$18,1),1)),1)*IF($F93="Grøntsager",IF($A93="Grøntsager i drivhus",Landbrug!D$51,1-Landbrug!D$51),1)</f>
        <v>#REF!</v>
      </c>
      <c r="J93" s="304" t="e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input'!$A$3:$A$230,$A$1)),IF(VLOOKUP($A93,[1]!Table1[#All],2,FALSE)="Resultat",SUMIF($F$1:$F92,$D93,J$1:J92)+SUMIF($F94:$F$490,$D93,J94:J$490),0))*'[1]Processer - data'!J93,"")*IF($C93&lt;&gt;"",IF($F93="Halm",Landbrug!E$16*Landbrug!E$17,IF(LEFT($D93,5)="Areal", IF($G93="Ton",Landbrug!E$18,1),1)),1)*IF($F93="Grøntsager",IF($A93="Grøntsager i drivhus",Landbrug!E$51,1-Landbrug!E$51),1)</f>
        <v>#REF!</v>
      </c>
    </row>
    <row r="94" spans="1:10" x14ac:dyDescent="0.25">
      <c r="A94" t="str">
        <f>IF('[1]Processer - data'!A94&lt;&gt;"",'[1]Processer - data'!A94,"")</f>
        <v>Kostald</v>
      </c>
      <c r="B94" t="str">
        <f>IF('[1]Processer - data'!B94&lt;&gt;"",'[1]Processer - data'!B94,"")</f>
        <v>Konventionel</v>
      </c>
      <c r="C94" t="str">
        <f>IF('[1]Processer - data'!C94&lt;&gt;"",'[1]Processer - data'!C94,"")</f>
        <v/>
      </c>
      <c r="D94" t="str">
        <f>IF('[1]Processer - data'!D94&lt;&gt;"",'[1]Processer - data'!D94,"")</f>
        <v>Køer</v>
      </c>
      <c r="E94" t="str">
        <f>IF('[1]Processer - data'!E94&lt;&gt;"",'[1]Processer - data'!E94,"")</f>
        <v>Antal</v>
      </c>
      <c r="F94" t="str">
        <f>IF('[1]Processer - data'!F94&lt;&gt;"",'[1]Processer - data'!F94,"")</f>
        <v>Halm</v>
      </c>
      <c r="G94" t="str">
        <f>IF('[1]Processer - data'!G94&lt;&gt;"",'[1]Processer - data'!G94,"")</f>
        <v>Ton</v>
      </c>
      <c r="H94" s="302" t="e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input'!$A$3:$A$230,$A$1)),IF(VLOOKUP($A94,[1]!Table1[#All],2,FALSE)="Resultat",SUMIF($F$1:$F93,$D94,H$1:H93)+SUMIF($F95:$F$490,$D94,H95:H$490),0))*'[1]Processer - data'!H94,"")*IF($C94&lt;&gt;"",IF($F94="Halm",Landbrug!C$16*Landbrug!C$17,IF(LEFT($D94,5)="Areal", IF($G94="Ton",Landbrug!C$18,1),1)),1)*IF($F94="Grøntsager",IF($A94="Grøntsager i drivhus",Landbrug!C$51,1-Landbrug!C$51),1)</f>
        <v>#REF!</v>
      </c>
      <c r="I94" s="303" t="e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input'!$A$3:$A$230,$A$1)),IF(VLOOKUP($A94,[1]!Table1[#All],2,FALSE)="Resultat",SUMIF($F$1:$F93,$D94,I$1:I93)+SUMIF($F95:$F$490,$D94,I95:I$490),0))*'[1]Processer - data'!I94,"")*IF($C94&lt;&gt;"",IF($F94="Halm",Landbrug!D$16*Landbrug!D$17,IF(LEFT($D94,5)="Areal", IF($G94="Ton",Landbrug!D$18,1),1)),1)*IF($F94="Grøntsager",IF($A94="Grøntsager i drivhus",Landbrug!D$51,1-Landbrug!D$51),1)</f>
        <v>#REF!</v>
      </c>
      <c r="J94" s="304" t="e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input'!$A$3:$A$230,$A$1)),IF(VLOOKUP($A94,[1]!Table1[#All],2,FALSE)="Resultat",SUMIF($F$1:$F93,$D94,J$1:J93)+SUMIF($F95:$F$490,$D94,J95:J$490),0))*'[1]Processer - data'!J94,"")*IF($C94&lt;&gt;"",IF($F94="Halm",Landbrug!E$16*Landbrug!E$17,IF(LEFT($D94,5)="Areal", IF($G94="Ton",Landbrug!E$18,1),1)),1)*IF($F94="Grøntsager",IF($A94="Grøntsager i drivhus",Landbrug!E$51,1-Landbrug!E$51),1)</f>
        <v>#REF!</v>
      </c>
    </row>
    <row r="95" spans="1:10" x14ac:dyDescent="0.25">
      <c r="A95" t="str">
        <f>IF('[1]Processer - data'!A95&lt;&gt;"",'[1]Processer - data'!A95,"")</f>
        <v>Kostald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Køer</v>
      </c>
      <c r="E95" t="str">
        <f>IF('[1]Processer - data'!E95&lt;&gt;"",'[1]Processer - data'!E95,"")</f>
        <v>Antal</v>
      </c>
      <c r="F95" t="str">
        <f>IF('[1]Processer - data'!F95&lt;&gt;"",'[1]Processer - data'!F95,"")</f>
        <v>CO2 - atmosfære</v>
      </c>
      <c r="G95" t="str">
        <f>IF('[1]Processer - data'!G95&lt;&gt;"",'[1]Processer - data'!G95,"")</f>
        <v>t CO2-ækvivalenter</v>
      </c>
      <c r="H95" s="302" t="e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input'!$A$3:$A$230,$A$1)),IF(VLOOKUP($A95,[1]!Table1[#All],2,FALSE)="Resultat",SUMIF($F$1:$F94,$D95,H$1:H94)+SUMIF($F96:$F$490,$D95,H96:H$490),0))*'[1]Processer - data'!H95,"")*IF($C95&lt;&gt;"",IF($F95="Halm",Landbrug!C$16*Landbrug!C$17,IF(LEFT($D95,5)="Areal", IF($G95="Ton",Landbrug!C$18,1),1)),1)*IF($F95="Grøntsager",IF($A95="Grøntsager i drivhus",Landbrug!C$51,1-Landbrug!C$51),1)</f>
        <v>#REF!</v>
      </c>
      <c r="I95" s="303" t="e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input'!$A$3:$A$230,$A$1)),IF(VLOOKUP($A95,[1]!Table1[#All],2,FALSE)="Resultat",SUMIF($F$1:$F94,$D95,I$1:I94)+SUMIF($F96:$F$490,$D95,I96:I$490),0))*'[1]Processer - data'!I95,"")*IF($C95&lt;&gt;"",IF($F95="Halm",Landbrug!D$16*Landbrug!D$17,IF(LEFT($D95,5)="Areal", IF($G95="Ton",Landbrug!D$18,1),1)),1)*IF($F95="Grøntsager",IF($A95="Grøntsager i drivhus",Landbrug!D$51,1-Landbrug!D$51),1)</f>
        <v>#REF!</v>
      </c>
      <c r="J95" s="304" t="e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input'!$A$3:$A$230,$A$1)),IF(VLOOKUP($A95,[1]!Table1[#All],2,FALSE)="Resultat",SUMIF($F$1:$F94,$D95,J$1:J94)+SUMIF($F96:$F$490,$D95,J96:J$490),0))*'[1]Processer - data'!J95,"")*IF($C95&lt;&gt;"",IF($F95="Halm",Landbrug!E$16*Landbrug!E$17,IF(LEFT($D95,5)="Areal", IF($G95="Ton",Landbrug!E$18,1),1)),1)*IF($F95="Grøntsager",IF($A95="Grøntsager i drivhus",Landbrug!E$51,1-Landbrug!E$51),1)</f>
        <v>#REF!</v>
      </c>
    </row>
    <row r="96" spans="1:10" x14ac:dyDescent="0.25">
      <c r="A96" t="str">
        <f>IF('[1]Processer - data'!A96&lt;&gt;"",'[1]Processer - data'!A96,"")</f>
        <v>Kostald</v>
      </c>
      <c r="B96" t="str">
        <f>IF('[1]Processer - data'!B96&lt;&gt;"",'[1]Processer - data'!B96,"")</f>
        <v>Økologisk</v>
      </c>
      <c r="C96" t="str">
        <f>IF('[1]Processer - data'!C96&lt;&gt;"",'[1]Processer - data'!C96,"")</f>
        <v/>
      </c>
      <c r="D96" t="str">
        <f>IF('[1]Processer - data'!D96&lt;&gt;"",'[1]Processer - data'!D96,"")</f>
        <v>Køer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Slagtekøer</v>
      </c>
      <c r="G96" t="str">
        <f>IF('[1]Processer - data'!G96&lt;&gt;"",'[1]Processer - data'!G96,"")</f>
        <v>Antal</v>
      </c>
      <c r="H96" s="302" t="e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input'!$A$3:$A$230,$A$1)),IF(VLOOKUP($A96,[1]!Table1[#All],2,FALSE)="Resultat",SUMIF($F$1:$F95,$D96,H$1:H95)+SUMIF($F97:$F$490,$D96,H97:H$490),0))*'[1]Processer - data'!H96,"")*IF($C96&lt;&gt;"",IF($F96="Halm",Landbrug!C$16*Landbrug!C$17,IF(LEFT($D96,5)="Areal", IF($G96="Ton",Landbrug!C$18,1),1)),1)*IF($F96="Grøntsager",IF($A96="Grøntsager i drivhus",Landbrug!C$51,1-Landbrug!C$51),1)</f>
        <v>#REF!</v>
      </c>
      <c r="I96" s="303" t="e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input'!$A$3:$A$230,$A$1)),IF(VLOOKUP($A96,[1]!Table1[#All],2,FALSE)="Resultat",SUMIF($F$1:$F95,$D96,I$1:I95)+SUMIF($F97:$F$490,$D96,I97:I$490),0))*'[1]Processer - data'!I96,"")*IF($C96&lt;&gt;"",IF($F96="Halm",Landbrug!D$16*Landbrug!D$17,IF(LEFT($D96,5)="Areal", IF($G96="Ton",Landbrug!D$18,1),1)),1)*IF($F96="Grøntsager",IF($A96="Grøntsager i drivhus",Landbrug!D$51,1-Landbrug!D$51),1)</f>
        <v>#REF!</v>
      </c>
      <c r="J96" s="304" t="e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input'!$A$3:$A$230,$A$1)),IF(VLOOKUP($A96,[1]!Table1[#All],2,FALSE)="Resultat",SUMIF($F$1:$F95,$D96,J$1:J95)+SUMIF($F97:$F$490,$D96,J97:J$490),0))*'[1]Processer - data'!J96,"")*IF($C96&lt;&gt;"",IF($F96="Halm",Landbrug!E$16*Landbrug!E$17,IF(LEFT($D96,5)="Areal", IF($G96="Ton",Landbrug!E$18,1),1)),1)*IF($F96="Grøntsager",IF($A96="Grøntsager i drivhus",Landbrug!E$51,1-Landbrug!E$51),1)</f>
        <v>#REF!</v>
      </c>
    </row>
    <row r="97" spans="1:10" x14ac:dyDescent="0.25">
      <c r="A97" t="str">
        <f>IF('[1]Processer - data'!A97&lt;&gt;"",'[1]Processer - data'!A97,"")</f>
        <v>Kostald</v>
      </c>
      <c r="B97" t="str">
        <f>IF('[1]Processer - data'!B97&lt;&gt;"",'[1]Processer - data'!B97,"")</f>
        <v>Økologisk</v>
      </c>
      <c r="C97" t="str">
        <f>IF('[1]Processer - data'!C97&lt;&gt;"",'[1]Processer - data'!C97,"")</f>
        <v/>
      </c>
      <c r="D97" t="str">
        <f>IF('[1]Processer - data'!D97&lt;&gt;"",'[1]Processer - data'!D97,"")</f>
        <v>Køer</v>
      </c>
      <c r="E97" t="str">
        <f>IF('[1]Processer - data'!E97&lt;&gt;"",'[1]Processer - data'!E97,"")</f>
        <v>Antal</v>
      </c>
      <c r="F97" t="str">
        <f>IF('[1]Processer - data'!F97&lt;&gt;"",'[1]Processer - data'!F97,"")</f>
        <v>Kvæggylle</v>
      </c>
      <c r="G97" t="str">
        <f>IF('[1]Processer - data'!G97&lt;&gt;"",'[1]Processer - data'!G97,"")</f>
        <v>Ton</v>
      </c>
      <c r="H97" s="302" t="e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input'!$A$3:$A$230,$A$1)),IF(VLOOKUP($A97,[1]!Table1[#All],2,FALSE)="Resultat",SUMIF($F$1:$F96,$D97,H$1:H96)+SUMIF($F98:$F$490,$D97,H98:H$490),0))*'[1]Processer - data'!H97,"")*IF($C97&lt;&gt;"",IF($F97="Halm",Landbrug!C$16*Landbrug!C$17,IF(LEFT($D97,5)="Areal", IF($G97="Ton",Landbrug!C$18,1),1)),1)*IF($F97="Grøntsager",IF($A97="Grøntsager i drivhus",Landbrug!C$51,1-Landbrug!C$51),1)</f>
        <v>#REF!</v>
      </c>
      <c r="I97" s="303" t="e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input'!$A$3:$A$230,$A$1)),IF(VLOOKUP($A97,[1]!Table1[#All],2,FALSE)="Resultat",SUMIF($F$1:$F96,$D97,I$1:I96)+SUMIF($F98:$F$490,$D97,I98:I$490),0))*'[1]Processer - data'!I97,"")*IF($C97&lt;&gt;"",IF($F97="Halm",Landbrug!D$16*Landbrug!D$17,IF(LEFT($D97,5)="Areal", IF($G97="Ton",Landbrug!D$18,1),1)),1)*IF($F97="Grøntsager",IF($A97="Grøntsager i drivhus",Landbrug!D$51,1-Landbrug!D$51),1)</f>
        <v>#REF!</v>
      </c>
      <c r="J97" s="304" t="e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input'!$A$3:$A$230,$A$1)),IF(VLOOKUP($A97,[1]!Table1[#All],2,FALSE)="Resultat",SUMIF($F$1:$F96,$D97,J$1:J96)+SUMIF($F98:$F$490,$D97,J98:J$490),0))*'[1]Processer - data'!J97,"")*IF($C97&lt;&gt;"",IF($F97="Halm",Landbrug!E$16*Landbrug!E$17,IF(LEFT($D97,5)="Areal", IF($G97="Ton",Landbrug!E$18,1),1)),1)*IF($F97="Grøntsager",IF($A97="Grøntsager i drivhus",Landbrug!E$51,1-Landbrug!E$51),1)</f>
        <v>#REF!</v>
      </c>
    </row>
    <row r="98" spans="1:10" x14ac:dyDescent="0.25">
      <c r="A98" t="str">
        <f>IF('[1]Processer - data'!A98&lt;&gt;"",'[1]Processer - data'!A98,"")</f>
        <v>Kostald</v>
      </c>
      <c r="B98" t="str">
        <f>IF('[1]Processer - data'!B98&lt;&gt;"",'[1]Processer - data'!B98,"")</f>
        <v>Økologisk</v>
      </c>
      <c r="C98" t="str">
        <f>IF('[1]Processer - data'!C98&lt;&gt;"",'[1]Processer - data'!C98,"")</f>
        <v/>
      </c>
      <c r="D98" t="str">
        <f>IF('[1]Processer - data'!D98&lt;&gt;"",'[1]Processer - data'!D98,"")</f>
        <v>Køer</v>
      </c>
      <c r="E98" t="str">
        <f>IF('[1]Processer - data'!E98&lt;&gt;"",'[1]Processer - data'!E98,"")</f>
        <v>Antal</v>
      </c>
      <c r="F98" t="str">
        <f>IF('[1]Processer - data'!F98&lt;&gt;"",'[1]Processer - data'!F98,"")</f>
        <v>Dybstrøelse</v>
      </c>
      <c r="G98" t="str">
        <f>IF('[1]Processer - data'!G98&lt;&gt;"",'[1]Processer - data'!G98,"")</f>
        <v>Ton</v>
      </c>
      <c r="H98" s="302" t="e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input'!$A$3:$A$230,$A$1)),IF(VLOOKUP($A98,[1]!Table1[#All],2,FALSE)="Resultat",SUMIF($F$1:$F97,$D98,H$1:H97)+SUMIF($F99:$F$490,$D98,H99:H$490),0))*'[1]Processer - data'!H98,"")*IF($C98&lt;&gt;"",IF($F98="Halm",Landbrug!C$16*Landbrug!C$17,IF(LEFT($D98,5)="Areal", IF($G98="Ton",Landbrug!C$18,1),1)),1)*IF($F98="Grøntsager",IF($A98="Grøntsager i drivhus",Landbrug!C$51,1-Landbrug!C$51),1)</f>
        <v>#REF!</v>
      </c>
      <c r="I98" s="303" t="e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input'!$A$3:$A$230,$A$1)),IF(VLOOKUP($A98,[1]!Table1[#All],2,FALSE)="Resultat",SUMIF($F$1:$F97,$D98,I$1:I97)+SUMIF($F99:$F$490,$D98,I99:I$490),0))*'[1]Processer - data'!I98,"")*IF($C98&lt;&gt;"",IF($F98="Halm",Landbrug!D$16*Landbrug!D$17,IF(LEFT($D98,5)="Areal", IF($G98="Ton",Landbrug!D$18,1),1)),1)*IF($F98="Grøntsager",IF($A98="Grøntsager i drivhus",Landbrug!D$51,1-Landbrug!D$51),1)</f>
        <v>#REF!</v>
      </c>
      <c r="J98" s="304" t="e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input'!$A$3:$A$230,$A$1)),IF(VLOOKUP($A98,[1]!Table1[#All],2,FALSE)="Resultat",SUMIF($F$1:$F97,$D98,J$1:J97)+SUMIF($F99:$F$490,$D98,J99:J$490),0))*'[1]Processer - data'!J98,"")*IF($C98&lt;&gt;"",IF($F98="Halm",Landbrug!E$16*Landbrug!E$17,IF(LEFT($D98,5)="Areal", IF($G98="Ton",Landbrug!E$18,1),1)),1)*IF($F98="Grøntsager",IF($A98="Grøntsager i drivhus",Landbrug!E$51,1-Landbrug!E$51),1)</f>
        <v>#REF!</v>
      </c>
    </row>
    <row r="99" spans="1:10" x14ac:dyDescent="0.25">
      <c r="A99" t="str">
        <f>IF('[1]Processer - data'!A99&lt;&gt;"",'[1]Processer - data'!A99,"")</f>
        <v>Kostald</v>
      </c>
      <c r="B99" t="str">
        <f>IF('[1]Processer - data'!B99&lt;&gt;"",'[1]Processer - data'!B99,"")</f>
        <v>Økologisk</v>
      </c>
      <c r="C99" t="str">
        <f>IF('[1]Processer - data'!C99&lt;&gt;"",'[1]Processer - data'!C99,"")</f>
        <v/>
      </c>
      <c r="D99" t="str">
        <f>IF('[1]Processer - data'!D99&lt;&gt;"",'[1]Processer - data'!D99,"")</f>
        <v>Køer</v>
      </c>
      <c r="E99" t="str">
        <f>IF('[1]Processer - data'!E99&lt;&gt;"",'[1]Processer - data'!E99,"")</f>
        <v>Antal</v>
      </c>
      <c r="F99" t="str">
        <f>IF('[1]Processer - data'!F99&lt;&gt;"",'[1]Processer - data'!F99,"")</f>
        <v>Råmælk</v>
      </c>
      <c r="G99" t="str">
        <f>IF('[1]Processer - data'!G99&lt;&gt;"",'[1]Processer - data'!G99,"")</f>
        <v>Ton</v>
      </c>
      <c r="H99" s="302" t="e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input'!$A$3:$A$230,$A$1)),IF(VLOOKUP($A99,[1]!Table1[#All],2,FALSE)="Resultat",SUMIF($F$1:$F98,$D99,H$1:H98)+SUMIF($F100:$F$490,$D99,H100:H$490),0))*'[1]Processer - data'!H99,"")*IF($C99&lt;&gt;"",IF($F99="Halm",Landbrug!C$16*Landbrug!C$17,IF(LEFT($D99,5)="Areal", IF($G99="Ton",Landbrug!C$18,1),1)),1)*IF($F99="Grøntsager",IF($A99="Grøntsager i drivhus",Landbrug!C$51,1-Landbrug!C$51),1)</f>
        <v>#REF!</v>
      </c>
      <c r="I99" s="303" t="e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input'!$A$3:$A$230,$A$1)),IF(VLOOKUP($A99,[1]!Table1[#All],2,FALSE)="Resultat",SUMIF($F$1:$F98,$D99,I$1:I98)+SUMIF($F100:$F$490,$D99,I100:I$490),0))*'[1]Processer - data'!I99,"")*IF($C99&lt;&gt;"",IF($F99="Halm",Landbrug!D$16*Landbrug!D$17,IF(LEFT($D99,5)="Areal", IF($G99="Ton",Landbrug!D$18,1),1)),1)*IF($F99="Grøntsager",IF($A99="Grøntsager i drivhus",Landbrug!D$51,1-Landbrug!D$51),1)</f>
        <v>#REF!</v>
      </c>
      <c r="J99" s="304" t="e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input'!$A$3:$A$230,$A$1)),IF(VLOOKUP($A99,[1]!Table1[#All],2,FALSE)="Resultat",SUMIF($F$1:$F98,$D99,J$1:J98)+SUMIF($F100:$F$490,$D99,J100:J$490),0))*'[1]Processer - data'!J99,"")*IF($C99&lt;&gt;"",IF($F99="Halm",Landbrug!E$16*Landbrug!E$17,IF(LEFT($D99,5)="Areal", IF($G99="Ton",Landbrug!E$18,1),1)),1)*IF($F99="Grøntsager",IF($A99="Grøntsager i drivhus",Landbrug!E$51,1-Landbrug!E$51),1)</f>
        <v>#REF!</v>
      </c>
    </row>
    <row r="100" spans="1:10" x14ac:dyDescent="0.25">
      <c r="A100" t="str">
        <f>IF('[1]Processer - data'!A100&lt;&gt;"",'[1]Processer - data'!A100,"")</f>
        <v>Kostald</v>
      </c>
      <c r="B100" t="str">
        <f>IF('[1]Processer - data'!B100&lt;&gt;"",'[1]Processer - data'!B100,"")</f>
        <v>Økologisk</v>
      </c>
      <c r="C100" t="str">
        <f>IF('[1]Processer - data'!C100&lt;&gt;"",'[1]Processer - data'!C100,"")</f>
        <v/>
      </c>
      <c r="D100" t="str">
        <f>IF('[1]Processer - data'!D100&lt;&gt;"",'[1]Processer - data'!D100,"")</f>
        <v>Køer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Industriaffald</v>
      </c>
      <c r="G100" t="str">
        <f>IF('[1]Processer - data'!G100&lt;&gt;"",'[1]Processer - data'!G100,"")</f>
        <v>Ton</v>
      </c>
      <c r="H100" s="302" t="e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input'!$A$3:$A$230,$A$1)),IF(VLOOKUP($A100,[1]!Table1[#All],2,FALSE)="Resultat",SUMIF($F$1:$F99,$D100,H$1:H99)+SUMIF($F101:$F$490,$D100,H101:H$490),0))*'[1]Processer - data'!H100,"")*IF($C100&lt;&gt;"",IF($F100="Halm",Landbrug!C$16*Landbrug!C$17,IF(LEFT($D100,5)="Areal", IF($G100="Ton",Landbrug!C$18,1),1)),1)*IF($F100="Grøntsager",IF($A100="Grøntsager i drivhus",Landbrug!C$51,1-Landbrug!C$51),1)</f>
        <v>#REF!</v>
      </c>
      <c r="I100" s="303" t="e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input'!$A$3:$A$230,$A$1)),IF(VLOOKUP($A100,[1]!Table1[#All],2,FALSE)="Resultat",SUMIF($F$1:$F99,$D100,I$1:I99)+SUMIF($F101:$F$490,$D100,I101:I$490),0))*'[1]Processer - data'!I100,"")*IF($C100&lt;&gt;"",IF($F100="Halm",Landbrug!D$16*Landbrug!D$17,IF(LEFT($D100,5)="Areal", IF($G100="Ton",Landbrug!D$18,1),1)),1)*IF($F100="Grøntsager",IF($A100="Grøntsager i drivhus",Landbrug!D$51,1-Landbrug!D$51),1)</f>
        <v>#REF!</v>
      </c>
      <c r="J100" s="304" t="e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input'!$A$3:$A$230,$A$1)),IF(VLOOKUP($A100,[1]!Table1[#All],2,FALSE)="Resultat",SUMIF($F$1:$F99,$D100,J$1:J99)+SUMIF($F101:$F$490,$D100,J101:J$490),0))*'[1]Processer - data'!J100,"")*IF($C100&lt;&gt;"",IF($F100="Halm",Landbrug!E$16*Landbrug!E$17,IF(LEFT($D100,5)="Areal", IF($G100="Ton",Landbrug!E$18,1),1)),1)*IF($F100="Grøntsager",IF($A100="Grøntsager i drivhus",Landbrug!E$51,1-Landbrug!E$51),1)</f>
        <v>#REF!</v>
      </c>
    </row>
    <row r="101" spans="1:10" x14ac:dyDescent="0.25">
      <c r="A101" t="str">
        <f>IF('[1]Processer - data'!A101&lt;&gt;"",'[1]Processer - data'!A101,"")</f>
        <v>Kostald</v>
      </c>
      <c r="B101" t="str">
        <f>IF('[1]Processer - data'!B101&lt;&gt;"",'[1]Processer - data'!B101,"")</f>
        <v>Økologisk</v>
      </c>
      <c r="C101" t="str">
        <f>IF('[1]Processer - data'!C101&lt;&gt;"",'[1]Processer - data'!C101,"")</f>
        <v/>
      </c>
      <c r="D101" t="str">
        <f>IF('[1]Processer - data'!D101&lt;&gt;"",'[1]Processer - data'!D101,"")</f>
        <v>Køer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Foder</v>
      </c>
      <c r="G101" t="str">
        <f>IF('[1]Processer - data'!G101&lt;&gt;"",'[1]Processer - data'!G101,"")</f>
        <v>FE</v>
      </c>
      <c r="H101" s="302" t="e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input'!$A$3:$A$230,$A$1)),IF(VLOOKUP($A101,[1]!Table1[#All],2,FALSE)="Resultat",SUMIF($F$1:$F100,$D101,H$1:H100)+SUMIF($F102:$F$490,$D101,H102:H$490),0))*'[1]Processer - data'!H101,"")*IF($C101&lt;&gt;"",IF($F101="Halm",Landbrug!C$16*Landbrug!C$17,IF(LEFT($D101,5)="Areal", IF($G101="Ton",Landbrug!C$18,1),1)),1)*IF($F101="Grøntsager",IF($A101="Grøntsager i drivhus",Landbrug!C$51,1-Landbrug!C$51),1)</f>
        <v>#REF!</v>
      </c>
      <c r="I101" s="303" t="e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input'!$A$3:$A$230,$A$1)),IF(VLOOKUP($A101,[1]!Table1[#All],2,FALSE)="Resultat",SUMIF($F$1:$F100,$D101,I$1:I100)+SUMIF($F102:$F$490,$D101,I102:I$490),0))*'[1]Processer - data'!I101,"")*IF($C101&lt;&gt;"",IF($F101="Halm",Landbrug!D$16*Landbrug!D$17,IF(LEFT($D101,5)="Areal", IF($G101="Ton",Landbrug!D$18,1),1)),1)*IF($F101="Grøntsager",IF($A101="Grøntsager i drivhus",Landbrug!D$51,1-Landbrug!D$51),1)</f>
        <v>#REF!</v>
      </c>
      <c r="J101" s="304" t="e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input'!$A$3:$A$230,$A$1)),IF(VLOOKUP($A101,[1]!Table1[#All],2,FALSE)="Resultat",SUMIF($F$1:$F100,$D101,J$1:J100)+SUMIF($F102:$F$490,$D101,J102:J$490),0))*'[1]Processer - data'!J101,"")*IF($C101&lt;&gt;"",IF($F101="Halm",Landbrug!E$16*Landbrug!E$17,IF(LEFT($D101,5)="Areal", IF($G101="Ton",Landbrug!E$18,1),1)),1)*IF($F101="Grøntsager",IF($A101="Grøntsager i drivhus",Landbrug!E$51,1-Landbrug!E$51),1)</f>
        <v>#REF!</v>
      </c>
    </row>
    <row r="102" spans="1:10" x14ac:dyDescent="0.25">
      <c r="A102" t="str">
        <f>IF('[1]Processer - data'!A102&lt;&gt;"",'[1]Processer - data'!A102,"")</f>
        <v>Kostald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Køer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Halm</v>
      </c>
      <c r="G102" t="str">
        <f>IF('[1]Processer - data'!G102&lt;&gt;"",'[1]Processer - data'!G102,"")</f>
        <v>Ton</v>
      </c>
      <c r="H102" s="302" t="e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input'!$A$3:$A$230,$A$1)),IF(VLOOKUP($A102,[1]!Table1[#All],2,FALSE)="Resultat",SUMIF($F$1:$F101,$D102,H$1:H101)+SUMIF($F103:$F$490,$D102,H103:H$490),0))*'[1]Processer - data'!H102,"")*IF($C102&lt;&gt;"",IF($F102="Halm",Landbrug!C$16*Landbrug!C$17,IF(LEFT($D102,5)="Areal", IF($G102="Ton",Landbrug!C$18,1),1)),1)*IF($F102="Grøntsager",IF($A102="Grøntsager i drivhus",Landbrug!C$51,1-Landbrug!C$51),1)</f>
        <v>#REF!</v>
      </c>
      <c r="I102" s="303" t="e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input'!$A$3:$A$230,$A$1)),IF(VLOOKUP($A102,[1]!Table1[#All],2,FALSE)="Resultat",SUMIF($F$1:$F101,$D102,I$1:I101)+SUMIF($F103:$F$490,$D102,I103:I$490),0))*'[1]Processer - data'!I102,"")*IF($C102&lt;&gt;"",IF($F102="Halm",Landbrug!D$16*Landbrug!D$17,IF(LEFT($D102,5)="Areal", IF($G102="Ton",Landbrug!D$18,1),1)),1)*IF($F102="Grøntsager",IF($A102="Grøntsager i drivhus",Landbrug!D$51,1-Landbrug!D$51),1)</f>
        <v>#REF!</v>
      </c>
      <c r="J102" s="304" t="e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input'!$A$3:$A$230,$A$1)),IF(VLOOKUP($A102,[1]!Table1[#All],2,FALSE)="Resultat",SUMIF($F$1:$F101,$D102,J$1:J101)+SUMIF($F103:$F$490,$D102,J103:J$490),0))*'[1]Processer - data'!J102,"")*IF($C102&lt;&gt;"",IF($F102="Halm",Landbrug!E$16*Landbrug!E$17,IF(LEFT($D102,5)="Areal", IF($G102="Ton",Landbrug!E$18,1),1)),1)*IF($F102="Grøntsager",IF($A102="Grøntsager i drivhus",Landbrug!E$51,1-Landbrug!E$51),1)</f>
        <v>#REF!</v>
      </c>
    </row>
    <row r="103" spans="1:10" x14ac:dyDescent="0.25">
      <c r="A103" t="str">
        <f>IF('[1]Processer - data'!A103&lt;&gt;"",'[1]Processer - data'!A103,"")</f>
        <v>Kostald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Køer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CO2 - atmosfære</v>
      </c>
      <c r="G103" t="str">
        <f>IF('[1]Processer - data'!G103&lt;&gt;"",'[1]Processer - data'!G103,"")</f>
        <v>t CO2-ækvivalenter</v>
      </c>
      <c r="H103" s="302" t="e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input'!$A$3:$A$230,$A$1)),IF(VLOOKUP($A103,[1]!Table1[#All],2,FALSE)="Resultat",SUMIF($F$1:$F102,$D103,H$1:H102)+SUMIF($F104:$F$490,$D103,H104:H$490),0))*'[1]Processer - data'!H103,"")*IF($C103&lt;&gt;"",IF($F103="Halm",Landbrug!C$16*Landbrug!C$17,IF(LEFT($D103,5)="Areal", IF($G103="Ton",Landbrug!C$18,1),1)),1)*IF($F103="Grøntsager",IF($A103="Grøntsager i drivhus",Landbrug!C$51,1-Landbrug!C$51),1)</f>
        <v>#REF!</v>
      </c>
      <c r="I103" s="303" t="e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input'!$A$3:$A$230,$A$1)),IF(VLOOKUP($A103,[1]!Table1[#All],2,FALSE)="Resultat",SUMIF($F$1:$F102,$D103,I$1:I102)+SUMIF($F104:$F$490,$D103,I104:I$490),0))*'[1]Processer - data'!I103,"")*IF($C103&lt;&gt;"",IF($F103="Halm",Landbrug!D$16*Landbrug!D$17,IF(LEFT($D103,5)="Areal", IF($G103="Ton",Landbrug!D$18,1),1)),1)*IF($F103="Grøntsager",IF($A103="Grøntsager i drivhus",Landbrug!D$51,1-Landbrug!D$51),1)</f>
        <v>#REF!</v>
      </c>
      <c r="J103" s="304" t="e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input'!$A$3:$A$230,$A$1)),IF(VLOOKUP($A103,[1]!Table1[#All],2,FALSE)="Resultat",SUMIF($F$1:$F102,$D103,J$1:J102)+SUMIF($F104:$F$490,$D103,J104:J$490),0))*'[1]Processer - data'!J103,"")*IF($C103&lt;&gt;"",IF($F103="Halm",Landbrug!E$16*Landbrug!E$17,IF(LEFT($D103,5)="Areal", IF($G103="Ton",Landbrug!E$18,1),1)),1)*IF($F103="Grøntsager",IF($A103="Grøntsager i drivhus",Landbrug!E$51,1-Landbrug!E$51),1)</f>
        <v>#REF!</v>
      </c>
    </row>
    <row r="104" spans="1:10" x14ac:dyDescent="0.25">
      <c r="A104" t="str">
        <f>IF('[1]Processer - data'!A104&lt;&gt;"",'[1]Processer - data'!A104,"")</f>
        <v>Fjerkræbrug</v>
      </c>
      <c r="B104" t="str">
        <f>IF('[1]Processer - data'!B104&lt;&gt;"",'[1]Processer - data'!B104,"")</f>
        <v>Konventionel</v>
      </c>
      <c r="C104" t="str">
        <f>IF('[1]Processer - data'!C104&lt;&gt;"",'[1]Processer - data'!C104,"")</f>
        <v/>
      </c>
      <c r="D104" t="str">
        <f>IF('[1]Processer - data'!D104&lt;&gt;"",'[1]Processer - data'!D104,"")</f>
        <v>Fjerkræ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Slagtefjerkræ</v>
      </c>
      <c r="G104" t="str">
        <f>IF('[1]Processer - data'!G104&lt;&gt;"",'[1]Processer - data'!G104,"")</f>
        <v>Antal</v>
      </c>
      <c r="H104" s="302" t="e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input'!$A$3:$A$230,$A$1)),IF(VLOOKUP($A104,[1]!Table1[#All],2,FALSE)="Resultat",SUMIF($F$1:$F103,$D104,H$1:H103)+SUMIF($F105:$F$490,$D104,H105:H$490),0))*'[1]Processer - data'!H104,"")*IF($C104&lt;&gt;"",IF($F104="Halm",Landbrug!C$16*Landbrug!C$17,IF(LEFT($D104,5)="Areal", IF($G104="Ton",Landbrug!C$18,1),1)),1)*IF($F104="Grøntsager",IF($A104="Grøntsager i drivhus",Landbrug!C$51,1-Landbrug!C$51),1)</f>
        <v>#REF!</v>
      </c>
      <c r="I104" s="303" t="e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input'!$A$3:$A$230,$A$1)),IF(VLOOKUP($A104,[1]!Table1[#All],2,FALSE)="Resultat",SUMIF($F$1:$F103,$D104,I$1:I103)+SUMIF($F105:$F$490,$D104,I105:I$490),0))*'[1]Processer - data'!I104,"")*IF($C104&lt;&gt;"",IF($F104="Halm",Landbrug!D$16*Landbrug!D$17,IF(LEFT($D104,5)="Areal", IF($G104="Ton",Landbrug!D$18,1),1)),1)*IF($F104="Grøntsager",IF($A104="Grøntsager i drivhus",Landbrug!D$51,1-Landbrug!D$51),1)</f>
        <v>#REF!</v>
      </c>
      <c r="J104" s="304" t="e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input'!$A$3:$A$230,$A$1)),IF(VLOOKUP($A104,[1]!Table1[#All],2,FALSE)="Resultat",SUMIF($F$1:$F103,$D104,J$1:J103)+SUMIF($F105:$F$490,$D104,J105:J$490),0))*'[1]Processer - data'!J104,"")*IF($C104&lt;&gt;"",IF($F104="Halm",Landbrug!E$16*Landbrug!E$17,IF(LEFT($D104,5)="Areal", IF($G104="Ton",Landbrug!E$18,1),1)),1)*IF($F104="Grøntsager",IF($A104="Grøntsager i drivhus",Landbrug!E$51,1-Landbrug!E$51),1)</f>
        <v>#REF!</v>
      </c>
    </row>
    <row r="105" spans="1:10" x14ac:dyDescent="0.25">
      <c r="A105" t="str">
        <f>IF('[1]Processer - data'!A105&lt;&gt;"",'[1]Processer - data'!A105,"")</f>
        <v>Fjerkræbrug</v>
      </c>
      <c r="B105" t="str">
        <f>IF('[1]Processer - data'!B105&lt;&gt;"",'[1]Processer - data'!B105,"")</f>
        <v>Konventionel</v>
      </c>
      <c r="C105" t="str">
        <f>IF('[1]Processer - data'!C105&lt;&gt;"",'[1]Processer - data'!C105,"")</f>
        <v/>
      </c>
      <c r="D105" t="str">
        <f>IF('[1]Processer - data'!D105&lt;&gt;"",'[1]Processer - data'!D105,"")</f>
        <v>Fjerkræ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Fjerkrægylle</v>
      </c>
      <c r="G105" t="str">
        <f>IF('[1]Processer - data'!G105&lt;&gt;"",'[1]Processer - data'!G105,"")</f>
        <v>Ton</v>
      </c>
      <c r="H105" s="302" t="e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input'!$A$3:$A$230,$A$1)),IF(VLOOKUP($A105,[1]!Table1[#All],2,FALSE)="Resultat",SUMIF($F$1:$F104,$D105,H$1:H104)+SUMIF($F106:$F$490,$D105,H106:H$490),0))*'[1]Processer - data'!H105,"")*IF($C105&lt;&gt;"",IF($F105="Halm",Landbrug!C$16*Landbrug!C$17,IF(LEFT($D105,5)="Areal", IF($G105="Ton",Landbrug!C$18,1),1)),1)*IF($F105="Grøntsager",IF($A105="Grøntsager i drivhus",Landbrug!C$51,1-Landbrug!C$51),1)</f>
        <v>#REF!</v>
      </c>
      <c r="I105" s="303" t="e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input'!$A$3:$A$230,$A$1)),IF(VLOOKUP($A105,[1]!Table1[#All],2,FALSE)="Resultat",SUMIF($F$1:$F104,$D105,I$1:I104)+SUMIF($F106:$F$490,$D105,I106:I$490),0))*'[1]Processer - data'!I105,"")*IF($C105&lt;&gt;"",IF($F105="Halm",Landbrug!D$16*Landbrug!D$17,IF(LEFT($D105,5)="Areal", IF($G105="Ton",Landbrug!D$18,1),1)),1)*IF($F105="Grøntsager",IF($A105="Grøntsager i drivhus",Landbrug!D$51,1-Landbrug!D$51),1)</f>
        <v>#REF!</v>
      </c>
      <c r="J105" s="304" t="e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input'!$A$3:$A$230,$A$1)),IF(VLOOKUP($A105,[1]!Table1[#All],2,FALSE)="Resultat",SUMIF($F$1:$F104,$D105,J$1:J104)+SUMIF($F106:$F$490,$D105,J106:J$490),0))*'[1]Processer - data'!J105,"")*IF($C105&lt;&gt;"",IF($F105="Halm",Landbrug!E$16*Landbrug!E$17,IF(LEFT($D105,5)="Areal", IF($G105="Ton",Landbrug!E$18,1),1)),1)*IF($F105="Grøntsager",IF($A105="Grøntsager i drivhus",Landbrug!E$51,1-Landbrug!E$51),1)</f>
        <v>#REF!</v>
      </c>
    </row>
    <row r="106" spans="1:10" x14ac:dyDescent="0.25">
      <c r="A106" t="str">
        <f>IF('[1]Processer - data'!A106&lt;&gt;"",'[1]Processer - data'!A106,"")</f>
        <v>Fjerkræbrug</v>
      </c>
      <c r="B106" t="str">
        <f>IF('[1]Processer - data'!B106&lt;&gt;"",'[1]Processer - data'!B106,"")</f>
        <v>Konventionel</v>
      </c>
      <c r="C106" t="str">
        <f>IF('[1]Processer - data'!C106&lt;&gt;"",'[1]Processer - data'!C106,"")</f>
        <v/>
      </c>
      <c r="D106" t="str">
        <f>IF('[1]Processer - data'!D106&lt;&gt;"",'[1]Processer - data'!D106,"")</f>
        <v>Fjerkræ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Dybstrøelse</v>
      </c>
      <c r="G106" t="str">
        <f>IF('[1]Processer - data'!G106&lt;&gt;"",'[1]Processer - data'!G106,"")</f>
        <v>Ton</v>
      </c>
      <c r="H106" s="302" t="e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input'!$A$3:$A$230,$A$1)),IF(VLOOKUP($A106,[1]!Table1[#All],2,FALSE)="Resultat",SUMIF($F$1:$F105,$D106,H$1:H105)+SUMIF($F107:$F$490,$D106,H107:H$490),0))*'[1]Processer - data'!H106,"")*IF($C106&lt;&gt;"",IF($F106="Halm",Landbrug!C$16*Landbrug!C$17,IF(LEFT($D106,5)="Areal", IF($G106="Ton",Landbrug!C$18,1),1)),1)*IF($F106="Grøntsager",IF($A106="Grøntsager i drivhus",Landbrug!C$51,1-Landbrug!C$51),1)</f>
        <v>#REF!</v>
      </c>
      <c r="I106" s="303" t="e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input'!$A$3:$A$230,$A$1)),IF(VLOOKUP($A106,[1]!Table1[#All],2,FALSE)="Resultat",SUMIF($F$1:$F105,$D106,I$1:I105)+SUMIF($F107:$F$490,$D106,I107:I$490),0))*'[1]Processer - data'!I106,"")*IF($C106&lt;&gt;"",IF($F106="Halm",Landbrug!D$16*Landbrug!D$17,IF(LEFT($D106,5)="Areal", IF($G106="Ton",Landbrug!D$18,1),1)),1)*IF($F106="Grøntsager",IF($A106="Grøntsager i drivhus",Landbrug!D$51,1-Landbrug!D$51),1)</f>
        <v>#REF!</v>
      </c>
      <c r="J106" s="304" t="e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input'!$A$3:$A$230,$A$1)),IF(VLOOKUP($A106,[1]!Table1[#All],2,FALSE)="Resultat",SUMIF($F$1:$F105,$D106,J$1:J105)+SUMIF($F107:$F$490,$D106,J107:J$490),0))*'[1]Processer - data'!J106,"")*IF($C106&lt;&gt;"",IF($F106="Halm",Landbrug!E$16*Landbrug!E$17,IF(LEFT($D106,5)="Areal", IF($G106="Ton",Landbrug!E$18,1),1)),1)*IF($F106="Grøntsager",IF($A106="Grøntsager i drivhus",Landbrug!E$51,1-Landbrug!E$51),1)</f>
        <v>#REF!</v>
      </c>
    </row>
    <row r="107" spans="1:10" x14ac:dyDescent="0.25">
      <c r="A107" t="str">
        <f>IF('[1]Processer - data'!A107&lt;&gt;"",'[1]Processer - data'!A107,"")</f>
        <v>Fjerkræbrug</v>
      </c>
      <c r="B107" t="str">
        <f>IF('[1]Processer - data'!B107&lt;&gt;"",'[1]Processer - data'!B107,"")</f>
        <v>Konventionel</v>
      </c>
      <c r="C107" t="str">
        <f>IF('[1]Processer - data'!C107&lt;&gt;"",'[1]Processer - data'!C107,"")</f>
        <v/>
      </c>
      <c r="D107" t="str">
        <f>IF('[1]Processer - data'!D107&lt;&gt;"",'[1]Processer - data'!D107,"")</f>
        <v>Fjerkræ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Æg</v>
      </c>
      <c r="G107" t="str">
        <f>IF('[1]Processer - data'!G107&lt;&gt;"",'[1]Processer - data'!G107,"")</f>
        <v>Ton</v>
      </c>
      <c r="H107" s="302" t="e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input'!$A$3:$A$230,$A$1)),IF(VLOOKUP($A107,[1]!Table1[#All],2,FALSE)="Resultat",SUMIF($F$1:$F106,$D107,H$1:H106)+SUMIF($F108:$F$490,$D107,H108:H$490),0))*'[1]Processer - data'!H107,"")*IF($C107&lt;&gt;"",IF($F107="Halm",Landbrug!C$16*Landbrug!C$17,IF(LEFT($D107,5)="Areal", IF($G107="Ton",Landbrug!C$18,1),1)),1)*IF($F107="Grøntsager",IF($A107="Grøntsager i drivhus",Landbrug!C$51,1-Landbrug!C$51),1)</f>
        <v>#REF!</v>
      </c>
      <c r="I107" s="303" t="e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input'!$A$3:$A$230,$A$1)),IF(VLOOKUP($A107,[1]!Table1[#All],2,FALSE)="Resultat",SUMIF($F$1:$F106,$D107,I$1:I106)+SUMIF($F108:$F$490,$D107,I108:I$490),0))*'[1]Processer - data'!I107,"")*IF($C107&lt;&gt;"",IF($F107="Halm",Landbrug!D$16*Landbrug!D$17,IF(LEFT($D107,5)="Areal", IF($G107="Ton",Landbrug!D$18,1),1)),1)*IF($F107="Grøntsager",IF($A107="Grøntsager i drivhus",Landbrug!D$51,1-Landbrug!D$51),1)</f>
        <v>#REF!</v>
      </c>
      <c r="J107" s="304" t="e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input'!$A$3:$A$230,$A$1)),IF(VLOOKUP($A107,[1]!Table1[#All],2,FALSE)="Resultat",SUMIF($F$1:$F106,$D107,J$1:J106)+SUMIF($F108:$F$490,$D107,J108:J$490),0))*'[1]Processer - data'!J107,"")*IF($C107&lt;&gt;"",IF($F107="Halm",Landbrug!E$16*Landbrug!E$17,IF(LEFT($D107,5)="Areal", IF($G107="Ton",Landbrug!E$18,1),1)),1)*IF($F107="Grøntsager",IF($A107="Grøntsager i drivhus",Landbrug!E$51,1-Landbrug!E$51),1)</f>
        <v>#REF!</v>
      </c>
    </row>
    <row r="108" spans="1:10" x14ac:dyDescent="0.25">
      <c r="A108" t="str">
        <f>IF('[1]Processer - data'!A108&lt;&gt;"",'[1]Processer - data'!A108,"")</f>
        <v>Fjerkræbrug</v>
      </c>
      <c r="B108" t="str">
        <f>IF('[1]Processer - data'!B108&lt;&gt;"",'[1]Processer - data'!B108,"")</f>
        <v>Konventionel</v>
      </c>
      <c r="C108" t="str">
        <f>IF('[1]Processer - data'!C108&lt;&gt;"",'[1]Processer - data'!C108,"")</f>
        <v/>
      </c>
      <c r="D108" t="str">
        <f>IF('[1]Processer - data'!D108&lt;&gt;"",'[1]Processer - data'!D108,"")</f>
        <v>Fjerkræ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Industriaffald</v>
      </c>
      <c r="G108" t="str">
        <f>IF('[1]Processer - data'!G108&lt;&gt;"",'[1]Processer - data'!G108,"")</f>
        <v>Ton</v>
      </c>
      <c r="H108" s="302" t="e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input'!$A$3:$A$230,$A$1)),IF(VLOOKUP($A108,[1]!Table1[#All],2,FALSE)="Resultat",SUMIF($F$1:$F107,$D108,H$1:H107)+SUMIF($F109:$F$490,$D108,H109:H$490),0))*'[1]Processer - data'!H108,"")*IF($C108&lt;&gt;"",IF($F108="Halm",Landbrug!C$16*Landbrug!C$17,IF(LEFT($D108,5)="Areal", IF($G108="Ton",Landbrug!C$18,1),1)),1)*IF($F108="Grøntsager",IF($A108="Grøntsager i drivhus",Landbrug!C$51,1-Landbrug!C$51),1)</f>
        <v>#REF!</v>
      </c>
      <c r="I108" s="303" t="e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input'!$A$3:$A$230,$A$1)),IF(VLOOKUP($A108,[1]!Table1[#All],2,FALSE)="Resultat",SUMIF($F$1:$F107,$D108,I$1:I107)+SUMIF($F109:$F$490,$D108,I109:I$490),0))*'[1]Processer - data'!I108,"")*IF($C108&lt;&gt;"",IF($F108="Halm",Landbrug!D$16*Landbrug!D$17,IF(LEFT($D108,5)="Areal", IF($G108="Ton",Landbrug!D$18,1),1)),1)*IF($F108="Grøntsager",IF($A108="Grøntsager i drivhus",Landbrug!D$51,1-Landbrug!D$51),1)</f>
        <v>#REF!</v>
      </c>
      <c r="J108" s="304" t="e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input'!$A$3:$A$230,$A$1)),IF(VLOOKUP($A108,[1]!Table1[#All],2,FALSE)="Resultat",SUMIF($F$1:$F107,$D108,J$1:J107)+SUMIF($F109:$F$490,$D108,J109:J$490),0))*'[1]Processer - data'!J108,"")*IF($C108&lt;&gt;"",IF($F108="Halm",Landbrug!E$16*Landbrug!E$17,IF(LEFT($D108,5)="Areal", IF($G108="Ton",Landbrug!E$18,1),1)),1)*IF($F108="Grøntsager",IF($A108="Grøntsager i drivhus",Landbrug!E$51,1-Landbrug!E$51),1)</f>
        <v>#REF!</v>
      </c>
    </row>
    <row r="109" spans="1:10" x14ac:dyDescent="0.25">
      <c r="A109" t="str">
        <f>IF('[1]Processer - data'!A109&lt;&gt;"",'[1]Processer - data'!A109,"")</f>
        <v>Fjerkræbrug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Fjerkræ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Foder</v>
      </c>
      <c r="G109" t="str">
        <f>IF('[1]Processer - data'!G109&lt;&gt;"",'[1]Processer - data'!G109,"")</f>
        <v>FE</v>
      </c>
      <c r="H109" s="302" t="e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input'!$A$3:$A$230,$A$1)),IF(VLOOKUP($A109,[1]!Table1[#All],2,FALSE)="Resultat",SUMIF($F$1:$F108,$D109,H$1:H108)+SUMIF($F110:$F$490,$D109,H110:H$490),0))*'[1]Processer - data'!H109,"")*IF($C109&lt;&gt;"",IF($F109="Halm",Landbrug!C$16*Landbrug!C$17,IF(LEFT($D109,5)="Areal", IF($G109="Ton",Landbrug!C$18,1),1)),1)*IF($F109="Grøntsager",IF($A109="Grøntsager i drivhus",Landbrug!C$51,1-Landbrug!C$51),1)</f>
        <v>#REF!</v>
      </c>
      <c r="I109" s="303" t="e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input'!$A$3:$A$230,$A$1)),IF(VLOOKUP($A109,[1]!Table1[#All],2,FALSE)="Resultat",SUMIF($F$1:$F108,$D109,I$1:I108)+SUMIF($F110:$F$490,$D109,I110:I$490),0))*'[1]Processer - data'!I109,"")*IF($C109&lt;&gt;"",IF($F109="Halm",Landbrug!D$16*Landbrug!D$17,IF(LEFT($D109,5)="Areal", IF($G109="Ton",Landbrug!D$18,1),1)),1)*IF($F109="Grøntsager",IF($A109="Grøntsager i drivhus",Landbrug!D$51,1-Landbrug!D$51),1)</f>
        <v>#REF!</v>
      </c>
      <c r="J109" s="304" t="e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input'!$A$3:$A$230,$A$1)),IF(VLOOKUP($A109,[1]!Table1[#All],2,FALSE)="Resultat",SUMIF($F$1:$F108,$D109,J$1:J108)+SUMIF($F110:$F$490,$D109,J110:J$490),0))*'[1]Processer - data'!J109,"")*IF($C109&lt;&gt;"",IF($F109="Halm",Landbrug!E$16*Landbrug!E$17,IF(LEFT($D109,5)="Areal", IF($G109="Ton",Landbrug!E$18,1),1)),1)*IF($F109="Grøntsager",IF($A109="Grøntsager i drivhus",Landbrug!E$51,1-Landbrug!E$51),1)</f>
        <v>#REF!</v>
      </c>
    </row>
    <row r="110" spans="1:10" x14ac:dyDescent="0.25">
      <c r="A110" t="str">
        <f>IF('[1]Processer - data'!A110&lt;&gt;"",'[1]Processer - data'!A110,"")</f>
        <v>Fjerkræbrug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Fjerkræ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Halm</v>
      </c>
      <c r="G110" t="str">
        <f>IF('[1]Processer - data'!G110&lt;&gt;"",'[1]Processer - data'!G110,"")</f>
        <v>Ton</v>
      </c>
      <c r="H110" s="302" t="e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input'!$A$3:$A$230,$A$1)),IF(VLOOKUP($A110,[1]!Table1[#All],2,FALSE)="Resultat",SUMIF($F$1:$F109,$D110,H$1:H109)+SUMIF($F111:$F$490,$D110,H111:H$490),0))*'[1]Processer - data'!H110,"")*IF($C110&lt;&gt;"",IF($F110="Halm",Landbrug!C$16*Landbrug!C$17,IF(LEFT($D110,5)="Areal", IF($G110="Ton",Landbrug!C$18,1),1)),1)*IF($F110="Grøntsager",IF($A110="Grøntsager i drivhus",Landbrug!C$51,1-Landbrug!C$51),1)</f>
        <v>#REF!</v>
      </c>
      <c r="I110" s="303" t="e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input'!$A$3:$A$230,$A$1)),IF(VLOOKUP($A110,[1]!Table1[#All],2,FALSE)="Resultat",SUMIF($F$1:$F109,$D110,I$1:I109)+SUMIF($F111:$F$490,$D110,I111:I$490),0))*'[1]Processer - data'!I110,"")*IF($C110&lt;&gt;"",IF($F110="Halm",Landbrug!D$16*Landbrug!D$17,IF(LEFT($D110,5)="Areal", IF($G110="Ton",Landbrug!D$18,1),1)),1)*IF($F110="Grøntsager",IF($A110="Grøntsager i drivhus",Landbrug!D$51,1-Landbrug!D$51),1)</f>
        <v>#REF!</v>
      </c>
      <c r="J110" s="304" t="e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input'!$A$3:$A$230,$A$1)),IF(VLOOKUP($A110,[1]!Table1[#All],2,FALSE)="Resultat",SUMIF($F$1:$F109,$D110,J$1:J109)+SUMIF($F111:$F$490,$D110,J111:J$490),0))*'[1]Processer - data'!J110,"")*IF($C110&lt;&gt;"",IF($F110="Halm",Landbrug!E$16*Landbrug!E$17,IF(LEFT($D110,5)="Areal", IF($G110="Ton",Landbrug!E$18,1),1)),1)*IF($F110="Grøntsager",IF($A110="Grøntsager i drivhus",Landbrug!E$51,1-Landbrug!E$51),1)</f>
        <v>#REF!</v>
      </c>
    </row>
    <row r="111" spans="1:10" x14ac:dyDescent="0.25">
      <c r="A111" t="str">
        <f>IF('[1]Processer - data'!A111&lt;&gt;"",'[1]Processer - data'!A111,"")</f>
        <v>Fjerkræbrug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Fjerkræ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CO2 - atmosfære</v>
      </c>
      <c r="G111" t="str">
        <f>IF('[1]Processer - data'!G111&lt;&gt;"",'[1]Processer - data'!G111,"")</f>
        <v>t CO2-ækvivalenter</v>
      </c>
      <c r="H111" s="302" t="e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input'!$A$3:$A$230,$A$1)),IF(VLOOKUP($A111,[1]!Table1[#All],2,FALSE)="Resultat",SUMIF($F$1:$F110,$D111,H$1:H110)+SUMIF($F112:$F$490,$D111,H112:H$490),0))*'[1]Processer - data'!H111,"")*IF($C111&lt;&gt;"",IF($F111="Halm",Landbrug!C$16*Landbrug!C$17,IF(LEFT($D111,5)="Areal", IF($G111="Ton",Landbrug!C$18,1),1)),1)*IF($F111="Grøntsager",IF($A111="Grøntsager i drivhus",Landbrug!C$51,1-Landbrug!C$51),1)</f>
        <v>#REF!</v>
      </c>
      <c r="I111" s="303" t="e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input'!$A$3:$A$230,$A$1)),IF(VLOOKUP($A111,[1]!Table1[#All],2,FALSE)="Resultat",SUMIF($F$1:$F110,$D111,I$1:I110)+SUMIF($F112:$F$490,$D111,I112:I$490),0))*'[1]Processer - data'!I111,"")*IF($C111&lt;&gt;"",IF($F111="Halm",Landbrug!D$16*Landbrug!D$17,IF(LEFT($D111,5)="Areal", IF($G111="Ton",Landbrug!D$18,1),1)),1)*IF($F111="Grøntsager",IF($A111="Grøntsager i drivhus",Landbrug!D$51,1-Landbrug!D$51),1)</f>
        <v>#REF!</v>
      </c>
      <c r="J111" s="304" t="e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input'!$A$3:$A$230,$A$1)),IF(VLOOKUP($A111,[1]!Table1[#All],2,FALSE)="Resultat",SUMIF($F$1:$F110,$D111,J$1:J110)+SUMIF($F112:$F$490,$D111,J112:J$490),0))*'[1]Processer - data'!J111,"")*IF($C111&lt;&gt;"",IF($F111="Halm",Landbrug!E$16*Landbrug!E$17,IF(LEFT($D111,5)="Areal", IF($G111="Ton",Landbrug!E$18,1),1)),1)*IF($F111="Grøntsager",IF($A111="Grøntsager i drivhus",Landbrug!E$51,1-Landbrug!E$51),1)</f>
        <v>#REF!</v>
      </c>
    </row>
    <row r="112" spans="1:10" x14ac:dyDescent="0.25">
      <c r="A112" t="str">
        <f>IF('[1]Processer - data'!A112&lt;&gt;"",'[1]Processer - data'!A112,"")</f>
        <v>Fjerkræbrug</v>
      </c>
      <c r="B112" t="str">
        <f>IF('[1]Processer - data'!B112&lt;&gt;"",'[1]Processer - data'!B112,"")</f>
        <v>Økologisk</v>
      </c>
      <c r="C112" t="str">
        <f>IF('[1]Processer - data'!C112&lt;&gt;"",'[1]Processer - data'!C112,"")</f>
        <v/>
      </c>
      <c r="D112" t="str">
        <f>IF('[1]Processer - data'!D112&lt;&gt;"",'[1]Processer - data'!D112,"")</f>
        <v>Fjerkræ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Slagtefjerkræ</v>
      </c>
      <c r="G112" t="str">
        <f>IF('[1]Processer - data'!G112&lt;&gt;"",'[1]Processer - data'!G112,"")</f>
        <v>Antal</v>
      </c>
      <c r="H112" s="302" t="e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input'!$A$3:$A$230,$A$1)),IF(VLOOKUP($A112,[1]!Table1[#All],2,FALSE)="Resultat",SUMIF($F$1:$F111,$D112,H$1:H111)+SUMIF($F113:$F$490,$D112,H113:H$490),0))*'[1]Processer - data'!H112,"")*IF($C112&lt;&gt;"",IF($F112="Halm",Landbrug!C$16*Landbrug!C$17,IF(LEFT($D112,5)="Areal", IF($G112="Ton",Landbrug!C$18,1),1)),1)*IF($F112="Grøntsager",IF($A112="Grøntsager i drivhus",Landbrug!C$51,1-Landbrug!C$51),1)</f>
        <v>#REF!</v>
      </c>
      <c r="I112" s="303" t="e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input'!$A$3:$A$230,$A$1)),IF(VLOOKUP($A112,[1]!Table1[#All],2,FALSE)="Resultat",SUMIF($F$1:$F111,$D112,I$1:I111)+SUMIF($F113:$F$490,$D112,I113:I$490),0))*'[1]Processer - data'!I112,"")*IF($C112&lt;&gt;"",IF($F112="Halm",Landbrug!D$16*Landbrug!D$17,IF(LEFT($D112,5)="Areal", IF($G112="Ton",Landbrug!D$18,1),1)),1)*IF($F112="Grøntsager",IF($A112="Grøntsager i drivhus",Landbrug!D$51,1-Landbrug!D$51),1)</f>
        <v>#REF!</v>
      </c>
      <c r="J112" s="304" t="e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input'!$A$3:$A$230,$A$1)),IF(VLOOKUP($A112,[1]!Table1[#All],2,FALSE)="Resultat",SUMIF($F$1:$F111,$D112,J$1:J111)+SUMIF($F113:$F$490,$D112,J113:J$490),0))*'[1]Processer - data'!J112,"")*IF($C112&lt;&gt;"",IF($F112="Halm",Landbrug!E$16*Landbrug!E$17,IF(LEFT($D112,5)="Areal", IF($G112="Ton",Landbrug!E$18,1),1)),1)*IF($F112="Grøntsager",IF($A112="Grøntsager i drivhus",Landbrug!E$51,1-Landbrug!E$51),1)</f>
        <v>#REF!</v>
      </c>
    </row>
    <row r="113" spans="1:10" x14ac:dyDescent="0.25">
      <c r="A113" t="str">
        <f>IF('[1]Processer - data'!A113&lt;&gt;"",'[1]Processer - data'!A113,"")</f>
        <v>Fjerkræbrug</v>
      </c>
      <c r="B113" t="str">
        <f>IF('[1]Processer - data'!B113&lt;&gt;"",'[1]Processer - data'!B113,"")</f>
        <v>Økologisk</v>
      </c>
      <c r="C113" t="str">
        <f>IF('[1]Processer - data'!C113&lt;&gt;"",'[1]Processer - data'!C113,"")</f>
        <v/>
      </c>
      <c r="D113" t="str">
        <f>IF('[1]Processer - data'!D113&lt;&gt;"",'[1]Processer - data'!D113,"")</f>
        <v>Fjerkræ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Fjerkrægylle</v>
      </c>
      <c r="G113" t="str">
        <f>IF('[1]Processer - data'!G113&lt;&gt;"",'[1]Processer - data'!G113,"")</f>
        <v>Ton</v>
      </c>
      <c r="H113" s="302" t="e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input'!$A$3:$A$230,$A$1)),IF(VLOOKUP($A113,[1]!Table1[#All],2,FALSE)="Resultat",SUMIF($F$1:$F112,$D113,H$1:H112)+SUMIF($F114:$F$490,$D113,H114:H$490),0))*'[1]Processer - data'!H113,"")*IF($C113&lt;&gt;"",IF($F113="Halm",Landbrug!C$16*Landbrug!C$17,IF(LEFT($D113,5)="Areal", IF($G113="Ton",Landbrug!C$18,1),1)),1)*IF($F113="Grøntsager",IF($A113="Grøntsager i drivhus",Landbrug!C$51,1-Landbrug!C$51),1)</f>
        <v>#REF!</v>
      </c>
      <c r="I113" s="303" t="e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input'!$A$3:$A$230,$A$1)),IF(VLOOKUP($A113,[1]!Table1[#All],2,FALSE)="Resultat",SUMIF($F$1:$F112,$D113,I$1:I112)+SUMIF($F114:$F$490,$D113,I114:I$490),0))*'[1]Processer - data'!I113,"")*IF($C113&lt;&gt;"",IF($F113="Halm",Landbrug!D$16*Landbrug!D$17,IF(LEFT($D113,5)="Areal", IF($G113="Ton",Landbrug!D$18,1),1)),1)*IF($F113="Grøntsager",IF($A113="Grøntsager i drivhus",Landbrug!D$51,1-Landbrug!D$51),1)</f>
        <v>#REF!</v>
      </c>
      <c r="J113" s="304" t="e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input'!$A$3:$A$230,$A$1)),IF(VLOOKUP($A113,[1]!Table1[#All],2,FALSE)="Resultat",SUMIF($F$1:$F112,$D113,J$1:J112)+SUMIF($F114:$F$490,$D113,J114:J$490),0))*'[1]Processer - data'!J113,"")*IF($C113&lt;&gt;"",IF($F113="Halm",Landbrug!E$16*Landbrug!E$17,IF(LEFT($D113,5)="Areal", IF($G113="Ton",Landbrug!E$18,1),1)),1)*IF($F113="Grøntsager",IF($A113="Grøntsager i drivhus",Landbrug!E$51,1-Landbrug!E$51),1)</f>
        <v>#REF!</v>
      </c>
    </row>
    <row r="114" spans="1:10" x14ac:dyDescent="0.25">
      <c r="A114" t="str">
        <f>IF('[1]Processer - data'!A114&lt;&gt;"",'[1]Processer - data'!A114,"")</f>
        <v>Fjerkræbrug</v>
      </c>
      <c r="B114" t="str">
        <f>IF('[1]Processer - data'!B114&lt;&gt;"",'[1]Processer - data'!B114,"")</f>
        <v>Økologisk</v>
      </c>
      <c r="C114" t="str">
        <f>IF('[1]Processer - data'!C114&lt;&gt;"",'[1]Processer - data'!C114,"")</f>
        <v/>
      </c>
      <c r="D114" t="str">
        <f>IF('[1]Processer - data'!D114&lt;&gt;"",'[1]Processer - data'!D114,"")</f>
        <v>Fjerkræ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Dybstrøelse</v>
      </c>
      <c r="G114" t="str">
        <f>IF('[1]Processer - data'!G114&lt;&gt;"",'[1]Processer - data'!G114,"")</f>
        <v>Ton</v>
      </c>
      <c r="H114" s="302" t="e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input'!$A$3:$A$230,$A$1)),IF(VLOOKUP($A114,[1]!Table1[#All],2,FALSE)="Resultat",SUMIF($F$1:$F113,$D114,H$1:H113)+SUMIF($F115:$F$490,$D114,H115:H$490),0))*'[1]Processer - data'!H114,"")*IF($C114&lt;&gt;"",IF($F114="Halm",Landbrug!C$16*Landbrug!C$17,IF(LEFT($D114,5)="Areal", IF($G114="Ton",Landbrug!C$18,1),1)),1)*IF($F114="Grøntsager",IF($A114="Grøntsager i drivhus",Landbrug!C$51,1-Landbrug!C$51),1)</f>
        <v>#REF!</v>
      </c>
      <c r="I114" s="303" t="e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input'!$A$3:$A$230,$A$1)),IF(VLOOKUP($A114,[1]!Table1[#All],2,FALSE)="Resultat",SUMIF($F$1:$F113,$D114,I$1:I113)+SUMIF($F115:$F$490,$D114,I115:I$490),0))*'[1]Processer - data'!I114,"")*IF($C114&lt;&gt;"",IF($F114="Halm",Landbrug!D$16*Landbrug!D$17,IF(LEFT($D114,5)="Areal", IF($G114="Ton",Landbrug!D$18,1),1)),1)*IF($F114="Grøntsager",IF($A114="Grøntsager i drivhus",Landbrug!D$51,1-Landbrug!D$51),1)</f>
        <v>#REF!</v>
      </c>
      <c r="J114" s="304" t="e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input'!$A$3:$A$230,$A$1)),IF(VLOOKUP($A114,[1]!Table1[#All],2,FALSE)="Resultat",SUMIF($F$1:$F113,$D114,J$1:J113)+SUMIF($F115:$F$490,$D114,J115:J$490),0))*'[1]Processer - data'!J114,"")*IF($C114&lt;&gt;"",IF($F114="Halm",Landbrug!E$16*Landbrug!E$17,IF(LEFT($D114,5)="Areal", IF($G114="Ton",Landbrug!E$18,1),1)),1)*IF($F114="Grøntsager",IF($A114="Grøntsager i drivhus",Landbrug!E$51,1-Landbrug!E$51),1)</f>
        <v>#REF!</v>
      </c>
    </row>
    <row r="115" spans="1:10" x14ac:dyDescent="0.25">
      <c r="A115" t="str">
        <f>IF('[1]Processer - data'!A115&lt;&gt;"",'[1]Processer - data'!A115,"")</f>
        <v>Fjerkræbrug</v>
      </c>
      <c r="B115" t="str">
        <f>IF('[1]Processer - data'!B115&lt;&gt;"",'[1]Processer - data'!B115,"")</f>
        <v>Økologisk</v>
      </c>
      <c r="C115" t="str">
        <f>IF('[1]Processer - data'!C115&lt;&gt;"",'[1]Processer - data'!C115,"")</f>
        <v/>
      </c>
      <c r="D115" t="str">
        <f>IF('[1]Processer - data'!D115&lt;&gt;"",'[1]Processer - data'!D115,"")</f>
        <v>Fjerkræ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Æg</v>
      </c>
      <c r="G115" t="str">
        <f>IF('[1]Processer - data'!G115&lt;&gt;"",'[1]Processer - data'!G115,"")</f>
        <v>Ton</v>
      </c>
      <c r="H115" s="302" t="e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input'!$A$3:$A$230,$A$1)),IF(VLOOKUP($A115,[1]!Table1[#All],2,FALSE)="Resultat",SUMIF($F$1:$F114,$D115,H$1:H114)+SUMIF($F116:$F$490,$D115,H116:H$490),0))*'[1]Processer - data'!H115,"")*IF($C115&lt;&gt;"",IF($F115="Halm",Landbrug!C$16*Landbrug!C$17,IF(LEFT($D115,5)="Areal", IF($G115="Ton",Landbrug!C$18,1),1)),1)*IF($F115="Grøntsager",IF($A115="Grøntsager i drivhus",Landbrug!C$51,1-Landbrug!C$51),1)</f>
        <v>#REF!</v>
      </c>
      <c r="I115" s="303" t="e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input'!$A$3:$A$230,$A$1)),IF(VLOOKUP($A115,[1]!Table1[#All],2,FALSE)="Resultat",SUMIF($F$1:$F114,$D115,I$1:I114)+SUMIF($F116:$F$490,$D115,I116:I$490),0))*'[1]Processer - data'!I115,"")*IF($C115&lt;&gt;"",IF($F115="Halm",Landbrug!D$16*Landbrug!D$17,IF(LEFT($D115,5)="Areal", IF($G115="Ton",Landbrug!D$18,1),1)),1)*IF($F115="Grøntsager",IF($A115="Grøntsager i drivhus",Landbrug!D$51,1-Landbrug!D$51),1)</f>
        <v>#REF!</v>
      </c>
      <c r="J115" s="304" t="e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input'!$A$3:$A$230,$A$1)),IF(VLOOKUP($A115,[1]!Table1[#All],2,FALSE)="Resultat",SUMIF($F$1:$F114,$D115,J$1:J114)+SUMIF($F116:$F$490,$D115,J116:J$490),0))*'[1]Processer - data'!J115,"")*IF($C115&lt;&gt;"",IF($F115="Halm",Landbrug!E$16*Landbrug!E$17,IF(LEFT($D115,5)="Areal", IF($G115="Ton",Landbrug!E$18,1),1)),1)*IF($F115="Grøntsager",IF($A115="Grøntsager i drivhus",Landbrug!E$51,1-Landbrug!E$51),1)</f>
        <v>#REF!</v>
      </c>
    </row>
    <row r="116" spans="1:10" x14ac:dyDescent="0.25">
      <c r="A116" t="str">
        <f>IF('[1]Processer - data'!A116&lt;&gt;"",'[1]Processer - data'!A116,"")</f>
        <v>Fjerkræbrug</v>
      </c>
      <c r="B116" t="str">
        <f>IF('[1]Processer - data'!B116&lt;&gt;"",'[1]Processer - data'!B116,"")</f>
        <v>Økologisk</v>
      </c>
      <c r="C116" t="str">
        <f>IF('[1]Processer - data'!C116&lt;&gt;"",'[1]Processer - data'!C116,"")</f>
        <v/>
      </c>
      <c r="D116" t="str">
        <f>IF('[1]Processer - data'!D116&lt;&gt;"",'[1]Processer - data'!D116,"")</f>
        <v>Fjerkræ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Industriaffald</v>
      </c>
      <c r="G116" t="str">
        <f>IF('[1]Processer - data'!G116&lt;&gt;"",'[1]Processer - data'!G116,"")</f>
        <v>Ton</v>
      </c>
      <c r="H116" s="302" t="e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input'!$A$3:$A$230,$A$1)),IF(VLOOKUP($A116,[1]!Table1[#All],2,FALSE)="Resultat",SUMIF($F$1:$F115,$D116,H$1:H115)+SUMIF($F117:$F$490,$D116,H117:H$490),0))*'[1]Processer - data'!H116,"")*IF($C116&lt;&gt;"",IF($F116="Halm",Landbrug!C$16*Landbrug!C$17,IF(LEFT($D116,5)="Areal", IF($G116="Ton",Landbrug!C$18,1),1)),1)*IF($F116="Grøntsager",IF($A116="Grøntsager i drivhus",Landbrug!C$51,1-Landbrug!C$51),1)</f>
        <v>#REF!</v>
      </c>
      <c r="I116" s="303" t="e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input'!$A$3:$A$230,$A$1)),IF(VLOOKUP($A116,[1]!Table1[#All],2,FALSE)="Resultat",SUMIF($F$1:$F115,$D116,I$1:I115)+SUMIF($F117:$F$490,$D116,I117:I$490),0))*'[1]Processer - data'!I116,"")*IF($C116&lt;&gt;"",IF($F116="Halm",Landbrug!D$16*Landbrug!D$17,IF(LEFT($D116,5)="Areal", IF($G116="Ton",Landbrug!D$18,1),1)),1)*IF($F116="Grøntsager",IF($A116="Grøntsager i drivhus",Landbrug!D$51,1-Landbrug!D$51),1)</f>
        <v>#REF!</v>
      </c>
      <c r="J116" s="304" t="e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input'!$A$3:$A$230,$A$1)),IF(VLOOKUP($A116,[1]!Table1[#All],2,FALSE)="Resultat",SUMIF($F$1:$F115,$D116,J$1:J115)+SUMIF($F117:$F$490,$D116,J117:J$490),0))*'[1]Processer - data'!J116,"")*IF($C116&lt;&gt;"",IF($F116="Halm",Landbrug!E$16*Landbrug!E$17,IF(LEFT($D116,5)="Areal", IF($G116="Ton",Landbrug!E$18,1),1)),1)*IF($F116="Grøntsager",IF($A116="Grøntsager i drivhus",Landbrug!E$51,1-Landbrug!E$51),1)</f>
        <v>#REF!</v>
      </c>
    </row>
    <row r="117" spans="1:10" x14ac:dyDescent="0.25">
      <c r="A117" t="str">
        <f>IF('[1]Processer - data'!A117&lt;&gt;"",'[1]Processer - data'!A117,"")</f>
        <v>Fjerkræbrug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Fjerkræ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Foder</v>
      </c>
      <c r="G117" t="str">
        <f>IF('[1]Processer - data'!G117&lt;&gt;"",'[1]Processer - data'!G117,"")</f>
        <v>FE</v>
      </c>
      <c r="H117" s="302" t="e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input'!$A$3:$A$230,$A$1)),IF(VLOOKUP($A117,[1]!Table1[#All],2,FALSE)="Resultat",SUMIF($F$1:$F116,$D117,H$1:H116)+SUMIF($F118:$F$490,$D117,H118:H$490),0))*'[1]Processer - data'!H117,"")*IF($C117&lt;&gt;"",IF($F117="Halm",Landbrug!C$16*Landbrug!C$17,IF(LEFT($D117,5)="Areal", IF($G117="Ton",Landbrug!C$18,1),1)),1)*IF($F117="Grøntsager",IF($A117="Grøntsager i drivhus",Landbrug!C$51,1-Landbrug!C$51),1)</f>
        <v>#REF!</v>
      </c>
      <c r="I117" s="303" t="e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input'!$A$3:$A$230,$A$1)),IF(VLOOKUP($A117,[1]!Table1[#All],2,FALSE)="Resultat",SUMIF($F$1:$F116,$D117,I$1:I116)+SUMIF($F118:$F$490,$D117,I118:I$490),0))*'[1]Processer - data'!I117,"")*IF($C117&lt;&gt;"",IF($F117="Halm",Landbrug!D$16*Landbrug!D$17,IF(LEFT($D117,5)="Areal", IF($G117="Ton",Landbrug!D$18,1),1)),1)*IF($F117="Grøntsager",IF($A117="Grøntsager i drivhus",Landbrug!D$51,1-Landbrug!D$51),1)</f>
        <v>#REF!</v>
      </c>
      <c r="J117" s="304" t="e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input'!$A$3:$A$230,$A$1)),IF(VLOOKUP($A117,[1]!Table1[#All],2,FALSE)="Resultat",SUMIF($F$1:$F116,$D117,J$1:J116)+SUMIF($F118:$F$490,$D117,J118:J$490),0))*'[1]Processer - data'!J117,"")*IF($C117&lt;&gt;"",IF($F117="Halm",Landbrug!E$16*Landbrug!E$17,IF(LEFT($D117,5)="Areal", IF($G117="Ton",Landbrug!E$18,1),1)),1)*IF($F117="Grøntsager",IF($A117="Grøntsager i drivhus",Landbrug!E$51,1-Landbrug!E$51),1)</f>
        <v>#REF!</v>
      </c>
    </row>
    <row r="118" spans="1:10" x14ac:dyDescent="0.25">
      <c r="A118" t="str">
        <f>IF('[1]Processer - data'!A118&lt;&gt;"",'[1]Processer - data'!A118,"")</f>
        <v>Fjerkræbrug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Fjerkræ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Halm</v>
      </c>
      <c r="G118" t="str">
        <f>IF('[1]Processer - data'!G118&lt;&gt;"",'[1]Processer - data'!G118,"")</f>
        <v>Ton</v>
      </c>
      <c r="H118" s="302" t="e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input'!$A$3:$A$230,$A$1)),IF(VLOOKUP($A118,[1]!Table1[#All],2,FALSE)="Resultat",SUMIF($F$1:$F117,$D118,H$1:H117)+SUMIF($F119:$F$490,$D118,H119:H$490),0))*'[1]Processer - data'!H118,"")*IF($C118&lt;&gt;"",IF($F118="Halm",Landbrug!C$16*Landbrug!C$17,IF(LEFT($D118,5)="Areal", IF($G118="Ton",Landbrug!C$18,1),1)),1)*IF($F118="Grøntsager",IF($A118="Grøntsager i drivhus",Landbrug!C$51,1-Landbrug!C$51),1)</f>
        <v>#REF!</v>
      </c>
      <c r="I118" s="303" t="e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input'!$A$3:$A$230,$A$1)),IF(VLOOKUP($A118,[1]!Table1[#All],2,FALSE)="Resultat",SUMIF($F$1:$F117,$D118,I$1:I117)+SUMIF($F119:$F$490,$D118,I119:I$490),0))*'[1]Processer - data'!I118,"")*IF($C118&lt;&gt;"",IF($F118="Halm",Landbrug!D$16*Landbrug!D$17,IF(LEFT($D118,5)="Areal", IF($G118="Ton",Landbrug!D$18,1),1)),1)*IF($F118="Grøntsager",IF($A118="Grøntsager i drivhus",Landbrug!D$51,1-Landbrug!D$51),1)</f>
        <v>#REF!</v>
      </c>
      <c r="J118" s="304" t="e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input'!$A$3:$A$230,$A$1)),IF(VLOOKUP($A118,[1]!Table1[#All],2,FALSE)="Resultat",SUMIF($F$1:$F117,$D118,J$1:J117)+SUMIF($F119:$F$490,$D118,J119:J$490),0))*'[1]Processer - data'!J118,"")*IF($C118&lt;&gt;"",IF($F118="Halm",Landbrug!E$16*Landbrug!E$17,IF(LEFT($D118,5)="Areal", IF($G118="Ton",Landbrug!E$18,1),1)),1)*IF($F118="Grøntsager",IF($A118="Grøntsager i drivhus",Landbrug!E$51,1-Landbrug!E$51),1)</f>
        <v>#REF!</v>
      </c>
    </row>
    <row r="119" spans="1:10" x14ac:dyDescent="0.25">
      <c r="A119" t="str">
        <f>IF('[1]Processer - data'!A119&lt;&gt;"",'[1]Processer - data'!A119,"")</f>
        <v>Fjerkræbrug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Fjerkræ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CO2 - atmosfære</v>
      </c>
      <c r="G119" t="str">
        <f>IF('[1]Processer - data'!G119&lt;&gt;"",'[1]Processer - data'!G119,"")</f>
        <v>t CO2-ækvivalenter</v>
      </c>
      <c r="H119" s="302" t="e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input'!$A$3:$A$230,$A$1)),IF(VLOOKUP($A119,[1]!Table1[#All],2,FALSE)="Resultat",SUMIF($F$1:$F118,$D119,H$1:H118)+SUMIF($F120:$F$490,$D119,H120:H$490),0))*'[1]Processer - data'!H119,"")*IF($C119&lt;&gt;"",IF($F119="Halm",Landbrug!C$16*Landbrug!C$17,IF(LEFT($D119,5)="Areal", IF($G119="Ton",Landbrug!C$18,1),1)),1)*IF($F119="Grøntsager",IF($A119="Grøntsager i drivhus",Landbrug!C$51,1-Landbrug!C$51),1)</f>
        <v>#REF!</v>
      </c>
      <c r="I119" s="303" t="e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input'!$A$3:$A$230,$A$1)),IF(VLOOKUP($A119,[1]!Table1[#All],2,FALSE)="Resultat",SUMIF($F$1:$F118,$D119,I$1:I118)+SUMIF($F120:$F$490,$D119,I120:I$490),0))*'[1]Processer - data'!I119,"")*IF($C119&lt;&gt;"",IF($F119="Halm",Landbrug!D$16*Landbrug!D$17,IF(LEFT($D119,5)="Areal", IF($G119="Ton",Landbrug!D$18,1),1)),1)*IF($F119="Grøntsager",IF($A119="Grøntsager i drivhus",Landbrug!D$51,1-Landbrug!D$51),1)</f>
        <v>#REF!</v>
      </c>
      <c r="J119" s="304" t="e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input'!$A$3:$A$230,$A$1)),IF(VLOOKUP($A119,[1]!Table1[#All],2,FALSE)="Resultat",SUMIF($F$1:$F118,$D119,J$1:J118)+SUMIF($F120:$F$490,$D119,J120:J$490),0))*'[1]Processer - data'!J119,"")*IF($C119&lt;&gt;"",IF($F119="Halm",Landbrug!E$16*Landbrug!E$17,IF(LEFT($D119,5)="Areal", IF($G119="Ton",Landbrug!E$18,1),1)),1)*IF($F119="Grøntsager",IF($A119="Grøntsager i drivhus",Landbrug!E$51,1-Landbrug!E$51),1)</f>
        <v>#REF!</v>
      </c>
    </row>
    <row r="120" spans="1:10" x14ac:dyDescent="0.25">
      <c r="A120" t="str">
        <f>IF('[1]Processer - data'!A120&lt;&gt;"",'[1]Processer - data'!A120,"")</f>
        <v>Kornmark</v>
      </c>
      <c r="B120" t="str">
        <f>IF('[1]Processer - data'!B120&lt;&gt;"",'[1]Processer - data'!B120,"")</f>
        <v>Konventionel</v>
      </c>
      <c r="C120" t="str">
        <f>IF('[1]Processer - data'!C120&lt;&gt;"",'[1]Processer - data'!C120,"")</f>
        <v>JB1-10</v>
      </c>
      <c r="D120" t="str">
        <f>IF('[1]Processer - data'!D120&lt;&gt;"",'[1]Processer - data'!D120,"")</f>
        <v>Areal-korn</v>
      </c>
      <c r="E120" t="str">
        <f>IF('[1]Processer - data'!E120&lt;&gt;"",'[1]Processer - data'!E120,"")</f>
        <v>Hektar</v>
      </c>
      <c r="F120" t="str">
        <f>IF('[1]Processer - data'!F120&lt;&gt;"",'[1]Processer - data'!F120,"")</f>
        <v>Korn</v>
      </c>
      <c r="G120" t="str">
        <f>IF('[1]Processer - data'!G120&lt;&gt;"",'[1]Processer - data'!G120,"")</f>
        <v>Ton</v>
      </c>
      <c r="H120" s="302" t="e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input'!$A$3:$A$230,$A$1)),IF(VLOOKUP($A120,[1]!Table1[#All],2,FALSE)="Resultat",SUMIF($F$1:$F119,$D120,H$1:H119)+SUMIF($F121:$F$490,$D120,H121:H$490),0))*'[1]Processer - data'!H120,"")*IF($C120&lt;&gt;"",IF($F120="Halm",Landbrug!C$16*Landbrug!C$17,IF(LEFT($D120,5)="Areal", IF($G120="Ton",Landbrug!C$18,1),1)),1)*IF($F120="Grøntsager",IF($A120="Grøntsager i drivhus",Landbrug!C$51,1-Landbrug!C$51),1)</f>
        <v>#REF!</v>
      </c>
      <c r="I120" s="303" t="e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input'!$A$3:$A$230,$A$1)),IF(VLOOKUP($A120,[1]!Table1[#All],2,FALSE)="Resultat",SUMIF($F$1:$F119,$D120,I$1:I119)+SUMIF($F121:$F$490,$D120,I121:I$490),0))*'[1]Processer - data'!I120,"")*IF($C120&lt;&gt;"",IF($F120="Halm",Landbrug!D$16*Landbrug!D$17,IF(LEFT($D120,5)="Areal", IF($G120="Ton",Landbrug!D$18,1),1)),1)*IF($F120="Grøntsager",IF($A120="Grøntsager i drivhus",Landbrug!D$51,1-Landbrug!D$51),1)</f>
        <v>#REF!</v>
      </c>
      <c r="J120" s="304" t="e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input'!$A$3:$A$230,$A$1)),IF(VLOOKUP($A120,[1]!Table1[#All],2,FALSE)="Resultat",SUMIF($F$1:$F119,$D120,J$1:J119)+SUMIF($F121:$F$490,$D120,J121:J$490),0))*'[1]Processer - data'!J120,"")*IF($C120&lt;&gt;"",IF($F120="Halm",Landbrug!E$16*Landbrug!E$17,IF(LEFT($D120,5)="Areal", IF($G120="Ton",Landbrug!E$18,1),1)),1)*IF($F120="Grøntsager",IF($A120="Grøntsager i drivhus",Landbrug!E$51,1-Landbrug!E$51),1)</f>
        <v>#REF!</v>
      </c>
    </row>
    <row r="121" spans="1:10" x14ac:dyDescent="0.25">
      <c r="A121" t="str">
        <f>IF('[1]Processer - data'!A121&lt;&gt;"",'[1]Processer - data'!A121,"")</f>
        <v>Kornmark</v>
      </c>
      <c r="B121" t="str">
        <f>IF('[1]Processer - data'!B121&lt;&gt;"",'[1]Processer - data'!B121,"")</f>
        <v>Konventionel</v>
      </c>
      <c r="C121" t="str">
        <f>IF('[1]Processer - data'!C121&lt;&gt;"",'[1]Processer - data'!C121,"")</f>
        <v>JB1-10</v>
      </c>
      <c r="D121" t="str">
        <f>IF('[1]Processer - data'!D121&lt;&gt;"",'[1]Processer - data'!D121,"")</f>
        <v>Areal-korn</v>
      </c>
      <c r="E121" t="str">
        <f>IF('[1]Processer - data'!E121&lt;&gt;"",'[1]Processer - data'!E121,"")</f>
        <v>Hektar</v>
      </c>
      <c r="F121" t="str">
        <f>IF('[1]Processer - data'!F121&lt;&gt;"",'[1]Processer - data'!F121,"")</f>
        <v>Halm</v>
      </c>
      <c r="G121" t="str">
        <f>IF('[1]Processer - data'!G121&lt;&gt;"",'[1]Processer - data'!G121,"")</f>
        <v>Ton</v>
      </c>
      <c r="H121" s="302" t="e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input'!$A$3:$A$230,$A$1)),IF(VLOOKUP($A121,[1]!Table1[#All],2,FALSE)="Resultat",SUMIF($F$1:$F120,$D121,H$1:H120)+SUMIF($F122:$F$490,$D121,H122:H$490),0))*'[1]Processer - data'!H121,"")*IF($C121&lt;&gt;"",IF($F121="Halm",Landbrug!C$16*Landbrug!C$17,IF(LEFT($D121,5)="Areal", IF($G121="Ton",Landbrug!C$18,1),1)),1)*IF($F121="Grøntsager",IF($A121="Grøntsager i drivhus",Landbrug!C$51,1-Landbrug!C$51),1)</f>
        <v>#REF!</v>
      </c>
      <c r="I121" s="303" t="e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input'!$A$3:$A$230,$A$1)),IF(VLOOKUP($A121,[1]!Table1[#All],2,FALSE)="Resultat",SUMIF($F$1:$F120,$D121,I$1:I120)+SUMIF($F122:$F$490,$D121,I122:I$490),0))*'[1]Processer - data'!I121,"")*IF($C121&lt;&gt;"",IF($F121="Halm",Landbrug!D$16*Landbrug!D$17,IF(LEFT($D121,5)="Areal", IF($G121="Ton",Landbrug!D$18,1),1)),1)*IF($F121="Grøntsager",IF($A121="Grøntsager i drivhus",Landbrug!D$51,1-Landbrug!D$51),1)</f>
        <v>#REF!</v>
      </c>
      <c r="J121" s="304" t="e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input'!$A$3:$A$230,$A$1)),IF(VLOOKUP($A121,[1]!Table1[#All],2,FALSE)="Resultat",SUMIF($F$1:$F120,$D121,J$1:J120)+SUMIF($F122:$F$490,$D121,J122:J$490),0))*'[1]Processer - data'!J121,"")*IF($C121&lt;&gt;"",IF($F121="Halm",Landbrug!E$16*Landbrug!E$17,IF(LEFT($D121,5)="Areal", IF($G121="Ton",Landbrug!E$18,1),1)),1)*IF($F121="Grøntsager",IF($A121="Grøntsager i drivhus",Landbrug!E$51,1-Landbrug!E$51),1)</f>
        <v>#REF!</v>
      </c>
    </row>
    <row r="122" spans="1:10" x14ac:dyDescent="0.25">
      <c r="A122" t="str">
        <f>IF('[1]Processer - data'!A122&lt;&gt;"",'[1]Processer - data'!A122,"")</f>
        <v>Kornmark</v>
      </c>
      <c r="B122" t="str">
        <f>IF('[1]Processer - data'!B122&lt;&gt;"",'[1]Processer - data'!B122,"")</f>
        <v>Konventionel</v>
      </c>
      <c r="C122" t="str">
        <f>IF('[1]Processer - data'!C122&lt;&gt;"",'[1]Processer - data'!C122,"")</f>
        <v>JB1-10</v>
      </c>
      <c r="D122" t="str">
        <f>IF('[1]Processer - data'!D122&lt;&gt;"",'[1]Processer - data'!D122,"")</f>
        <v>Areal-korn</v>
      </c>
      <c r="E122" t="str">
        <f>IF('[1]Processer - data'!E122&lt;&gt;"",'[1]Processer - data'!E122,"")</f>
        <v>Hektar</v>
      </c>
      <c r="F122" t="str">
        <f>IF('[1]Processer - data'!F122&lt;&gt;"",'[1]Processer - data'!F122,"")</f>
        <v>Gødning</v>
      </c>
      <c r="G122" t="str">
        <f>IF('[1]Processer - data'!G122&lt;&gt;"",'[1]Processer - data'!G122,"")</f>
        <v>kg N</v>
      </c>
      <c r="H122" s="302" t="e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input'!$A$3:$A$230,$A$1)),IF(VLOOKUP($A122,[1]!Table1[#All],2,FALSE)="Resultat",SUMIF($F$1:$F121,$D122,H$1:H121)+SUMIF($F123:$F$490,$D122,H123:H$490),0))*'[1]Processer - data'!H122,"")*IF($C122&lt;&gt;"",IF($F122="Halm",Landbrug!C$16*Landbrug!C$17,IF(LEFT($D122,5)="Areal", IF($G122="Ton",Landbrug!C$18,1),1)),1)*IF($F122="Grøntsager",IF($A122="Grøntsager i drivhus",Landbrug!C$51,1-Landbrug!C$51),1)</f>
        <v>#REF!</v>
      </c>
      <c r="I122" s="303" t="e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input'!$A$3:$A$230,$A$1)),IF(VLOOKUP($A122,[1]!Table1[#All],2,FALSE)="Resultat",SUMIF($F$1:$F121,$D122,I$1:I121)+SUMIF($F123:$F$490,$D122,I123:I$490),0))*'[1]Processer - data'!I122,"")*IF($C122&lt;&gt;"",IF($F122="Halm",Landbrug!D$16*Landbrug!D$17,IF(LEFT($D122,5)="Areal", IF($G122="Ton",Landbrug!D$18,1),1)),1)*IF($F122="Grøntsager",IF($A122="Grøntsager i drivhus",Landbrug!D$51,1-Landbrug!D$51),1)</f>
        <v>#REF!</v>
      </c>
      <c r="J122" s="304" t="e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input'!$A$3:$A$230,$A$1)),IF(VLOOKUP($A122,[1]!Table1[#All],2,FALSE)="Resultat",SUMIF($F$1:$F121,$D122,J$1:J121)+SUMIF($F123:$F$490,$D122,J123:J$490),0))*'[1]Processer - data'!J122,"")*IF($C122&lt;&gt;"",IF($F122="Halm",Landbrug!E$16*Landbrug!E$17,IF(LEFT($D122,5)="Areal", IF($G122="Ton",Landbrug!E$18,1),1)),1)*IF($F122="Grøntsager",IF($A122="Grøntsager i drivhus",Landbrug!E$51,1-Landbrug!E$51),1)</f>
        <v>#REF!</v>
      </c>
    </row>
    <row r="123" spans="1:10" x14ac:dyDescent="0.25">
      <c r="A123" t="str">
        <f>IF('[1]Processer - data'!A123&lt;&gt;"",'[1]Processer - data'!A123,"")</f>
        <v>Kornmark</v>
      </c>
      <c r="B123" t="str">
        <f>IF('[1]Processer - data'!B123&lt;&gt;"",'[1]Processer - data'!B123,"")</f>
        <v>Konventionel</v>
      </c>
      <c r="C123" t="str">
        <f>IF('[1]Processer - data'!C123&lt;&gt;"",'[1]Processer - data'!C123,"")</f>
        <v>JB1-10</v>
      </c>
      <c r="D123" t="str">
        <f>IF('[1]Processer - data'!D123&lt;&gt;"",'[1]Processer - data'!D123,"")</f>
        <v>Areal-korn</v>
      </c>
      <c r="E123" t="str">
        <f>IF('[1]Processer - data'!E123&lt;&gt;"",'[1]Processer - data'!E123,"")</f>
        <v>Hektar</v>
      </c>
      <c r="F123" t="str">
        <f>IF('[1]Processer - data'!F123&lt;&gt;"",'[1]Processer - data'!F123,"")</f>
        <v>CO2 - atmosfære</v>
      </c>
      <c r="G123" t="str">
        <f>IF('[1]Processer - data'!G123&lt;&gt;"",'[1]Processer - data'!G123,"")</f>
        <v>t CO2-ækvivalenter</v>
      </c>
      <c r="H123" s="302" t="e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input'!$A$3:$A$230,$A$1)),IF(VLOOKUP($A123,[1]!Table1[#All],2,FALSE)="Resultat",SUMIF($F$1:$F122,$D123,H$1:H122)+SUMIF($F124:$F$490,$D123,H124:H$490),0))*'[1]Processer - data'!H123,"")*IF($C123&lt;&gt;"",IF($F123="Halm",Landbrug!C$16*Landbrug!C$17,IF(LEFT($D123,5)="Areal", IF($G123="Ton",Landbrug!C$18,1),1)),1)*IF($F123="Grøntsager",IF($A123="Grøntsager i drivhus",Landbrug!C$51,1-Landbrug!C$51),1)</f>
        <v>#REF!</v>
      </c>
      <c r="I123" s="303" t="e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input'!$A$3:$A$230,$A$1)),IF(VLOOKUP($A123,[1]!Table1[#All],2,FALSE)="Resultat",SUMIF($F$1:$F122,$D123,I$1:I122)+SUMIF($F124:$F$490,$D123,I124:I$490),0))*'[1]Processer - data'!I123,"")*IF($C123&lt;&gt;"",IF($F123="Halm",Landbrug!D$16*Landbrug!D$17,IF(LEFT($D123,5)="Areal", IF($G123="Ton",Landbrug!D$18,1),1)),1)*IF($F123="Grøntsager",IF($A123="Grøntsager i drivhus",Landbrug!D$51,1-Landbrug!D$51),1)</f>
        <v>#REF!</v>
      </c>
      <c r="J123" s="304" t="e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input'!$A$3:$A$230,$A$1)),IF(VLOOKUP($A123,[1]!Table1[#All],2,FALSE)="Resultat",SUMIF($F$1:$F122,$D123,J$1:J122)+SUMIF($F124:$F$490,$D123,J124:J$490),0))*'[1]Processer - data'!J123,"")*IF($C123&lt;&gt;"",IF($F123="Halm",Landbrug!E$16*Landbrug!E$17,IF(LEFT($D123,5)="Areal", IF($G123="Ton",Landbrug!E$18,1),1)),1)*IF($F123="Grøntsager",IF($A123="Grøntsager i drivhus",Landbrug!E$51,1-Landbrug!E$51),1)</f>
        <v>#REF!</v>
      </c>
    </row>
    <row r="124" spans="1:10" x14ac:dyDescent="0.25">
      <c r="A124" t="str">
        <f>IF('[1]Processer - data'!A124&lt;&gt;"",'[1]Processer - data'!A124,"")</f>
        <v>Kornmark</v>
      </c>
      <c r="B124" t="str">
        <f>IF('[1]Processer - data'!B124&lt;&gt;"",'[1]Processer - data'!B124,"")</f>
        <v>Konventionel</v>
      </c>
      <c r="C124" t="str">
        <f>IF('[1]Processer - data'!C124&lt;&gt;"",'[1]Processer - data'!C124,"")</f>
        <v>OC6</v>
      </c>
      <c r="D124" t="str">
        <f>IF('[1]Processer - data'!D124&lt;&gt;"",'[1]Processer - data'!D124,"")</f>
        <v>Areal-korn</v>
      </c>
      <c r="E124" t="str">
        <f>IF('[1]Processer - data'!E124&lt;&gt;"",'[1]Processer - data'!E124,"")</f>
        <v>Hektar</v>
      </c>
      <c r="F124" t="str">
        <f>IF('[1]Processer - data'!F124&lt;&gt;"",'[1]Processer - data'!F124,"")</f>
        <v>Korn</v>
      </c>
      <c r="G124" t="str">
        <f>IF('[1]Processer - data'!G124&lt;&gt;"",'[1]Processer - data'!G124,"")</f>
        <v>Ton</v>
      </c>
      <c r="H124" s="302" t="e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input'!$A$3:$A$230,$A$1)),IF(VLOOKUP($A124,[1]!Table1[#All],2,FALSE)="Resultat",SUMIF($F$1:$F123,$D124,H$1:H123)+SUMIF($F125:$F$490,$D124,H125:H$490),0))*'[1]Processer - data'!H124,"")*IF($C124&lt;&gt;"",IF($F124="Halm",Landbrug!C$16*Landbrug!C$17,IF(LEFT($D124,5)="Areal", IF($G124="Ton",Landbrug!C$18,1),1)),1)*IF($F124="Grøntsager",IF($A124="Grøntsager i drivhus",Landbrug!C$51,1-Landbrug!C$51),1)</f>
        <v>#REF!</v>
      </c>
      <c r="I124" s="303" t="e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input'!$A$3:$A$230,$A$1)),IF(VLOOKUP($A124,[1]!Table1[#All],2,FALSE)="Resultat",SUMIF($F$1:$F123,$D124,I$1:I123)+SUMIF($F125:$F$490,$D124,I125:I$490),0))*'[1]Processer - data'!I124,"")*IF($C124&lt;&gt;"",IF($F124="Halm",Landbrug!D$16*Landbrug!D$17,IF(LEFT($D124,5)="Areal", IF($G124="Ton",Landbrug!D$18,1),1)),1)*IF($F124="Grøntsager",IF($A124="Grøntsager i drivhus",Landbrug!D$51,1-Landbrug!D$51),1)</f>
        <v>#REF!</v>
      </c>
      <c r="J124" s="304" t="e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input'!$A$3:$A$230,$A$1)),IF(VLOOKUP($A124,[1]!Table1[#All],2,FALSE)="Resultat",SUMIF($F$1:$F123,$D124,J$1:J123)+SUMIF($F125:$F$490,$D124,J125:J$490),0))*'[1]Processer - data'!J124,"")*IF($C124&lt;&gt;"",IF($F124="Halm",Landbrug!E$16*Landbrug!E$17,IF(LEFT($D124,5)="Areal", IF($G124="Ton",Landbrug!E$18,1),1)),1)*IF($F124="Grøntsager",IF($A124="Grøntsager i drivhus",Landbrug!E$51,1-Landbrug!E$51),1)</f>
        <v>#REF!</v>
      </c>
    </row>
    <row r="125" spans="1:10" x14ac:dyDescent="0.25">
      <c r="A125" t="str">
        <f>IF('[1]Processer - data'!A125&lt;&gt;"",'[1]Processer - data'!A125,"")</f>
        <v>Kornmark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>OC6</v>
      </c>
      <c r="D125" t="str">
        <f>IF('[1]Processer - data'!D125&lt;&gt;"",'[1]Processer - data'!D125,"")</f>
        <v>Areal-korn</v>
      </c>
      <c r="E125" t="str">
        <f>IF('[1]Processer - data'!E125&lt;&gt;"",'[1]Processer - data'!E125,"")</f>
        <v>Hektar</v>
      </c>
      <c r="F125" t="str">
        <f>IF('[1]Processer - data'!F125&lt;&gt;"",'[1]Processer - data'!F125,"")</f>
        <v>Halm</v>
      </c>
      <c r="G125" t="str">
        <f>IF('[1]Processer - data'!G125&lt;&gt;"",'[1]Processer - data'!G125,"")</f>
        <v>Ton</v>
      </c>
      <c r="H125" s="302" t="e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input'!$A$3:$A$230,$A$1)),IF(VLOOKUP($A125,[1]!Table1[#All],2,FALSE)="Resultat",SUMIF($F$1:$F124,$D125,H$1:H124)+SUMIF($F126:$F$490,$D125,H126:H$490),0))*'[1]Processer - data'!H125,"")*IF($C125&lt;&gt;"",IF($F125="Halm",Landbrug!C$16*Landbrug!C$17,IF(LEFT($D125,5)="Areal", IF($G125="Ton",Landbrug!C$18,1),1)),1)*IF($F125="Grøntsager",IF($A125="Grøntsager i drivhus",Landbrug!C$51,1-Landbrug!C$51),1)</f>
        <v>#REF!</v>
      </c>
      <c r="I125" s="303" t="e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input'!$A$3:$A$230,$A$1)),IF(VLOOKUP($A125,[1]!Table1[#All],2,FALSE)="Resultat",SUMIF($F$1:$F124,$D125,I$1:I124)+SUMIF($F126:$F$490,$D125,I126:I$490),0))*'[1]Processer - data'!I125,"")*IF($C125&lt;&gt;"",IF($F125="Halm",Landbrug!D$16*Landbrug!D$17,IF(LEFT($D125,5)="Areal", IF($G125="Ton",Landbrug!D$18,1),1)),1)*IF($F125="Grøntsager",IF($A125="Grøntsager i drivhus",Landbrug!D$51,1-Landbrug!D$51),1)</f>
        <v>#REF!</v>
      </c>
      <c r="J125" s="304" t="e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input'!$A$3:$A$230,$A$1)),IF(VLOOKUP($A125,[1]!Table1[#All],2,FALSE)="Resultat",SUMIF($F$1:$F124,$D125,J$1:J124)+SUMIF($F126:$F$490,$D125,J126:J$490),0))*'[1]Processer - data'!J125,"")*IF($C125&lt;&gt;"",IF($F125="Halm",Landbrug!E$16*Landbrug!E$17,IF(LEFT($D125,5)="Areal", IF($G125="Ton",Landbrug!E$18,1),1)),1)*IF($F125="Grøntsager",IF($A125="Grøntsager i drivhus",Landbrug!E$51,1-Landbrug!E$51),1)</f>
        <v>#REF!</v>
      </c>
    </row>
    <row r="126" spans="1:10" x14ac:dyDescent="0.25">
      <c r="A126" t="str">
        <f>IF('[1]Processer - data'!A126&lt;&gt;"",'[1]Processer - data'!A126,"")</f>
        <v>Kornmark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>OC6</v>
      </c>
      <c r="D126" t="str">
        <f>IF('[1]Processer - data'!D126&lt;&gt;"",'[1]Processer - data'!D126,"")</f>
        <v>Areal-korn</v>
      </c>
      <c r="E126" t="str">
        <f>IF('[1]Processer - data'!E126&lt;&gt;"",'[1]Processer - data'!E126,"")</f>
        <v>Hektar</v>
      </c>
      <c r="F126" t="str">
        <f>IF('[1]Processer - data'!F126&lt;&gt;"",'[1]Processer - data'!F126,"")</f>
        <v>Gødning</v>
      </c>
      <c r="G126" t="str">
        <f>IF('[1]Processer - data'!G126&lt;&gt;"",'[1]Processer - data'!G126,"")</f>
        <v>kg N</v>
      </c>
      <c r="H126" s="302" t="e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input'!$A$3:$A$230,$A$1)),IF(VLOOKUP($A126,[1]!Table1[#All],2,FALSE)="Resultat",SUMIF($F$1:$F125,$D126,H$1:H125)+SUMIF($F127:$F$490,$D126,H127:H$490),0))*'[1]Processer - data'!H126,"")*IF($C126&lt;&gt;"",IF($F126="Halm",Landbrug!C$16*Landbrug!C$17,IF(LEFT($D126,5)="Areal", IF($G126="Ton",Landbrug!C$18,1),1)),1)*IF($F126="Grøntsager",IF($A126="Grøntsager i drivhus",Landbrug!C$51,1-Landbrug!C$51),1)</f>
        <v>#REF!</v>
      </c>
      <c r="I126" s="303" t="e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input'!$A$3:$A$230,$A$1)),IF(VLOOKUP($A126,[1]!Table1[#All],2,FALSE)="Resultat",SUMIF($F$1:$F125,$D126,I$1:I125)+SUMIF($F127:$F$490,$D126,I127:I$490),0))*'[1]Processer - data'!I126,"")*IF($C126&lt;&gt;"",IF($F126="Halm",Landbrug!D$16*Landbrug!D$17,IF(LEFT($D126,5)="Areal", IF($G126="Ton",Landbrug!D$18,1),1)),1)*IF($F126="Grøntsager",IF($A126="Grøntsager i drivhus",Landbrug!D$51,1-Landbrug!D$51),1)</f>
        <v>#REF!</v>
      </c>
      <c r="J126" s="304" t="e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input'!$A$3:$A$230,$A$1)),IF(VLOOKUP($A126,[1]!Table1[#All],2,FALSE)="Resultat",SUMIF($F$1:$F125,$D126,J$1:J125)+SUMIF($F127:$F$490,$D126,J127:J$490),0))*'[1]Processer - data'!J126,"")*IF($C126&lt;&gt;"",IF($F126="Halm",Landbrug!E$16*Landbrug!E$17,IF(LEFT($D126,5)="Areal", IF($G126="Ton",Landbrug!E$18,1),1)),1)*IF($F126="Grøntsager",IF($A126="Grøntsager i drivhus",Landbrug!E$51,1-Landbrug!E$51),1)</f>
        <v>#REF!</v>
      </c>
    </row>
    <row r="127" spans="1:10" x14ac:dyDescent="0.25">
      <c r="A127" t="str">
        <f>IF('[1]Processer - data'!A127&lt;&gt;"",'[1]Processer - data'!A127,"")</f>
        <v>Kornmark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>OC6</v>
      </c>
      <c r="D127" t="str">
        <f>IF('[1]Processer - data'!D127&lt;&gt;"",'[1]Processer - data'!D127,"")</f>
        <v>Areal-korn</v>
      </c>
      <c r="E127" t="str">
        <f>IF('[1]Processer - data'!E127&lt;&gt;"",'[1]Processer - data'!E127,"")</f>
        <v>Hektar</v>
      </c>
      <c r="F127" t="str">
        <f>IF('[1]Processer - data'!F127&lt;&gt;"",'[1]Processer - data'!F127,"")</f>
        <v>CO2 - atmosfære</v>
      </c>
      <c r="G127" t="str">
        <f>IF('[1]Processer - data'!G127&lt;&gt;"",'[1]Processer - data'!G127,"")</f>
        <v>t CO2-ækvivalenter</v>
      </c>
      <c r="H127" s="302" t="e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input'!$A$3:$A$230,$A$1)),IF(VLOOKUP($A127,[1]!Table1[#All],2,FALSE)="Resultat",SUMIF($F$1:$F126,$D127,H$1:H126)+SUMIF($F128:$F$490,$D127,H128:H$490),0))*'[1]Processer - data'!H127,"")*IF($C127&lt;&gt;"",IF($F127="Halm",Landbrug!C$16*Landbrug!C$17,IF(LEFT($D127,5)="Areal", IF($G127="Ton",Landbrug!C$18,1),1)),1)*IF($F127="Grøntsager",IF($A127="Grøntsager i drivhus",Landbrug!C$51,1-Landbrug!C$51),1)</f>
        <v>#REF!</v>
      </c>
      <c r="I127" s="303" t="e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input'!$A$3:$A$230,$A$1)),IF(VLOOKUP($A127,[1]!Table1[#All],2,FALSE)="Resultat",SUMIF($F$1:$F126,$D127,I$1:I126)+SUMIF($F128:$F$490,$D127,I128:I$490),0))*'[1]Processer - data'!I127,"")*IF($C127&lt;&gt;"",IF($F127="Halm",Landbrug!D$16*Landbrug!D$17,IF(LEFT($D127,5)="Areal", IF($G127="Ton",Landbrug!D$18,1),1)),1)*IF($F127="Grøntsager",IF($A127="Grøntsager i drivhus",Landbrug!D$51,1-Landbrug!D$51),1)</f>
        <v>#REF!</v>
      </c>
      <c r="J127" s="304" t="e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input'!$A$3:$A$230,$A$1)),IF(VLOOKUP($A127,[1]!Table1[#All],2,FALSE)="Resultat",SUMIF($F$1:$F126,$D127,J$1:J126)+SUMIF($F128:$F$490,$D127,J128:J$490),0))*'[1]Processer - data'!J127,"")*IF($C127&lt;&gt;"",IF($F127="Halm",Landbrug!E$16*Landbrug!E$17,IF(LEFT($D127,5)="Areal", IF($G127="Ton",Landbrug!E$18,1),1)),1)*IF($F127="Grøntsager",IF($A127="Grøntsager i drivhus",Landbrug!E$51,1-Landbrug!E$51),1)</f>
        <v>#REF!</v>
      </c>
    </row>
    <row r="128" spans="1:10" x14ac:dyDescent="0.25">
      <c r="A128" t="str">
        <f>IF('[1]Processer - data'!A128&lt;&gt;"",'[1]Processer - data'!A128,"")</f>
        <v>Kornmark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>OC12</v>
      </c>
      <c r="D128" t="str">
        <f>IF('[1]Processer - data'!D128&lt;&gt;"",'[1]Processer - data'!D128,"")</f>
        <v>Areal-korn</v>
      </c>
      <c r="E128" t="str">
        <f>IF('[1]Processer - data'!E128&lt;&gt;"",'[1]Processer - data'!E128,"")</f>
        <v>Hektar</v>
      </c>
      <c r="F128" t="str">
        <f>IF('[1]Processer - data'!F128&lt;&gt;"",'[1]Processer - data'!F128,"")</f>
        <v>Korn</v>
      </c>
      <c r="G128" t="str">
        <f>IF('[1]Processer - data'!G128&lt;&gt;"",'[1]Processer - data'!G128,"")</f>
        <v>Ton</v>
      </c>
      <c r="H128" s="302" t="e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input'!$A$3:$A$230,$A$1)),IF(VLOOKUP($A128,[1]!Table1[#All],2,FALSE)="Resultat",SUMIF($F$1:$F127,$D128,H$1:H127)+SUMIF($F129:$F$490,$D128,H129:H$490),0))*'[1]Processer - data'!H128,"")*IF($C128&lt;&gt;"",IF($F128="Halm",Landbrug!C$16*Landbrug!C$17,IF(LEFT($D128,5)="Areal", IF($G128="Ton",Landbrug!C$18,1),1)),1)*IF($F128="Grøntsager",IF($A128="Grøntsager i drivhus",Landbrug!C$51,1-Landbrug!C$51),1)</f>
        <v>#REF!</v>
      </c>
      <c r="I128" s="303" t="e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input'!$A$3:$A$230,$A$1)),IF(VLOOKUP($A128,[1]!Table1[#All],2,FALSE)="Resultat",SUMIF($F$1:$F127,$D128,I$1:I127)+SUMIF($F129:$F$490,$D128,I129:I$490),0))*'[1]Processer - data'!I128,"")*IF($C128&lt;&gt;"",IF($F128="Halm",Landbrug!D$16*Landbrug!D$17,IF(LEFT($D128,5)="Areal", IF($G128="Ton",Landbrug!D$18,1),1)),1)*IF($F128="Grøntsager",IF($A128="Grøntsager i drivhus",Landbrug!D$51,1-Landbrug!D$51),1)</f>
        <v>#REF!</v>
      </c>
      <c r="J128" s="304" t="e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input'!$A$3:$A$230,$A$1)),IF(VLOOKUP($A128,[1]!Table1[#All],2,FALSE)="Resultat",SUMIF($F$1:$F127,$D128,J$1:J127)+SUMIF($F129:$F$490,$D128,J129:J$490),0))*'[1]Processer - data'!J128,"")*IF($C128&lt;&gt;"",IF($F128="Halm",Landbrug!E$16*Landbrug!E$17,IF(LEFT($D128,5)="Areal", IF($G128="Ton",Landbrug!E$18,1),1)),1)*IF($F128="Grøntsager",IF($A128="Grøntsager i drivhus",Landbrug!E$51,1-Landbrug!E$51),1)</f>
        <v>#REF!</v>
      </c>
    </row>
    <row r="129" spans="1:10" x14ac:dyDescent="0.25">
      <c r="A129" t="str">
        <f>IF('[1]Processer - data'!A129&lt;&gt;"",'[1]Processer - data'!A129,"")</f>
        <v>Kornmark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>OC12</v>
      </c>
      <c r="D129" t="str">
        <f>IF('[1]Processer - data'!D129&lt;&gt;"",'[1]Processer - data'!D129,"")</f>
        <v>Areal-korn</v>
      </c>
      <c r="E129" t="str">
        <f>IF('[1]Processer - data'!E129&lt;&gt;"",'[1]Processer - data'!E129,"")</f>
        <v>Hektar</v>
      </c>
      <c r="F129" t="str">
        <f>IF('[1]Processer - data'!F129&lt;&gt;"",'[1]Processer - data'!F129,"")</f>
        <v>Halm</v>
      </c>
      <c r="G129" t="str">
        <f>IF('[1]Processer - data'!G129&lt;&gt;"",'[1]Processer - data'!G129,"")</f>
        <v>Ton</v>
      </c>
      <c r="H129" s="302" t="e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input'!$A$3:$A$230,$A$1)),IF(VLOOKUP($A129,[1]!Table1[#All],2,FALSE)="Resultat",SUMIF($F$1:$F128,$D129,H$1:H128)+SUMIF($F130:$F$490,$D129,H130:H$490),0))*'[1]Processer - data'!H129,"")*IF($C129&lt;&gt;"",IF($F129="Halm",Landbrug!C$16*Landbrug!C$17,IF(LEFT($D129,5)="Areal", IF($G129="Ton",Landbrug!C$18,1),1)),1)*IF($F129="Grøntsager",IF($A129="Grøntsager i drivhus",Landbrug!C$51,1-Landbrug!C$51),1)</f>
        <v>#REF!</v>
      </c>
      <c r="I129" s="303" t="e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input'!$A$3:$A$230,$A$1)),IF(VLOOKUP($A129,[1]!Table1[#All],2,FALSE)="Resultat",SUMIF($F$1:$F128,$D129,I$1:I128)+SUMIF($F130:$F$490,$D129,I130:I$490),0))*'[1]Processer - data'!I129,"")*IF($C129&lt;&gt;"",IF($F129="Halm",Landbrug!D$16*Landbrug!D$17,IF(LEFT($D129,5)="Areal", IF($G129="Ton",Landbrug!D$18,1),1)),1)*IF($F129="Grøntsager",IF($A129="Grøntsager i drivhus",Landbrug!D$51,1-Landbrug!D$51),1)</f>
        <v>#REF!</v>
      </c>
      <c r="J129" s="304" t="e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input'!$A$3:$A$230,$A$1)),IF(VLOOKUP($A129,[1]!Table1[#All],2,FALSE)="Resultat",SUMIF($F$1:$F128,$D129,J$1:J128)+SUMIF($F130:$F$490,$D129,J130:J$490),0))*'[1]Processer - data'!J129,"")*IF($C129&lt;&gt;"",IF($F129="Halm",Landbrug!E$16*Landbrug!E$17,IF(LEFT($D129,5)="Areal", IF($G129="Ton",Landbrug!E$18,1),1)),1)*IF($F129="Grøntsager",IF($A129="Grøntsager i drivhus",Landbrug!E$51,1-Landbrug!E$51),1)</f>
        <v>#REF!</v>
      </c>
    </row>
    <row r="130" spans="1:10" x14ac:dyDescent="0.25">
      <c r="A130" t="str">
        <f>IF('[1]Processer - data'!A130&lt;&gt;"",'[1]Processer - data'!A130,"")</f>
        <v>Kornmark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>OC12</v>
      </c>
      <c r="D130" t="str">
        <f>IF('[1]Processer - data'!D130&lt;&gt;"",'[1]Processer - data'!D130,"")</f>
        <v>Areal-korn</v>
      </c>
      <c r="E130" t="str">
        <f>IF('[1]Processer - data'!E130&lt;&gt;"",'[1]Processer - data'!E130,"")</f>
        <v>Hektar</v>
      </c>
      <c r="F130" t="str">
        <f>IF('[1]Processer - data'!F130&lt;&gt;"",'[1]Processer - data'!F130,"")</f>
        <v>Gødning</v>
      </c>
      <c r="G130" t="str">
        <f>IF('[1]Processer - data'!G130&lt;&gt;"",'[1]Processer - data'!G130,"")</f>
        <v>kg N</v>
      </c>
      <c r="H130" s="302" t="e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input'!$A$3:$A$230,$A$1)),IF(VLOOKUP($A130,[1]!Table1[#All],2,FALSE)="Resultat",SUMIF($F$1:$F129,$D130,H$1:H129)+SUMIF($F131:$F$490,$D130,H131:H$490),0))*'[1]Processer - data'!H130,"")*IF($C130&lt;&gt;"",IF($F130="Halm",Landbrug!C$16*Landbrug!C$17,IF(LEFT($D130,5)="Areal", IF($G130="Ton",Landbrug!C$18,1),1)),1)*IF($F130="Grøntsager",IF($A130="Grøntsager i drivhus",Landbrug!C$51,1-Landbrug!C$51),1)</f>
        <v>#REF!</v>
      </c>
      <c r="I130" s="303" t="e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input'!$A$3:$A$230,$A$1)),IF(VLOOKUP($A130,[1]!Table1[#All],2,FALSE)="Resultat",SUMIF($F$1:$F129,$D130,I$1:I129)+SUMIF($F131:$F$490,$D130,I131:I$490),0))*'[1]Processer - data'!I130,"")*IF($C130&lt;&gt;"",IF($F130="Halm",Landbrug!D$16*Landbrug!D$17,IF(LEFT($D130,5)="Areal", IF($G130="Ton",Landbrug!D$18,1),1)),1)*IF($F130="Grøntsager",IF($A130="Grøntsager i drivhus",Landbrug!D$51,1-Landbrug!D$51),1)</f>
        <v>#REF!</v>
      </c>
      <c r="J130" s="304" t="e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input'!$A$3:$A$230,$A$1)),IF(VLOOKUP($A130,[1]!Table1[#All],2,FALSE)="Resultat",SUMIF($F$1:$F129,$D130,J$1:J129)+SUMIF($F131:$F$490,$D130,J131:J$490),0))*'[1]Processer - data'!J130,"")*IF($C130&lt;&gt;"",IF($F130="Halm",Landbrug!E$16*Landbrug!E$17,IF(LEFT($D130,5)="Areal", IF($G130="Ton",Landbrug!E$18,1),1)),1)*IF($F130="Grøntsager",IF($A130="Grøntsager i drivhus",Landbrug!E$51,1-Landbrug!E$51),1)</f>
        <v>#REF!</v>
      </c>
    </row>
    <row r="131" spans="1:10" x14ac:dyDescent="0.25">
      <c r="A131" t="str">
        <f>IF('[1]Processer - data'!A131&lt;&gt;"",'[1]Processer - data'!A131,"")</f>
        <v>Kornmark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>OC12</v>
      </c>
      <c r="D131" t="str">
        <f>IF('[1]Processer - data'!D131&lt;&gt;"",'[1]Processer - data'!D131,"")</f>
        <v>Areal-korn</v>
      </c>
      <c r="E131" t="str">
        <f>IF('[1]Processer - data'!E131&lt;&gt;"",'[1]Processer - data'!E131,"")</f>
        <v>Hektar</v>
      </c>
      <c r="F131" t="str">
        <f>IF('[1]Processer - data'!F131&lt;&gt;"",'[1]Processer - data'!F131,"")</f>
        <v>CO2 - atmosfære</v>
      </c>
      <c r="G131" t="str">
        <f>IF('[1]Processer - data'!G131&lt;&gt;"",'[1]Processer - data'!G131,"")</f>
        <v>t CO2-ækvivalenter</v>
      </c>
      <c r="H131" s="302" t="e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input'!$A$3:$A$230,$A$1)),IF(VLOOKUP($A131,[1]!Table1[#All],2,FALSE)="Resultat",SUMIF($F$1:$F130,$D131,H$1:H130)+SUMIF($F132:$F$490,$D131,H132:H$490),0))*'[1]Processer - data'!H131,"")*IF($C131&lt;&gt;"",IF($F131="Halm",Landbrug!C$16*Landbrug!C$17,IF(LEFT($D131,5)="Areal", IF($G131="Ton",Landbrug!C$18,1),1)),1)*IF($F131="Grøntsager",IF($A131="Grøntsager i drivhus",Landbrug!C$51,1-Landbrug!C$51),1)</f>
        <v>#REF!</v>
      </c>
      <c r="I131" s="303" t="e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input'!$A$3:$A$230,$A$1)),IF(VLOOKUP($A131,[1]!Table1[#All],2,FALSE)="Resultat",SUMIF($F$1:$F130,$D131,I$1:I130)+SUMIF($F132:$F$490,$D131,I132:I$490),0))*'[1]Processer - data'!I131,"")*IF($C131&lt;&gt;"",IF($F131="Halm",Landbrug!D$16*Landbrug!D$17,IF(LEFT($D131,5)="Areal", IF($G131="Ton",Landbrug!D$18,1),1)),1)*IF($F131="Grøntsager",IF($A131="Grøntsager i drivhus",Landbrug!D$51,1-Landbrug!D$51),1)</f>
        <v>#REF!</v>
      </c>
      <c r="J131" s="304" t="e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input'!$A$3:$A$230,$A$1)),IF(VLOOKUP($A131,[1]!Table1[#All],2,FALSE)="Resultat",SUMIF($F$1:$F130,$D131,J$1:J130)+SUMIF($F132:$F$490,$D131,J132:J$490),0))*'[1]Processer - data'!J131,"")*IF($C131&lt;&gt;"",IF($F131="Halm",Landbrug!E$16*Landbrug!E$17,IF(LEFT($D131,5)="Areal", IF($G131="Ton",Landbrug!E$18,1),1)),1)*IF($F131="Grøntsager",IF($A131="Grøntsager i drivhus",Landbrug!E$51,1-Landbrug!E$51),1)</f>
        <v>#REF!</v>
      </c>
    </row>
    <row r="132" spans="1:10" x14ac:dyDescent="0.25">
      <c r="A132" t="str">
        <f>IF('[1]Processer - data'!A132&lt;&gt;"",'[1]Processer - data'!A132,"")</f>
        <v>Kornmark</v>
      </c>
      <c r="B132" t="str">
        <f>IF('[1]Processer - data'!B132&lt;&gt;"",'[1]Processer - data'!B132,"")</f>
        <v>Økologisk</v>
      </c>
      <c r="C132" t="str">
        <f>IF('[1]Processer - data'!C132&lt;&gt;"",'[1]Processer - data'!C132,"")</f>
        <v>JB1-10</v>
      </c>
      <c r="D132" t="str">
        <f>IF('[1]Processer - data'!D132&lt;&gt;"",'[1]Processer - data'!D132,"")</f>
        <v>Areal-korn</v>
      </c>
      <c r="E132" t="str">
        <f>IF('[1]Processer - data'!E132&lt;&gt;"",'[1]Processer - data'!E132,"")</f>
        <v>Hektar</v>
      </c>
      <c r="F132" t="str">
        <f>IF('[1]Processer - data'!F132&lt;&gt;"",'[1]Processer - data'!F132,"")</f>
        <v>Korn</v>
      </c>
      <c r="G132" t="str">
        <f>IF('[1]Processer - data'!G132&lt;&gt;"",'[1]Processer - data'!G132,"")</f>
        <v>Ton</v>
      </c>
      <c r="H132" s="302" t="e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input'!$A$3:$A$230,$A$1)),IF(VLOOKUP($A132,[1]!Table1[#All],2,FALSE)="Resultat",SUMIF($F$1:$F131,$D132,H$1:H131)+SUMIF($F133:$F$490,$D132,H133:H$490),0))*'[1]Processer - data'!H132,"")*IF($C132&lt;&gt;"",IF($F132="Halm",Landbrug!C$16*Landbrug!C$17,IF(LEFT($D132,5)="Areal", IF($G132="Ton",Landbrug!C$18,1),1)),1)*IF($F132="Grøntsager",IF($A132="Grøntsager i drivhus",Landbrug!C$51,1-Landbrug!C$51),1)</f>
        <v>#REF!</v>
      </c>
      <c r="I132" s="303" t="e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input'!$A$3:$A$230,$A$1)),IF(VLOOKUP($A132,[1]!Table1[#All],2,FALSE)="Resultat",SUMIF($F$1:$F131,$D132,I$1:I131)+SUMIF($F133:$F$490,$D132,I133:I$490),0))*'[1]Processer - data'!I132,"")*IF($C132&lt;&gt;"",IF($F132="Halm",Landbrug!D$16*Landbrug!D$17,IF(LEFT($D132,5)="Areal", IF($G132="Ton",Landbrug!D$18,1),1)),1)*IF($F132="Grøntsager",IF($A132="Grøntsager i drivhus",Landbrug!D$51,1-Landbrug!D$51),1)</f>
        <v>#REF!</v>
      </c>
      <c r="J132" s="304" t="e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input'!$A$3:$A$230,$A$1)),IF(VLOOKUP($A132,[1]!Table1[#All],2,FALSE)="Resultat",SUMIF($F$1:$F131,$D132,J$1:J131)+SUMIF($F133:$F$490,$D132,J133:J$490),0))*'[1]Processer - data'!J132,"")*IF($C132&lt;&gt;"",IF($F132="Halm",Landbrug!E$16*Landbrug!E$17,IF(LEFT($D132,5)="Areal", IF($G132="Ton",Landbrug!E$18,1),1)),1)*IF($F132="Grøntsager",IF($A132="Grøntsager i drivhus",Landbrug!E$51,1-Landbrug!E$51),1)</f>
        <v>#REF!</v>
      </c>
    </row>
    <row r="133" spans="1:10" x14ac:dyDescent="0.25">
      <c r="A133" t="str">
        <f>IF('[1]Processer - data'!A133&lt;&gt;"",'[1]Processer - data'!A133,"")</f>
        <v>Kornmark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>JB1-10</v>
      </c>
      <c r="D133" t="str">
        <f>IF('[1]Processer - data'!D133&lt;&gt;"",'[1]Processer - data'!D133,"")</f>
        <v>Areal-korn</v>
      </c>
      <c r="E133" t="str">
        <f>IF('[1]Processer - data'!E133&lt;&gt;"",'[1]Processer - data'!E133,"")</f>
        <v>Hektar</v>
      </c>
      <c r="F133" t="str">
        <f>IF('[1]Processer - data'!F133&lt;&gt;"",'[1]Processer - data'!F133,"")</f>
        <v>Halm</v>
      </c>
      <c r="G133" t="str">
        <f>IF('[1]Processer - data'!G133&lt;&gt;"",'[1]Processer - data'!G133,"")</f>
        <v>Ton</v>
      </c>
      <c r="H133" s="302" t="e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input'!$A$3:$A$230,$A$1)),IF(VLOOKUP($A133,[1]!Table1[#All],2,FALSE)="Resultat",SUMIF($F$1:$F132,$D133,H$1:H132)+SUMIF($F134:$F$490,$D133,H134:H$490),0))*'[1]Processer - data'!H133,"")*IF($C133&lt;&gt;"",IF($F133="Halm",Landbrug!C$16*Landbrug!C$17,IF(LEFT($D133,5)="Areal", IF($G133="Ton",Landbrug!C$18,1),1)),1)*IF($F133="Grøntsager",IF($A133="Grøntsager i drivhus",Landbrug!C$51,1-Landbrug!C$51),1)</f>
        <v>#REF!</v>
      </c>
      <c r="I133" s="303" t="e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input'!$A$3:$A$230,$A$1)),IF(VLOOKUP($A133,[1]!Table1[#All],2,FALSE)="Resultat",SUMIF($F$1:$F132,$D133,I$1:I132)+SUMIF($F134:$F$490,$D133,I134:I$490),0))*'[1]Processer - data'!I133,"")*IF($C133&lt;&gt;"",IF($F133="Halm",Landbrug!D$16*Landbrug!D$17,IF(LEFT($D133,5)="Areal", IF($G133="Ton",Landbrug!D$18,1),1)),1)*IF($F133="Grøntsager",IF($A133="Grøntsager i drivhus",Landbrug!D$51,1-Landbrug!D$51),1)</f>
        <v>#REF!</v>
      </c>
      <c r="J133" s="304" t="e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input'!$A$3:$A$230,$A$1)),IF(VLOOKUP($A133,[1]!Table1[#All],2,FALSE)="Resultat",SUMIF($F$1:$F132,$D133,J$1:J132)+SUMIF($F134:$F$490,$D133,J134:J$490),0))*'[1]Processer - data'!J133,"")*IF($C133&lt;&gt;"",IF($F133="Halm",Landbrug!E$16*Landbrug!E$17,IF(LEFT($D133,5)="Areal", IF($G133="Ton",Landbrug!E$18,1),1)),1)*IF($F133="Grøntsager",IF($A133="Grøntsager i drivhus",Landbrug!E$51,1-Landbrug!E$51),1)</f>
        <v>#REF!</v>
      </c>
    </row>
    <row r="134" spans="1:10" x14ac:dyDescent="0.25">
      <c r="A134" t="str">
        <f>IF('[1]Processer - data'!A134&lt;&gt;"",'[1]Processer - data'!A134,"")</f>
        <v>Kornmark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>JB1-10</v>
      </c>
      <c r="D134" t="str">
        <f>IF('[1]Processer - data'!D134&lt;&gt;"",'[1]Processer - data'!D134,"")</f>
        <v>Areal-korn</v>
      </c>
      <c r="E134" t="str">
        <f>IF('[1]Processer - data'!E134&lt;&gt;"",'[1]Processer - data'!E134,"")</f>
        <v>Hektar</v>
      </c>
      <c r="F134" t="str">
        <f>IF('[1]Processer - data'!F134&lt;&gt;"",'[1]Processer - data'!F134,"")</f>
        <v>Gødning</v>
      </c>
      <c r="G134" t="str">
        <f>IF('[1]Processer - data'!G134&lt;&gt;"",'[1]Processer - data'!G134,"")</f>
        <v>kg N</v>
      </c>
      <c r="H134" s="302" t="e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input'!$A$3:$A$230,$A$1)),IF(VLOOKUP($A134,[1]!Table1[#All],2,FALSE)="Resultat",SUMIF($F$1:$F133,$D134,H$1:H133)+SUMIF($F135:$F$490,$D134,H135:H$490),0))*'[1]Processer - data'!H134,"")*IF($C134&lt;&gt;"",IF($F134="Halm",Landbrug!C$16*Landbrug!C$17,IF(LEFT($D134,5)="Areal", IF($G134="Ton",Landbrug!C$18,1),1)),1)*IF($F134="Grøntsager",IF($A134="Grøntsager i drivhus",Landbrug!C$51,1-Landbrug!C$51),1)</f>
        <v>#REF!</v>
      </c>
      <c r="I134" s="303" t="e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input'!$A$3:$A$230,$A$1)),IF(VLOOKUP($A134,[1]!Table1[#All],2,FALSE)="Resultat",SUMIF($F$1:$F133,$D134,I$1:I133)+SUMIF($F135:$F$490,$D134,I135:I$490),0))*'[1]Processer - data'!I134,"")*IF($C134&lt;&gt;"",IF($F134="Halm",Landbrug!D$16*Landbrug!D$17,IF(LEFT($D134,5)="Areal", IF($G134="Ton",Landbrug!D$18,1),1)),1)*IF($F134="Grøntsager",IF($A134="Grøntsager i drivhus",Landbrug!D$51,1-Landbrug!D$51),1)</f>
        <v>#REF!</v>
      </c>
      <c r="J134" s="304" t="e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input'!$A$3:$A$230,$A$1)),IF(VLOOKUP($A134,[1]!Table1[#All],2,FALSE)="Resultat",SUMIF($F$1:$F133,$D134,J$1:J133)+SUMIF($F135:$F$490,$D134,J135:J$490),0))*'[1]Processer - data'!J134,"")*IF($C134&lt;&gt;"",IF($F134="Halm",Landbrug!E$16*Landbrug!E$17,IF(LEFT($D134,5)="Areal", IF($G134="Ton",Landbrug!E$18,1),1)),1)*IF($F134="Grøntsager",IF($A134="Grøntsager i drivhus",Landbrug!E$51,1-Landbrug!E$51),1)</f>
        <v>#REF!</v>
      </c>
    </row>
    <row r="135" spans="1:10" x14ac:dyDescent="0.25">
      <c r="A135" t="str">
        <f>IF('[1]Processer - data'!A135&lt;&gt;"",'[1]Processer - data'!A135,"")</f>
        <v>Kornmark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>JB1-10</v>
      </c>
      <c r="D135" t="str">
        <f>IF('[1]Processer - data'!D135&lt;&gt;"",'[1]Processer - data'!D135,"")</f>
        <v>Areal-korn</v>
      </c>
      <c r="E135" t="str">
        <f>IF('[1]Processer - data'!E135&lt;&gt;"",'[1]Processer - data'!E135,"")</f>
        <v>Hektar</v>
      </c>
      <c r="F135" t="str">
        <f>IF('[1]Processer - data'!F135&lt;&gt;"",'[1]Processer - data'!F135,"")</f>
        <v>CO2 - atmosfære</v>
      </c>
      <c r="G135" t="str">
        <f>IF('[1]Processer - data'!G135&lt;&gt;"",'[1]Processer - data'!G135,"")</f>
        <v>t CO2-ækvivalenter</v>
      </c>
      <c r="H135" s="302" t="e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input'!$A$3:$A$230,$A$1)),IF(VLOOKUP($A135,[1]!Table1[#All],2,FALSE)="Resultat",SUMIF($F$1:$F134,$D135,H$1:H134)+SUMIF($F136:$F$490,$D135,H136:H$490),0))*'[1]Processer - data'!H135,"")*IF($C135&lt;&gt;"",IF($F135="Halm",Landbrug!C$16*Landbrug!C$17,IF(LEFT($D135,5)="Areal", IF($G135="Ton",Landbrug!C$18,1),1)),1)*IF($F135="Grøntsager",IF($A135="Grøntsager i drivhus",Landbrug!C$51,1-Landbrug!C$51),1)</f>
        <v>#REF!</v>
      </c>
      <c r="I135" s="303" t="e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input'!$A$3:$A$230,$A$1)),IF(VLOOKUP($A135,[1]!Table1[#All],2,FALSE)="Resultat",SUMIF($F$1:$F134,$D135,I$1:I134)+SUMIF($F136:$F$490,$D135,I136:I$490),0))*'[1]Processer - data'!I135,"")*IF($C135&lt;&gt;"",IF($F135="Halm",Landbrug!D$16*Landbrug!D$17,IF(LEFT($D135,5)="Areal", IF($G135="Ton",Landbrug!D$18,1),1)),1)*IF($F135="Grøntsager",IF($A135="Grøntsager i drivhus",Landbrug!D$51,1-Landbrug!D$51),1)</f>
        <v>#REF!</v>
      </c>
      <c r="J135" s="304" t="e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input'!$A$3:$A$230,$A$1)),IF(VLOOKUP($A135,[1]!Table1[#All],2,FALSE)="Resultat",SUMIF($F$1:$F134,$D135,J$1:J134)+SUMIF($F136:$F$490,$D135,J136:J$490),0))*'[1]Processer - data'!J135,"")*IF($C135&lt;&gt;"",IF($F135="Halm",Landbrug!E$16*Landbrug!E$17,IF(LEFT($D135,5)="Areal", IF($G135="Ton",Landbrug!E$18,1),1)),1)*IF($F135="Grøntsager",IF($A135="Grøntsager i drivhus",Landbrug!E$51,1-Landbrug!E$51),1)</f>
        <v>#REF!</v>
      </c>
    </row>
    <row r="136" spans="1:10" x14ac:dyDescent="0.25">
      <c r="A136" t="str">
        <f>IF('[1]Processer - data'!A136&lt;&gt;"",'[1]Processer - data'!A136,"")</f>
        <v>Kornmark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>OC6</v>
      </c>
      <c r="D136" t="str">
        <f>IF('[1]Processer - data'!D136&lt;&gt;"",'[1]Processer - data'!D136,"")</f>
        <v>Areal-korn</v>
      </c>
      <c r="E136" t="str">
        <f>IF('[1]Processer - data'!E136&lt;&gt;"",'[1]Processer - data'!E136,"")</f>
        <v>Hektar</v>
      </c>
      <c r="F136" t="str">
        <f>IF('[1]Processer - data'!F136&lt;&gt;"",'[1]Processer - data'!F136,"")</f>
        <v>Korn</v>
      </c>
      <c r="G136" t="str">
        <f>IF('[1]Processer - data'!G136&lt;&gt;"",'[1]Processer - data'!G136,"")</f>
        <v>Ton</v>
      </c>
      <c r="H136" s="302" t="e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input'!$A$3:$A$230,$A$1)),IF(VLOOKUP($A136,[1]!Table1[#All],2,FALSE)="Resultat",SUMIF($F$1:$F135,$D136,H$1:H135)+SUMIF($F137:$F$490,$D136,H137:H$490),0))*'[1]Processer - data'!H136,"")*IF($C136&lt;&gt;"",IF($F136="Halm",Landbrug!C$16*Landbrug!C$17,IF(LEFT($D136,5)="Areal", IF($G136="Ton",Landbrug!C$18,1),1)),1)*IF($F136="Grøntsager",IF($A136="Grøntsager i drivhus",Landbrug!C$51,1-Landbrug!C$51),1)</f>
        <v>#REF!</v>
      </c>
      <c r="I136" s="303" t="e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input'!$A$3:$A$230,$A$1)),IF(VLOOKUP($A136,[1]!Table1[#All],2,FALSE)="Resultat",SUMIF($F$1:$F135,$D136,I$1:I135)+SUMIF($F137:$F$490,$D136,I137:I$490),0))*'[1]Processer - data'!I136,"")*IF($C136&lt;&gt;"",IF($F136="Halm",Landbrug!D$16*Landbrug!D$17,IF(LEFT($D136,5)="Areal", IF($G136="Ton",Landbrug!D$18,1),1)),1)*IF($F136="Grøntsager",IF($A136="Grøntsager i drivhus",Landbrug!D$51,1-Landbrug!D$51),1)</f>
        <v>#REF!</v>
      </c>
      <c r="J136" s="304" t="e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input'!$A$3:$A$230,$A$1)),IF(VLOOKUP($A136,[1]!Table1[#All],2,FALSE)="Resultat",SUMIF($F$1:$F135,$D136,J$1:J135)+SUMIF($F137:$F$490,$D136,J137:J$490),0))*'[1]Processer - data'!J136,"")*IF($C136&lt;&gt;"",IF($F136="Halm",Landbrug!E$16*Landbrug!E$17,IF(LEFT($D136,5)="Areal", IF($G136="Ton",Landbrug!E$18,1),1)),1)*IF($F136="Grøntsager",IF($A136="Grøntsager i drivhus",Landbrug!E$51,1-Landbrug!E$51),1)</f>
        <v>#REF!</v>
      </c>
    </row>
    <row r="137" spans="1:10" x14ac:dyDescent="0.25">
      <c r="A137" t="str">
        <f>IF('[1]Processer - data'!A137&lt;&gt;"",'[1]Processer - data'!A137,"")</f>
        <v>Kornmark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>OC6</v>
      </c>
      <c r="D137" t="str">
        <f>IF('[1]Processer - data'!D137&lt;&gt;"",'[1]Processer - data'!D137,"")</f>
        <v>Areal-korn</v>
      </c>
      <c r="E137" t="str">
        <f>IF('[1]Processer - data'!E137&lt;&gt;"",'[1]Processer - data'!E137,"")</f>
        <v>Hektar</v>
      </c>
      <c r="F137" t="str">
        <f>IF('[1]Processer - data'!F137&lt;&gt;"",'[1]Processer - data'!F137,"")</f>
        <v>Halm</v>
      </c>
      <c r="G137" t="str">
        <f>IF('[1]Processer - data'!G137&lt;&gt;"",'[1]Processer - data'!G137,"")</f>
        <v>Ton</v>
      </c>
      <c r="H137" s="302" t="e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input'!$A$3:$A$230,$A$1)),IF(VLOOKUP($A137,[1]!Table1[#All],2,FALSE)="Resultat",SUMIF($F$1:$F136,$D137,H$1:H136)+SUMIF($F138:$F$490,$D137,H138:H$490),0))*'[1]Processer - data'!H137,"")*IF($C137&lt;&gt;"",IF($F137="Halm",Landbrug!C$16*Landbrug!C$17,IF(LEFT($D137,5)="Areal", IF($G137="Ton",Landbrug!C$18,1),1)),1)*IF($F137="Grøntsager",IF($A137="Grøntsager i drivhus",Landbrug!C$51,1-Landbrug!C$51),1)</f>
        <v>#REF!</v>
      </c>
      <c r="I137" s="303" t="e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input'!$A$3:$A$230,$A$1)),IF(VLOOKUP($A137,[1]!Table1[#All],2,FALSE)="Resultat",SUMIF($F$1:$F136,$D137,I$1:I136)+SUMIF($F138:$F$490,$D137,I138:I$490),0))*'[1]Processer - data'!I137,"")*IF($C137&lt;&gt;"",IF($F137="Halm",Landbrug!D$16*Landbrug!D$17,IF(LEFT($D137,5)="Areal", IF($G137="Ton",Landbrug!D$18,1),1)),1)*IF($F137="Grøntsager",IF($A137="Grøntsager i drivhus",Landbrug!D$51,1-Landbrug!D$51),1)</f>
        <v>#REF!</v>
      </c>
      <c r="J137" s="304" t="e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input'!$A$3:$A$230,$A$1)),IF(VLOOKUP($A137,[1]!Table1[#All],2,FALSE)="Resultat",SUMIF($F$1:$F136,$D137,J$1:J136)+SUMIF($F138:$F$490,$D137,J138:J$490),0))*'[1]Processer - data'!J137,"")*IF($C137&lt;&gt;"",IF($F137="Halm",Landbrug!E$16*Landbrug!E$17,IF(LEFT($D137,5)="Areal", IF($G137="Ton",Landbrug!E$18,1),1)),1)*IF($F137="Grøntsager",IF($A137="Grøntsager i drivhus",Landbrug!E$51,1-Landbrug!E$51),1)</f>
        <v>#REF!</v>
      </c>
    </row>
    <row r="138" spans="1:10" x14ac:dyDescent="0.25">
      <c r="A138" t="str">
        <f>IF('[1]Processer - data'!A138&lt;&gt;"",'[1]Processer - data'!A138,"")</f>
        <v>Kornmark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>OC6</v>
      </c>
      <c r="D138" t="str">
        <f>IF('[1]Processer - data'!D138&lt;&gt;"",'[1]Processer - data'!D138,"")</f>
        <v>Areal-korn</v>
      </c>
      <c r="E138" t="str">
        <f>IF('[1]Processer - data'!E138&lt;&gt;"",'[1]Processer - data'!E138,"")</f>
        <v>Hektar</v>
      </c>
      <c r="F138" t="str">
        <f>IF('[1]Processer - data'!F138&lt;&gt;"",'[1]Processer - data'!F138,"")</f>
        <v>Gødning</v>
      </c>
      <c r="G138" t="str">
        <f>IF('[1]Processer - data'!G138&lt;&gt;"",'[1]Processer - data'!G138,"")</f>
        <v>kg N</v>
      </c>
      <c r="H138" s="302" t="e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input'!$A$3:$A$230,$A$1)),IF(VLOOKUP($A138,[1]!Table1[#All],2,FALSE)="Resultat",SUMIF($F$1:$F137,$D138,H$1:H137)+SUMIF($F139:$F$490,$D138,H139:H$490),0))*'[1]Processer - data'!H138,"")*IF($C138&lt;&gt;"",IF($F138="Halm",Landbrug!C$16*Landbrug!C$17,IF(LEFT($D138,5)="Areal", IF($G138="Ton",Landbrug!C$18,1),1)),1)*IF($F138="Grøntsager",IF($A138="Grøntsager i drivhus",Landbrug!C$51,1-Landbrug!C$51),1)</f>
        <v>#REF!</v>
      </c>
      <c r="I138" s="303" t="e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input'!$A$3:$A$230,$A$1)),IF(VLOOKUP($A138,[1]!Table1[#All],2,FALSE)="Resultat",SUMIF($F$1:$F137,$D138,I$1:I137)+SUMIF($F139:$F$490,$D138,I139:I$490),0))*'[1]Processer - data'!I138,"")*IF($C138&lt;&gt;"",IF($F138="Halm",Landbrug!D$16*Landbrug!D$17,IF(LEFT($D138,5)="Areal", IF($G138="Ton",Landbrug!D$18,1),1)),1)*IF($F138="Grøntsager",IF($A138="Grøntsager i drivhus",Landbrug!D$51,1-Landbrug!D$51),1)</f>
        <v>#REF!</v>
      </c>
      <c r="J138" s="304" t="e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input'!$A$3:$A$230,$A$1)),IF(VLOOKUP($A138,[1]!Table1[#All],2,FALSE)="Resultat",SUMIF($F$1:$F137,$D138,J$1:J137)+SUMIF($F139:$F$490,$D138,J139:J$490),0))*'[1]Processer - data'!J138,"")*IF($C138&lt;&gt;"",IF($F138="Halm",Landbrug!E$16*Landbrug!E$17,IF(LEFT($D138,5)="Areal", IF($G138="Ton",Landbrug!E$18,1),1)),1)*IF($F138="Grøntsager",IF($A138="Grøntsager i drivhus",Landbrug!E$51,1-Landbrug!E$51),1)</f>
        <v>#REF!</v>
      </c>
    </row>
    <row r="139" spans="1:10" x14ac:dyDescent="0.25">
      <c r="A139" t="str">
        <f>IF('[1]Processer - data'!A139&lt;&gt;"",'[1]Processer - data'!A139,"")</f>
        <v>Kornmark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>OC6</v>
      </c>
      <c r="D139" t="str">
        <f>IF('[1]Processer - data'!D139&lt;&gt;"",'[1]Processer - data'!D139,"")</f>
        <v>Areal-korn</v>
      </c>
      <c r="E139" t="str">
        <f>IF('[1]Processer - data'!E139&lt;&gt;"",'[1]Processer - data'!E139,"")</f>
        <v>Hektar</v>
      </c>
      <c r="F139" t="str">
        <f>IF('[1]Processer - data'!F139&lt;&gt;"",'[1]Processer - data'!F139,"")</f>
        <v>CO2 - atmosfære</v>
      </c>
      <c r="G139" t="str">
        <f>IF('[1]Processer - data'!G139&lt;&gt;"",'[1]Processer - data'!G139,"")</f>
        <v>t CO2-ækvivalenter</v>
      </c>
      <c r="H139" s="302" t="e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input'!$A$3:$A$230,$A$1)),IF(VLOOKUP($A139,[1]!Table1[#All],2,FALSE)="Resultat",SUMIF($F$1:$F138,$D139,H$1:H138)+SUMIF($F140:$F$490,$D139,H140:H$490),0))*'[1]Processer - data'!H139,"")*IF($C139&lt;&gt;"",IF($F139="Halm",Landbrug!C$16*Landbrug!C$17,IF(LEFT($D139,5)="Areal", IF($G139="Ton",Landbrug!C$18,1),1)),1)*IF($F139="Grøntsager",IF($A139="Grøntsager i drivhus",Landbrug!C$51,1-Landbrug!C$51),1)</f>
        <v>#REF!</v>
      </c>
      <c r="I139" s="303" t="e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input'!$A$3:$A$230,$A$1)),IF(VLOOKUP($A139,[1]!Table1[#All],2,FALSE)="Resultat",SUMIF($F$1:$F138,$D139,I$1:I138)+SUMIF($F140:$F$490,$D139,I140:I$490),0))*'[1]Processer - data'!I139,"")*IF($C139&lt;&gt;"",IF($F139="Halm",Landbrug!D$16*Landbrug!D$17,IF(LEFT($D139,5)="Areal", IF($G139="Ton",Landbrug!D$18,1),1)),1)*IF($F139="Grøntsager",IF($A139="Grøntsager i drivhus",Landbrug!D$51,1-Landbrug!D$51),1)</f>
        <v>#REF!</v>
      </c>
      <c r="J139" s="304" t="e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input'!$A$3:$A$230,$A$1)),IF(VLOOKUP($A139,[1]!Table1[#All],2,FALSE)="Resultat",SUMIF($F$1:$F138,$D139,J$1:J138)+SUMIF($F140:$F$490,$D139,J140:J$490),0))*'[1]Processer - data'!J139,"")*IF($C139&lt;&gt;"",IF($F139="Halm",Landbrug!E$16*Landbrug!E$17,IF(LEFT($D139,5)="Areal", IF($G139="Ton",Landbrug!E$18,1),1)),1)*IF($F139="Grøntsager",IF($A139="Grøntsager i drivhus",Landbrug!E$51,1-Landbrug!E$51),1)</f>
        <v>#REF!</v>
      </c>
    </row>
    <row r="140" spans="1:10" x14ac:dyDescent="0.25">
      <c r="A140" t="str">
        <f>IF('[1]Processer - data'!A140&lt;&gt;"",'[1]Processer - data'!A140,"")</f>
        <v>Kornmark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>OC12</v>
      </c>
      <c r="D140" t="str">
        <f>IF('[1]Processer - data'!D140&lt;&gt;"",'[1]Processer - data'!D140,"")</f>
        <v>Areal-korn</v>
      </c>
      <c r="E140" t="str">
        <f>IF('[1]Processer - data'!E140&lt;&gt;"",'[1]Processer - data'!E140,"")</f>
        <v>Hektar</v>
      </c>
      <c r="F140" t="str">
        <f>IF('[1]Processer - data'!F140&lt;&gt;"",'[1]Processer - data'!F140,"")</f>
        <v>Korn</v>
      </c>
      <c r="G140" t="str">
        <f>IF('[1]Processer - data'!G140&lt;&gt;"",'[1]Processer - data'!G140,"")</f>
        <v>Ton</v>
      </c>
      <c r="H140" s="302" t="e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input'!$A$3:$A$230,$A$1)),IF(VLOOKUP($A140,[1]!Table1[#All],2,FALSE)="Resultat",SUMIF($F$1:$F139,$D140,H$1:H139)+SUMIF($F141:$F$490,$D140,H141:H$490),0))*'[1]Processer - data'!H140,"")*IF($C140&lt;&gt;"",IF($F140="Halm",Landbrug!C$16*Landbrug!C$17,IF(LEFT($D140,5)="Areal", IF($G140="Ton",Landbrug!C$18,1),1)),1)*IF($F140="Grøntsager",IF($A140="Grøntsager i drivhus",Landbrug!C$51,1-Landbrug!C$51),1)</f>
        <v>#REF!</v>
      </c>
      <c r="I140" s="303" t="e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input'!$A$3:$A$230,$A$1)),IF(VLOOKUP($A140,[1]!Table1[#All],2,FALSE)="Resultat",SUMIF($F$1:$F139,$D140,I$1:I139)+SUMIF($F141:$F$490,$D140,I141:I$490),0))*'[1]Processer - data'!I140,"")*IF($C140&lt;&gt;"",IF($F140="Halm",Landbrug!D$16*Landbrug!D$17,IF(LEFT($D140,5)="Areal", IF($G140="Ton",Landbrug!D$18,1),1)),1)*IF($F140="Grøntsager",IF($A140="Grøntsager i drivhus",Landbrug!D$51,1-Landbrug!D$51),1)</f>
        <v>#REF!</v>
      </c>
      <c r="J140" s="304" t="e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input'!$A$3:$A$230,$A$1)),IF(VLOOKUP($A140,[1]!Table1[#All],2,FALSE)="Resultat",SUMIF($F$1:$F139,$D140,J$1:J139)+SUMIF($F141:$F$490,$D140,J141:J$490),0))*'[1]Processer - data'!J140,"")*IF($C140&lt;&gt;"",IF($F140="Halm",Landbrug!E$16*Landbrug!E$17,IF(LEFT($D140,5)="Areal", IF($G140="Ton",Landbrug!E$18,1),1)),1)*IF($F140="Grøntsager",IF($A140="Grøntsager i drivhus",Landbrug!E$51,1-Landbrug!E$51),1)</f>
        <v>#REF!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Økologisk</v>
      </c>
      <c r="C141" t="str">
        <f>IF('[1]Processer - data'!C141&lt;&gt;"",'[1]Processer - data'!C141,"")</f>
        <v>OC12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Halm</v>
      </c>
      <c r="G141" t="str">
        <f>IF('[1]Processer - data'!G141&lt;&gt;"",'[1]Processer - data'!G141,"")</f>
        <v>Ton</v>
      </c>
      <c r="H141" s="302" t="e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input'!$A$3:$A$230,$A$1)),IF(VLOOKUP($A141,[1]!Table1[#All],2,FALSE)="Resultat",SUMIF($F$1:$F140,$D141,H$1:H140)+SUMIF($F142:$F$490,$D141,H142:H$490),0))*'[1]Processer - data'!H141,"")*IF($C141&lt;&gt;"",IF($F141="Halm",Landbrug!C$16*Landbrug!C$17,IF(LEFT($D141,5)="Areal", IF($G141="Ton",Landbrug!C$18,1),1)),1)*IF($F141="Grøntsager",IF($A141="Grøntsager i drivhus",Landbrug!C$51,1-Landbrug!C$51),1)</f>
        <v>#REF!</v>
      </c>
      <c r="I141" s="303" t="e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input'!$A$3:$A$230,$A$1)),IF(VLOOKUP($A141,[1]!Table1[#All],2,FALSE)="Resultat",SUMIF($F$1:$F140,$D141,I$1:I140)+SUMIF($F142:$F$490,$D141,I142:I$490),0))*'[1]Processer - data'!I141,"")*IF($C141&lt;&gt;"",IF($F141="Halm",Landbrug!D$16*Landbrug!D$17,IF(LEFT($D141,5)="Areal", IF($G141="Ton",Landbrug!D$18,1),1)),1)*IF($F141="Grøntsager",IF($A141="Grøntsager i drivhus",Landbrug!D$51,1-Landbrug!D$51),1)</f>
        <v>#REF!</v>
      </c>
      <c r="J141" s="304" t="e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input'!$A$3:$A$230,$A$1)),IF(VLOOKUP($A141,[1]!Table1[#All],2,FALSE)="Resultat",SUMIF($F$1:$F140,$D141,J$1:J140)+SUMIF($F142:$F$490,$D141,J142:J$490),0))*'[1]Processer - data'!J141,"")*IF($C141&lt;&gt;"",IF($F141="Halm",Landbrug!E$16*Landbrug!E$17,IF(LEFT($D141,5)="Areal", IF($G141="Ton",Landbrug!E$18,1),1)),1)*IF($F141="Grøntsager",IF($A141="Grøntsager i drivhus",Landbrug!E$51,1-Landbrug!E$51),1)</f>
        <v>#REF!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Økologisk</v>
      </c>
      <c r="C142" t="str">
        <f>IF('[1]Processer - data'!C142&lt;&gt;"",'[1]Processer - data'!C142,"")</f>
        <v>OC12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Gødning</v>
      </c>
      <c r="G142" t="str">
        <f>IF('[1]Processer - data'!G142&lt;&gt;"",'[1]Processer - data'!G142,"")</f>
        <v>kg N</v>
      </c>
      <c r="H142" s="302" t="e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input'!$A$3:$A$230,$A$1)),IF(VLOOKUP($A142,[1]!Table1[#All],2,FALSE)="Resultat",SUMIF($F$1:$F141,$D142,H$1:H141)+SUMIF($F143:$F$490,$D142,H143:H$490),0))*'[1]Processer - data'!H142,"")*IF($C142&lt;&gt;"",IF($F142="Halm",Landbrug!C$16*Landbrug!C$17,IF(LEFT($D142,5)="Areal", IF($G142="Ton",Landbrug!C$18,1),1)),1)*IF($F142="Grøntsager",IF($A142="Grøntsager i drivhus",Landbrug!C$51,1-Landbrug!C$51),1)</f>
        <v>#REF!</v>
      </c>
      <c r="I142" s="303" t="e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input'!$A$3:$A$230,$A$1)),IF(VLOOKUP($A142,[1]!Table1[#All],2,FALSE)="Resultat",SUMIF($F$1:$F141,$D142,I$1:I141)+SUMIF($F143:$F$490,$D142,I143:I$490),0))*'[1]Processer - data'!I142,"")*IF($C142&lt;&gt;"",IF($F142="Halm",Landbrug!D$16*Landbrug!D$17,IF(LEFT($D142,5)="Areal", IF($G142="Ton",Landbrug!D$18,1),1)),1)*IF($F142="Grøntsager",IF($A142="Grøntsager i drivhus",Landbrug!D$51,1-Landbrug!D$51),1)</f>
        <v>#REF!</v>
      </c>
      <c r="J142" s="304" t="e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input'!$A$3:$A$230,$A$1)),IF(VLOOKUP($A142,[1]!Table1[#All],2,FALSE)="Resultat",SUMIF($F$1:$F141,$D142,J$1:J141)+SUMIF($F143:$F$490,$D142,J143:J$490),0))*'[1]Processer - data'!J142,"")*IF($C142&lt;&gt;"",IF($F142="Halm",Landbrug!E$16*Landbrug!E$17,IF(LEFT($D142,5)="Areal", IF($G142="Ton",Landbrug!E$18,1),1)),1)*IF($F142="Grøntsager",IF($A142="Grøntsager i drivhus",Landbrug!E$51,1-Landbrug!E$51),1)</f>
        <v>#REF!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Økologisk</v>
      </c>
      <c r="C143" t="str">
        <f>IF('[1]Processer - data'!C143&lt;&gt;"",'[1]Processer - data'!C143,"")</f>
        <v>OC12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CO2 - atmosfære</v>
      </c>
      <c r="G143" t="str">
        <f>IF('[1]Processer - data'!G143&lt;&gt;"",'[1]Processer - data'!G143,"")</f>
        <v>t CO2-ækvivalenter</v>
      </c>
      <c r="H143" s="302" t="e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input'!$A$3:$A$230,$A$1)),IF(VLOOKUP($A143,[1]!Table1[#All],2,FALSE)="Resultat",SUMIF($F$1:$F142,$D143,H$1:H142)+SUMIF($F144:$F$490,$D143,H144:H$490),0))*'[1]Processer - data'!H143,"")*IF($C143&lt;&gt;"",IF($F143="Halm",Landbrug!C$16*Landbrug!C$17,IF(LEFT($D143,5)="Areal", IF($G143="Ton",Landbrug!C$18,1),1)),1)*IF($F143="Grøntsager",IF($A143="Grøntsager i drivhus",Landbrug!C$51,1-Landbrug!C$51),1)</f>
        <v>#REF!</v>
      </c>
      <c r="I143" s="303" t="e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input'!$A$3:$A$230,$A$1)),IF(VLOOKUP($A143,[1]!Table1[#All],2,FALSE)="Resultat",SUMIF($F$1:$F142,$D143,I$1:I142)+SUMIF($F144:$F$490,$D143,I144:I$490),0))*'[1]Processer - data'!I143,"")*IF($C143&lt;&gt;"",IF($F143="Halm",Landbrug!D$16*Landbrug!D$17,IF(LEFT($D143,5)="Areal", IF($G143="Ton",Landbrug!D$18,1),1)),1)*IF($F143="Grøntsager",IF($A143="Grøntsager i drivhus",Landbrug!D$51,1-Landbrug!D$51),1)</f>
        <v>#REF!</v>
      </c>
      <c r="J143" s="304" t="e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input'!$A$3:$A$230,$A$1)),IF(VLOOKUP($A143,[1]!Table1[#All],2,FALSE)="Resultat",SUMIF($F$1:$F142,$D143,J$1:J142)+SUMIF($F144:$F$490,$D143,J144:J$490),0))*'[1]Processer - data'!J143,"")*IF($C143&lt;&gt;"",IF($F143="Halm",Landbrug!E$16*Landbrug!E$17,IF(LEFT($D143,5)="Areal", IF($G143="Ton",Landbrug!E$18,1),1)),1)*IF($F143="Grøntsager",IF($A143="Grøntsager i drivhus",Landbrug!E$51,1-Landbrug!E$51),1)</f>
        <v>#REF!</v>
      </c>
    </row>
    <row r="144" spans="1:10" x14ac:dyDescent="0.25">
      <c r="A144" t="str">
        <f>IF('[1]Processer - data'!A144&lt;&gt;"",'[1]Processer - data'!A144,"")</f>
        <v>Grøntsager på land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Areal-grøntsager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Grøntsager</v>
      </c>
      <c r="G144" t="str">
        <f>IF('[1]Processer - data'!G144&lt;&gt;"",'[1]Processer - data'!G144,"")</f>
        <v>Ton</v>
      </c>
      <c r="H144" s="302" t="e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input'!$A$3:$A$230,$A$1)),IF(VLOOKUP($A144,[1]!Table1[#All],2,FALSE)="Resultat",SUMIF($F$1:$F143,$D144,H$1:H143)+SUMIF($F145:$F$490,$D144,H145:H$490),0))*'[1]Processer - data'!H144,"")*IF($C144&lt;&gt;"",IF($F144="Halm",Landbrug!C$16*Landbrug!C$17,IF(LEFT($D144,5)="Areal", IF($G144="Ton",Landbrug!C$18,1),1)),1)*IF($F144="Grøntsager",IF($A144="Grøntsager i drivhus",Landbrug!C$51,1-Landbrug!C$51),1)</f>
        <v>#REF!</v>
      </c>
      <c r="I144" s="303" t="e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input'!$A$3:$A$230,$A$1)),IF(VLOOKUP($A144,[1]!Table1[#All],2,FALSE)="Resultat",SUMIF($F$1:$F143,$D144,I$1:I143)+SUMIF($F145:$F$490,$D144,I145:I$490),0))*'[1]Processer - data'!I144,"")*IF($C144&lt;&gt;"",IF($F144="Halm",Landbrug!D$16*Landbrug!D$17,IF(LEFT($D144,5)="Areal", IF($G144="Ton",Landbrug!D$18,1),1)),1)*IF($F144="Grøntsager",IF($A144="Grøntsager i drivhus",Landbrug!D$51,1-Landbrug!D$51),1)</f>
        <v>#REF!</v>
      </c>
      <c r="J144" s="304" t="e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input'!$A$3:$A$230,$A$1)),IF(VLOOKUP($A144,[1]!Table1[#All],2,FALSE)="Resultat",SUMIF($F$1:$F143,$D144,J$1:J143)+SUMIF($F145:$F$490,$D144,J145:J$490),0))*'[1]Processer - data'!J144,"")*IF($C144&lt;&gt;"",IF($F144="Halm",Landbrug!E$16*Landbrug!E$17,IF(LEFT($D144,5)="Areal", IF($G144="Ton",Landbrug!E$18,1),1)),1)*IF($F144="Grøntsager",IF($A144="Grøntsager i drivhus",Landbrug!E$51,1-Landbrug!E$51),1)</f>
        <v>#REF!</v>
      </c>
    </row>
    <row r="145" spans="1:10" x14ac:dyDescent="0.25">
      <c r="A145" t="str">
        <f>IF('[1]Processer - data'!A145&lt;&gt;"",'[1]Processer - data'!A145,"")</f>
        <v>Grøntsager på land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JB1-10</v>
      </c>
      <c r="D145" t="str">
        <f>IF('[1]Processer - data'!D145&lt;&gt;"",'[1]Processer - data'!D145,"")</f>
        <v>Areal-grøntsager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Gødning</v>
      </c>
      <c r="G145" t="str">
        <f>IF('[1]Processer - data'!G145&lt;&gt;"",'[1]Processer - data'!G145,"")</f>
        <v>kg N</v>
      </c>
      <c r="H145" s="302" t="e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input'!$A$3:$A$230,$A$1)),IF(VLOOKUP($A145,[1]!Table1[#All],2,FALSE)="Resultat",SUMIF($F$1:$F144,$D145,H$1:H144)+SUMIF($F146:$F$490,$D145,H146:H$490),0))*'[1]Processer - data'!H145,"")*IF($C145&lt;&gt;"",IF($F145="Halm",Landbrug!C$16*Landbrug!C$17,IF(LEFT($D145,5)="Areal", IF($G145="Ton",Landbrug!C$18,1),1)),1)*IF($F145="Grøntsager",IF($A145="Grøntsager i drivhus",Landbrug!C$51,1-Landbrug!C$51),1)</f>
        <v>#REF!</v>
      </c>
      <c r="I145" s="303" t="e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input'!$A$3:$A$230,$A$1)),IF(VLOOKUP($A145,[1]!Table1[#All],2,FALSE)="Resultat",SUMIF($F$1:$F144,$D145,I$1:I144)+SUMIF($F146:$F$490,$D145,I146:I$490),0))*'[1]Processer - data'!I145,"")*IF($C145&lt;&gt;"",IF($F145="Halm",Landbrug!D$16*Landbrug!D$17,IF(LEFT($D145,5)="Areal", IF($G145="Ton",Landbrug!D$18,1),1)),1)*IF($F145="Grøntsager",IF($A145="Grøntsager i drivhus",Landbrug!D$51,1-Landbrug!D$51),1)</f>
        <v>#REF!</v>
      </c>
      <c r="J145" s="304" t="e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input'!$A$3:$A$230,$A$1)),IF(VLOOKUP($A145,[1]!Table1[#All],2,FALSE)="Resultat",SUMIF($F$1:$F144,$D145,J$1:J144)+SUMIF($F146:$F$490,$D145,J146:J$490),0))*'[1]Processer - data'!J145,"")*IF($C145&lt;&gt;"",IF($F145="Halm",Landbrug!E$16*Landbrug!E$17,IF(LEFT($D145,5)="Areal", IF($G145="Ton",Landbrug!E$18,1),1)),1)*IF($F145="Grøntsager",IF($A145="Grøntsager i drivhus",Landbrug!E$51,1-Landbrug!E$51),1)</f>
        <v>#REF!</v>
      </c>
    </row>
    <row r="146" spans="1:10" x14ac:dyDescent="0.25">
      <c r="A146" t="str">
        <f>IF('[1]Processer - data'!A146&lt;&gt;"",'[1]Processer - data'!A146,"")</f>
        <v>Grøntsager på land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JB1-10</v>
      </c>
      <c r="D146" t="str">
        <f>IF('[1]Processer - data'!D146&lt;&gt;"",'[1]Processer - data'!D146,"")</f>
        <v>Areal-grøntsager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CO2 - atmosfære</v>
      </c>
      <c r="G146" t="str">
        <f>IF('[1]Processer - data'!G146&lt;&gt;"",'[1]Processer - data'!G146,"")</f>
        <v>t CO2-ækvivalenter</v>
      </c>
      <c r="H146" s="302" t="e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input'!$A$3:$A$230,$A$1)),IF(VLOOKUP($A146,[1]!Table1[#All],2,FALSE)="Resultat",SUMIF($F$1:$F145,$D146,H$1:H145)+SUMIF($F147:$F$490,$D146,H147:H$490),0))*'[1]Processer - data'!H146,"")*IF($C146&lt;&gt;"",IF($F146="Halm",Landbrug!C$16*Landbrug!C$17,IF(LEFT($D146,5)="Areal", IF($G146="Ton",Landbrug!C$18,1),1)),1)*IF($F146="Grøntsager",IF($A146="Grøntsager i drivhus",Landbrug!C$51,1-Landbrug!C$51),1)</f>
        <v>#REF!</v>
      </c>
      <c r="I146" s="303" t="e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input'!$A$3:$A$230,$A$1)),IF(VLOOKUP($A146,[1]!Table1[#All],2,FALSE)="Resultat",SUMIF($F$1:$F145,$D146,I$1:I145)+SUMIF($F147:$F$490,$D146,I147:I$490),0))*'[1]Processer - data'!I146,"")*IF($C146&lt;&gt;"",IF($F146="Halm",Landbrug!D$16*Landbrug!D$17,IF(LEFT($D146,5)="Areal", IF($G146="Ton",Landbrug!D$18,1),1)),1)*IF($F146="Grøntsager",IF($A146="Grøntsager i drivhus",Landbrug!D$51,1-Landbrug!D$51),1)</f>
        <v>#REF!</v>
      </c>
      <c r="J146" s="304" t="e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input'!$A$3:$A$230,$A$1)),IF(VLOOKUP($A146,[1]!Table1[#All],2,FALSE)="Resultat",SUMIF($F$1:$F145,$D146,J$1:J145)+SUMIF($F147:$F$490,$D146,J147:J$490),0))*'[1]Processer - data'!J146,"")*IF($C146&lt;&gt;"",IF($F146="Halm",Landbrug!E$16*Landbrug!E$17,IF(LEFT($D146,5)="Areal", IF($G146="Ton",Landbrug!E$18,1),1)),1)*IF($F146="Grøntsager",IF($A146="Grøntsager i drivhus",Landbrug!E$51,1-Landbrug!E$51),1)</f>
        <v>#REF!</v>
      </c>
    </row>
    <row r="147" spans="1:10" x14ac:dyDescent="0.25">
      <c r="A147" t="str">
        <f>IF('[1]Processer - data'!A147&lt;&gt;"",'[1]Processer - data'!A147,"")</f>
        <v>Grøntsager på land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Areal-grøntsager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Grøntsager</v>
      </c>
      <c r="G147" t="str">
        <f>IF('[1]Processer - data'!G147&lt;&gt;"",'[1]Processer - data'!G147,"")</f>
        <v>Ton</v>
      </c>
      <c r="H147" s="302" t="e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input'!$A$3:$A$230,$A$1)),IF(VLOOKUP($A147,[1]!Table1[#All],2,FALSE)="Resultat",SUMIF($F$1:$F146,$D147,H$1:H146)+SUMIF($F148:$F$490,$D147,H148:H$490),0))*'[1]Processer - data'!H147,"")*IF($C147&lt;&gt;"",IF($F147="Halm",Landbrug!C$16*Landbrug!C$17,IF(LEFT($D147,5)="Areal", IF($G147="Ton",Landbrug!C$18,1),1)),1)*IF($F147="Grøntsager",IF($A147="Grøntsager i drivhus",Landbrug!C$51,1-Landbrug!C$51),1)</f>
        <v>#REF!</v>
      </c>
      <c r="I147" s="303" t="e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input'!$A$3:$A$230,$A$1)),IF(VLOOKUP($A147,[1]!Table1[#All],2,FALSE)="Resultat",SUMIF($F$1:$F146,$D147,I$1:I146)+SUMIF($F148:$F$490,$D147,I148:I$490),0))*'[1]Processer - data'!I147,"")*IF($C147&lt;&gt;"",IF($F147="Halm",Landbrug!D$16*Landbrug!D$17,IF(LEFT($D147,5)="Areal", IF($G147="Ton",Landbrug!D$18,1),1)),1)*IF($F147="Grøntsager",IF($A147="Grøntsager i drivhus",Landbrug!D$51,1-Landbrug!D$51),1)</f>
        <v>#REF!</v>
      </c>
      <c r="J147" s="304" t="e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input'!$A$3:$A$230,$A$1)),IF(VLOOKUP($A147,[1]!Table1[#All],2,FALSE)="Resultat",SUMIF($F$1:$F146,$D147,J$1:J146)+SUMIF($F148:$F$490,$D147,J148:J$490),0))*'[1]Processer - data'!J147,"")*IF($C147&lt;&gt;"",IF($F147="Halm",Landbrug!E$16*Landbrug!E$17,IF(LEFT($D147,5)="Areal", IF($G147="Ton",Landbrug!E$18,1),1)),1)*IF($F147="Grøntsager",IF($A147="Grøntsager i drivhus",Landbrug!E$51,1-Landbrug!E$51),1)</f>
        <v>#REF!</v>
      </c>
    </row>
    <row r="148" spans="1:10" x14ac:dyDescent="0.25">
      <c r="A148" t="str">
        <f>IF('[1]Processer - data'!A148&lt;&gt;"",'[1]Processer - data'!A148,"")</f>
        <v>Grøntsager på land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Areal-grøntsager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Gødning</v>
      </c>
      <c r="G148" t="str">
        <f>IF('[1]Processer - data'!G148&lt;&gt;"",'[1]Processer - data'!G148,"")</f>
        <v>kg N</v>
      </c>
      <c r="H148" s="302" t="e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input'!$A$3:$A$230,$A$1)),IF(VLOOKUP($A148,[1]!Table1[#All],2,FALSE)="Resultat",SUMIF($F$1:$F147,$D148,H$1:H147)+SUMIF($F149:$F$490,$D148,H149:H$490),0))*'[1]Processer - data'!H148,"")*IF($C148&lt;&gt;"",IF($F148="Halm",Landbrug!C$16*Landbrug!C$17,IF(LEFT($D148,5)="Areal", IF($G148="Ton",Landbrug!C$18,1),1)),1)*IF($F148="Grøntsager",IF($A148="Grøntsager i drivhus",Landbrug!C$51,1-Landbrug!C$51),1)</f>
        <v>#REF!</v>
      </c>
      <c r="I148" s="303" t="e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input'!$A$3:$A$230,$A$1)),IF(VLOOKUP($A148,[1]!Table1[#All],2,FALSE)="Resultat",SUMIF($F$1:$F147,$D148,I$1:I147)+SUMIF($F149:$F$490,$D148,I149:I$490),0))*'[1]Processer - data'!I148,"")*IF($C148&lt;&gt;"",IF($F148="Halm",Landbrug!D$16*Landbrug!D$17,IF(LEFT($D148,5)="Areal", IF($G148="Ton",Landbrug!D$18,1),1)),1)*IF($F148="Grøntsager",IF($A148="Grøntsager i drivhus",Landbrug!D$51,1-Landbrug!D$51),1)</f>
        <v>#REF!</v>
      </c>
      <c r="J148" s="304" t="e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input'!$A$3:$A$230,$A$1)),IF(VLOOKUP($A148,[1]!Table1[#All],2,FALSE)="Resultat",SUMIF($F$1:$F147,$D148,J$1:J147)+SUMIF($F149:$F$490,$D148,J149:J$490),0))*'[1]Processer - data'!J148,"")*IF($C148&lt;&gt;"",IF($F148="Halm",Landbrug!E$16*Landbrug!E$17,IF(LEFT($D148,5)="Areal", IF($G148="Ton",Landbrug!E$18,1),1)),1)*IF($F148="Grøntsager",IF($A148="Grøntsager i drivhus",Landbrug!E$51,1-Landbrug!E$51),1)</f>
        <v>#REF!</v>
      </c>
    </row>
    <row r="149" spans="1:10" x14ac:dyDescent="0.25">
      <c r="A149" t="str">
        <f>IF('[1]Processer - data'!A149&lt;&gt;"",'[1]Processer - data'!A149,"")</f>
        <v>Grøntsager på land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OC6</v>
      </c>
      <c r="D149" t="str">
        <f>IF('[1]Processer - data'!D149&lt;&gt;"",'[1]Processer - data'!D149,"")</f>
        <v>Areal-grøntsager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CO2 - atmosfære</v>
      </c>
      <c r="G149" t="str">
        <f>IF('[1]Processer - data'!G149&lt;&gt;"",'[1]Processer - data'!G149,"")</f>
        <v>t CO2-ækvivalenter</v>
      </c>
      <c r="H149" s="302" t="e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input'!$A$3:$A$230,$A$1)),IF(VLOOKUP($A149,[1]!Table1[#All],2,FALSE)="Resultat",SUMIF($F$1:$F148,$D149,H$1:H148)+SUMIF($F150:$F$490,$D149,H150:H$490),0))*'[1]Processer - data'!H149,"")*IF($C149&lt;&gt;"",IF($F149="Halm",Landbrug!C$16*Landbrug!C$17,IF(LEFT($D149,5)="Areal", IF($G149="Ton",Landbrug!C$18,1),1)),1)*IF($F149="Grøntsager",IF($A149="Grøntsager i drivhus",Landbrug!C$51,1-Landbrug!C$51),1)</f>
        <v>#REF!</v>
      </c>
      <c r="I149" s="303" t="e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input'!$A$3:$A$230,$A$1)),IF(VLOOKUP($A149,[1]!Table1[#All],2,FALSE)="Resultat",SUMIF($F$1:$F148,$D149,I$1:I148)+SUMIF($F150:$F$490,$D149,I150:I$490),0))*'[1]Processer - data'!I149,"")*IF($C149&lt;&gt;"",IF($F149="Halm",Landbrug!D$16*Landbrug!D$17,IF(LEFT($D149,5)="Areal", IF($G149="Ton",Landbrug!D$18,1),1)),1)*IF($F149="Grøntsager",IF($A149="Grøntsager i drivhus",Landbrug!D$51,1-Landbrug!D$51),1)</f>
        <v>#REF!</v>
      </c>
      <c r="J149" s="304" t="e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input'!$A$3:$A$230,$A$1)),IF(VLOOKUP($A149,[1]!Table1[#All],2,FALSE)="Resultat",SUMIF($F$1:$F148,$D149,J$1:J148)+SUMIF($F150:$F$490,$D149,J150:J$490),0))*'[1]Processer - data'!J149,"")*IF($C149&lt;&gt;"",IF($F149="Halm",Landbrug!E$16*Landbrug!E$17,IF(LEFT($D149,5)="Areal", IF($G149="Ton",Landbrug!E$18,1),1)),1)*IF($F149="Grøntsager",IF($A149="Grøntsager i drivhus",Landbrug!E$51,1-Landbrug!E$51),1)</f>
        <v>#REF!</v>
      </c>
    </row>
    <row r="150" spans="1:10" x14ac:dyDescent="0.25">
      <c r="A150" t="str">
        <f>IF('[1]Processer - data'!A150&lt;&gt;"",'[1]Processer - data'!A150,"")</f>
        <v>Grøntsager på land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Areal-grøntsager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Grøntsager</v>
      </c>
      <c r="G150" t="str">
        <f>IF('[1]Processer - data'!G150&lt;&gt;"",'[1]Processer - data'!G150,"")</f>
        <v>Ton</v>
      </c>
      <c r="H150" s="302" t="e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input'!$A$3:$A$230,$A$1)),IF(VLOOKUP($A150,[1]!Table1[#All],2,FALSE)="Resultat",SUMIF($F$1:$F149,$D150,H$1:H149)+SUMIF($F151:$F$490,$D150,H151:H$490),0))*'[1]Processer - data'!H150,"")*IF($C150&lt;&gt;"",IF($F150="Halm",Landbrug!C$16*Landbrug!C$17,IF(LEFT($D150,5)="Areal", IF($G150="Ton",Landbrug!C$18,1),1)),1)*IF($F150="Grøntsager",IF($A150="Grøntsager i drivhus",Landbrug!C$51,1-Landbrug!C$51),1)</f>
        <v>#REF!</v>
      </c>
      <c r="I150" s="303" t="e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input'!$A$3:$A$230,$A$1)),IF(VLOOKUP($A150,[1]!Table1[#All],2,FALSE)="Resultat",SUMIF($F$1:$F149,$D150,I$1:I149)+SUMIF($F151:$F$490,$D150,I151:I$490),0))*'[1]Processer - data'!I150,"")*IF($C150&lt;&gt;"",IF($F150="Halm",Landbrug!D$16*Landbrug!D$17,IF(LEFT($D150,5)="Areal", IF($G150="Ton",Landbrug!D$18,1),1)),1)*IF($F150="Grøntsager",IF($A150="Grøntsager i drivhus",Landbrug!D$51,1-Landbrug!D$51),1)</f>
        <v>#REF!</v>
      </c>
      <c r="J150" s="304" t="e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input'!$A$3:$A$230,$A$1)),IF(VLOOKUP($A150,[1]!Table1[#All],2,FALSE)="Resultat",SUMIF($F$1:$F149,$D150,J$1:J149)+SUMIF($F151:$F$490,$D150,J151:J$490),0))*'[1]Processer - data'!J150,"")*IF($C150&lt;&gt;"",IF($F150="Halm",Landbrug!E$16*Landbrug!E$17,IF(LEFT($D150,5)="Areal", IF($G150="Ton",Landbrug!E$18,1),1)),1)*IF($F150="Grøntsager",IF($A150="Grøntsager i drivhus",Landbrug!E$51,1-Landbrug!E$51),1)</f>
        <v>#REF!</v>
      </c>
    </row>
    <row r="151" spans="1:10" x14ac:dyDescent="0.25">
      <c r="A151" t="str">
        <f>IF('[1]Processer - data'!A151&lt;&gt;"",'[1]Processer - data'!A151,"")</f>
        <v>Grøntsager på land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Areal-grøntsager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2" t="e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input'!$A$3:$A$230,$A$1)),IF(VLOOKUP($A151,[1]!Table1[#All],2,FALSE)="Resultat",SUMIF($F$1:$F150,$D151,H$1:H150)+SUMIF($F152:$F$490,$D151,H152:H$490),0))*'[1]Processer - data'!H151,"")*IF($C151&lt;&gt;"",IF($F151="Halm",Landbrug!C$16*Landbrug!C$17,IF(LEFT($D151,5)="Areal", IF($G151="Ton",Landbrug!C$18,1),1)),1)*IF($F151="Grøntsager",IF($A151="Grøntsager i drivhus",Landbrug!C$51,1-Landbrug!C$51),1)</f>
        <v>#REF!</v>
      </c>
      <c r="I151" s="303" t="e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input'!$A$3:$A$230,$A$1)),IF(VLOOKUP($A151,[1]!Table1[#All],2,FALSE)="Resultat",SUMIF($F$1:$F150,$D151,I$1:I150)+SUMIF($F152:$F$490,$D151,I152:I$490),0))*'[1]Processer - data'!I151,"")*IF($C151&lt;&gt;"",IF($F151="Halm",Landbrug!D$16*Landbrug!D$17,IF(LEFT($D151,5)="Areal", IF($G151="Ton",Landbrug!D$18,1),1)),1)*IF($F151="Grøntsager",IF($A151="Grøntsager i drivhus",Landbrug!D$51,1-Landbrug!D$51),1)</f>
        <v>#REF!</v>
      </c>
      <c r="J151" s="304" t="e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input'!$A$3:$A$230,$A$1)),IF(VLOOKUP($A151,[1]!Table1[#All],2,FALSE)="Resultat",SUMIF($F$1:$F150,$D151,J$1:J150)+SUMIF($F152:$F$490,$D151,J152:J$490),0))*'[1]Processer - data'!J151,"")*IF($C151&lt;&gt;"",IF($F151="Halm",Landbrug!E$16*Landbrug!E$17,IF(LEFT($D151,5)="Areal", IF($G151="Ton",Landbrug!E$18,1),1)),1)*IF($F151="Grøntsager",IF($A151="Grøntsager i drivhus",Landbrug!E$51,1-Landbrug!E$51),1)</f>
        <v>#REF!</v>
      </c>
    </row>
    <row r="152" spans="1:10" x14ac:dyDescent="0.25">
      <c r="A152" t="str">
        <f>IF('[1]Processer - data'!A152&lt;&gt;"",'[1]Processer - data'!A152,"")</f>
        <v>Grøntsager på land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Areal-grøntsager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2" t="e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input'!$A$3:$A$230,$A$1)),IF(VLOOKUP($A152,[1]!Table1[#All],2,FALSE)="Resultat",SUMIF($F$1:$F151,$D152,H$1:H151)+SUMIF($F153:$F$490,$D152,H153:H$490),0))*'[1]Processer - data'!H152,"")*IF($C152&lt;&gt;"",IF($F152="Halm",Landbrug!C$16*Landbrug!C$17,IF(LEFT($D152,5)="Areal", IF($G152="Ton",Landbrug!C$18,1),1)),1)*IF($F152="Grøntsager",IF($A152="Grøntsager i drivhus",Landbrug!C$51,1-Landbrug!C$51),1)</f>
        <v>#REF!</v>
      </c>
      <c r="I152" s="303" t="e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input'!$A$3:$A$230,$A$1)),IF(VLOOKUP($A152,[1]!Table1[#All],2,FALSE)="Resultat",SUMIF($F$1:$F151,$D152,I$1:I151)+SUMIF($F153:$F$490,$D152,I153:I$490),0))*'[1]Processer - data'!I152,"")*IF($C152&lt;&gt;"",IF($F152="Halm",Landbrug!D$16*Landbrug!D$17,IF(LEFT($D152,5)="Areal", IF($G152="Ton",Landbrug!D$18,1),1)),1)*IF($F152="Grøntsager",IF($A152="Grøntsager i drivhus",Landbrug!D$51,1-Landbrug!D$51),1)</f>
        <v>#REF!</v>
      </c>
      <c r="J152" s="304" t="e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input'!$A$3:$A$230,$A$1)),IF(VLOOKUP($A152,[1]!Table1[#All],2,FALSE)="Resultat",SUMIF($F$1:$F151,$D152,J$1:J151)+SUMIF($F153:$F$490,$D152,J153:J$490),0))*'[1]Processer - data'!J152,"")*IF($C152&lt;&gt;"",IF($F152="Halm",Landbrug!E$16*Landbrug!E$17,IF(LEFT($D152,5)="Areal", IF($G152="Ton",Landbrug!E$18,1),1)),1)*IF($F152="Grøntsager",IF($A152="Grøntsager i drivhus",Landbrug!E$51,1-Landbrug!E$51),1)</f>
        <v>#REF!</v>
      </c>
    </row>
    <row r="153" spans="1:10" x14ac:dyDescent="0.25">
      <c r="A153" t="str">
        <f>IF('[1]Processer - data'!A153&lt;&gt;"",'[1]Processer - data'!A153,"")</f>
        <v>Grøntsager på land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Areal-grøntsager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Grøntsager</v>
      </c>
      <c r="G153" t="str">
        <f>IF('[1]Processer - data'!G153&lt;&gt;"",'[1]Processer - data'!G153,"")</f>
        <v>Ton</v>
      </c>
      <c r="H153" s="302" t="e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input'!$A$3:$A$230,$A$1)),IF(VLOOKUP($A153,[1]!Table1[#All],2,FALSE)="Resultat",SUMIF($F$1:$F152,$D153,H$1:H152)+SUMIF($F154:$F$490,$D153,H154:H$490),0))*'[1]Processer - data'!H153,"")*IF($C153&lt;&gt;"",IF($F153="Halm",Landbrug!C$16*Landbrug!C$17,IF(LEFT($D153,5)="Areal", IF($G153="Ton",Landbrug!C$18,1),1)),1)*IF($F153="Grøntsager",IF($A153="Grøntsager i drivhus",Landbrug!C$51,1-Landbrug!C$51),1)</f>
        <v>#REF!</v>
      </c>
      <c r="I153" s="303" t="e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input'!$A$3:$A$230,$A$1)),IF(VLOOKUP($A153,[1]!Table1[#All],2,FALSE)="Resultat",SUMIF($F$1:$F152,$D153,I$1:I152)+SUMIF($F154:$F$490,$D153,I154:I$490),0))*'[1]Processer - data'!I153,"")*IF($C153&lt;&gt;"",IF($F153="Halm",Landbrug!D$16*Landbrug!D$17,IF(LEFT($D153,5)="Areal", IF($G153="Ton",Landbrug!D$18,1),1)),1)*IF($F153="Grøntsager",IF($A153="Grøntsager i drivhus",Landbrug!D$51,1-Landbrug!D$51),1)</f>
        <v>#REF!</v>
      </c>
      <c r="J153" s="304" t="e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input'!$A$3:$A$230,$A$1)),IF(VLOOKUP($A153,[1]!Table1[#All],2,FALSE)="Resultat",SUMIF($F$1:$F152,$D153,J$1:J152)+SUMIF($F154:$F$490,$D153,J154:J$490),0))*'[1]Processer - data'!J153,"")*IF($C153&lt;&gt;"",IF($F153="Halm",Landbrug!E$16*Landbrug!E$17,IF(LEFT($D153,5)="Areal", IF($G153="Ton",Landbrug!E$18,1),1)),1)*IF($F153="Grøntsager",IF($A153="Grøntsager i drivhus",Landbrug!E$51,1-Landbrug!E$51),1)</f>
        <v>#REF!</v>
      </c>
    </row>
    <row r="154" spans="1:10" x14ac:dyDescent="0.25">
      <c r="A154" t="str">
        <f>IF('[1]Processer - data'!A154&lt;&gt;"",'[1]Processer - data'!A154,"")</f>
        <v>Grøntsager på land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Areal-grøntsager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Gødning</v>
      </c>
      <c r="G154" t="str">
        <f>IF('[1]Processer - data'!G154&lt;&gt;"",'[1]Processer - data'!G154,"")</f>
        <v>kg N</v>
      </c>
      <c r="H154" s="302" t="e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input'!$A$3:$A$230,$A$1)),IF(VLOOKUP($A154,[1]!Table1[#All],2,FALSE)="Resultat",SUMIF($F$1:$F153,$D154,H$1:H153)+SUMIF($F155:$F$490,$D154,H155:H$490),0))*'[1]Processer - data'!H154,"")*IF($C154&lt;&gt;"",IF($F154="Halm",Landbrug!C$16*Landbrug!C$17,IF(LEFT($D154,5)="Areal", IF($G154="Ton",Landbrug!C$18,1),1)),1)*IF($F154="Grøntsager",IF($A154="Grøntsager i drivhus",Landbrug!C$51,1-Landbrug!C$51),1)</f>
        <v>#REF!</v>
      </c>
      <c r="I154" s="303" t="e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input'!$A$3:$A$230,$A$1)),IF(VLOOKUP($A154,[1]!Table1[#All],2,FALSE)="Resultat",SUMIF($F$1:$F153,$D154,I$1:I153)+SUMIF($F155:$F$490,$D154,I155:I$490),0))*'[1]Processer - data'!I154,"")*IF($C154&lt;&gt;"",IF($F154="Halm",Landbrug!D$16*Landbrug!D$17,IF(LEFT($D154,5)="Areal", IF($G154="Ton",Landbrug!D$18,1),1)),1)*IF($F154="Grøntsager",IF($A154="Grøntsager i drivhus",Landbrug!D$51,1-Landbrug!D$51),1)</f>
        <v>#REF!</v>
      </c>
      <c r="J154" s="304" t="e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input'!$A$3:$A$230,$A$1)),IF(VLOOKUP($A154,[1]!Table1[#All],2,FALSE)="Resultat",SUMIF($F$1:$F153,$D154,J$1:J153)+SUMIF($F155:$F$490,$D154,J155:J$490),0))*'[1]Processer - data'!J154,"")*IF($C154&lt;&gt;"",IF($F154="Halm",Landbrug!E$16*Landbrug!E$17,IF(LEFT($D154,5)="Areal", IF($G154="Ton",Landbrug!E$18,1),1)),1)*IF($F154="Grøntsager",IF($A154="Grøntsager i drivhus",Landbrug!E$51,1-Landbrug!E$51),1)</f>
        <v>#REF!</v>
      </c>
    </row>
    <row r="155" spans="1:10" x14ac:dyDescent="0.25">
      <c r="A155" t="str">
        <f>IF('[1]Processer - data'!A155&lt;&gt;"",'[1]Processer - data'!A155,"")</f>
        <v>Grøntsager på land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Areal-grøntsager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CO2 - atmosfære</v>
      </c>
      <c r="G155" t="str">
        <f>IF('[1]Processer - data'!G155&lt;&gt;"",'[1]Processer - data'!G155,"")</f>
        <v>t CO2-ækvivalenter</v>
      </c>
      <c r="H155" s="302" t="e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input'!$A$3:$A$230,$A$1)),IF(VLOOKUP($A155,[1]!Table1[#All],2,FALSE)="Resultat",SUMIF($F$1:$F154,$D155,H$1:H154)+SUMIF($F156:$F$490,$D155,H156:H$490),0))*'[1]Processer - data'!H155,"")*IF($C155&lt;&gt;"",IF($F155="Halm",Landbrug!C$16*Landbrug!C$17,IF(LEFT($D155,5)="Areal", IF($G155="Ton",Landbrug!C$18,1),1)),1)*IF($F155="Grøntsager",IF($A155="Grøntsager i drivhus",Landbrug!C$51,1-Landbrug!C$51),1)</f>
        <v>#REF!</v>
      </c>
      <c r="I155" s="303" t="e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input'!$A$3:$A$230,$A$1)),IF(VLOOKUP($A155,[1]!Table1[#All],2,FALSE)="Resultat",SUMIF($F$1:$F154,$D155,I$1:I154)+SUMIF($F156:$F$490,$D155,I156:I$490),0))*'[1]Processer - data'!I155,"")*IF($C155&lt;&gt;"",IF($F155="Halm",Landbrug!D$16*Landbrug!D$17,IF(LEFT($D155,5)="Areal", IF($G155="Ton",Landbrug!D$18,1),1)),1)*IF($F155="Grøntsager",IF($A155="Grøntsager i drivhus",Landbrug!D$51,1-Landbrug!D$51),1)</f>
        <v>#REF!</v>
      </c>
      <c r="J155" s="304" t="e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input'!$A$3:$A$230,$A$1)),IF(VLOOKUP($A155,[1]!Table1[#All],2,FALSE)="Resultat",SUMIF($F$1:$F154,$D155,J$1:J154)+SUMIF($F156:$F$490,$D155,J156:J$490),0))*'[1]Processer - data'!J155,"")*IF($C155&lt;&gt;"",IF($F155="Halm",Landbrug!E$16*Landbrug!E$17,IF(LEFT($D155,5)="Areal", IF($G155="Ton",Landbrug!E$18,1),1)),1)*IF($F155="Grøntsager",IF($A155="Grøntsager i drivhus",Landbrug!E$51,1-Landbrug!E$51),1)</f>
        <v>#REF!</v>
      </c>
    </row>
    <row r="156" spans="1:10" x14ac:dyDescent="0.25">
      <c r="A156" t="str">
        <f>IF('[1]Processer - data'!A156&lt;&gt;"",'[1]Processer - data'!A156,"")</f>
        <v>Grøntsager på land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OC6</v>
      </c>
      <c r="D156" t="str">
        <f>IF('[1]Processer - data'!D156&lt;&gt;"",'[1]Processer - data'!D156,"")</f>
        <v>Areal-grøntsager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Grøntsager</v>
      </c>
      <c r="G156" t="str">
        <f>IF('[1]Processer - data'!G156&lt;&gt;"",'[1]Processer - data'!G156,"")</f>
        <v>Ton</v>
      </c>
      <c r="H156" s="302" t="e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input'!$A$3:$A$230,$A$1)),IF(VLOOKUP($A156,[1]!Table1[#All],2,FALSE)="Resultat",SUMIF($F$1:$F155,$D156,H$1:H155)+SUMIF($F157:$F$490,$D156,H157:H$490),0))*'[1]Processer - data'!H156,"")*IF($C156&lt;&gt;"",IF($F156="Halm",Landbrug!C$16*Landbrug!C$17,IF(LEFT($D156,5)="Areal", IF($G156="Ton",Landbrug!C$18,1),1)),1)*IF($F156="Grøntsager",IF($A156="Grøntsager i drivhus",Landbrug!C$51,1-Landbrug!C$51),1)</f>
        <v>#REF!</v>
      </c>
      <c r="I156" s="303" t="e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input'!$A$3:$A$230,$A$1)),IF(VLOOKUP($A156,[1]!Table1[#All],2,FALSE)="Resultat",SUMIF($F$1:$F155,$D156,I$1:I155)+SUMIF($F157:$F$490,$D156,I157:I$490),0))*'[1]Processer - data'!I156,"")*IF($C156&lt;&gt;"",IF($F156="Halm",Landbrug!D$16*Landbrug!D$17,IF(LEFT($D156,5)="Areal", IF($G156="Ton",Landbrug!D$18,1),1)),1)*IF($F156="Grøntsager",IF($A156="Grøntsager i drivhus",Landbrug!D$51,1-Landbrug!D$51),1)</f>
        <v>#REF!</v>
      </c>
      <c r="J156" s="304" t="e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input'!$A$3:$A$230,$A$1)),IF(VLOOKUP($A156,[1]!Table1[#All],2,FALSE)="Resultat",SUMIF($F$1:$F155,$D156,J$1:J155)+SUMIF($F157:$F$490,$D156,J157:J$490),0))*'[1]Processer - data'!J156,"")*IF($C156&lt;&gt;"",IF($F156="Halm",Landbrug!E$16*Landbrug!E$17,IF(LEFT($D156,5)="Areal", IF($G156="Ton",Landbrug!E$18,1),1)),1)*IF($F156="Grøntsager",IF($A156="Grøntsager i drivhus",Landbrug!E$51,1-Landbrug!E$51),1)</f>
        <v>#REF!</v>
      </c>
    </row>
    <row r="157" spans="1:10" x14ac:dyDescent="0.25">
      <c r="A157" t="str">
        <f>IF('[1]Processer - data'!A157&lt;&gt;"",'[1]Processer - data'!A157,"")</f>
        <v>Grøntsager på land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Areal-grøntsager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Gødning</v>
      </c>
      <c r="G157" t="str">
        <f>IF('[1]Processer - data'!G157&lt;&gt;"",'[1]Processer - data'!G157,"")</f>
        <v>kg N</v>
      </c>
      <c r="H157" s="302" t="e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input'!$A$3:$A$230,$A$1)),IF(VLOOKUP($A157,[1]!Table1[#All],2,FALSE)="Resultat",SUMIF($F$1:$F156,$D157,H$1:H156)+SUMIF($F158:$F$490,$D157,H158:H$490),0))*'[1]Processer - data'!H157,"")*IF($C157&lt;&gt;"",IF($F157="Halm",Landbrug!C$16*Landbrug!C$17,IF(LEFT($D157,5)="Areal", IF($G157="Ton",Landbrug!C$18,1),1)),1)*IF($F157="Grøntsager",IF($A157="Grøntsager i drivhus",Landbrug!C$51,1-Landbrug!C$51),1)</f>
        <v>#REF!</v>
      </c>
      <c r="I157" s="303" t="e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input'!$A$3:$A$230,$A$1)),IF(VLOOKUP($A157,[1]!Table1[#All],2,FALSE)="Resultat",SUMIF($F$1:$F156,$D157,I$1:I156)+SUMIF($F158:$F$490,$D157,I158:I$490),0))*'[1]Processer - data'!I157,"")*IF($C157&lt;&gt;"",IF($F157="Halm",Landbrug!D$16*Landbrug!D$17,IF(LEFT($D157,5)="Areal", IF($G157="Ton",Landbrug!D$18,1),1)),1)*IF($F157="Grøntsager",IF($A157="Grøntsager i drivhus",Landbrug!D$51,1-Landbrug!D$51),1)</f>
        <v>#REF!</v>
      </c>
      <c r="J157" s="304" t="e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input'!$A$3:$A$230,$A$1)),IF(VLOOKUP($A157,[1]!Table1[#All],2,FALSE)="Resultat",SUMIF($F$1:$F156,$D157,J$1:J156)+SUMIF($F158:$F$490,$D157,J158:J$490),0))*'[1]Processer - data'!J157,"")*IF($C157&lt;&gt;"",IF($F157="Halm",Landbrug!E$16*Landbrug!E$17,IF(LEFT($D157,5)="Areal", IF($G157="Ton",Landbrug!E$18,1),1)),1)*IF($F157="Grøntsager",IF($A157="Grøntsager i drivhus",Landbrug!E$51,1-Landbrug!E$51),1)</f>
        <v>#REF!</v>
      </c>
    </row>
    <row r="158" spans="1:10" x14ac:dyDescent="0.25">
      <c r="A158" t="str">
        <f>IF('[1]Processer - data'!A158&lt;&gt;"",'[1]Processer - data'!A158,"")</f>
        <v>Grøntsager på land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Areal-grøntsager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CO2 - atmosfære</v>
      </c>
      <c r="G158" t="str">
        <f>IF('[1]Processer - data'!G158&lt;&gt;"",'[1]Processer - data'!G158,"")</f>
        <v>t CO2-ækvivalenter</v>
      </c>
      <c r="H158" s="302" t="e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input'!$A$3:$A$230,$A$1)),IF(VLOOKUP($A158,[1]!Table1[#All],2,FALSE)="Resultat",SUMIF($F$1:$F157,$D158,H$1:H157)+SUMIF($F159:$F$490,$D158,H159:H$490),0))*'[1]Processer - data'!H158,"")*IF($C158&lt;&gt;"",IF($F158="Halm",Landbrug!C$16*Landbrug!C$17,IF(LEFT($D158,5)="Areal", IF($G158="Ton",Landbrug!C$18,1),1)),1)*IF($F158="Grøntsager",IF($A158="Grøntsager i drivhus",Landbrug!C$51,1-Landbrug!C$51),1)</f>
        <v>#REF!</v>
      </c>
      <c r="I158" s="303" t="e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input'!$A$3:$A$230,$A$1)),IF(VLOOKUP($A158,[1]!Table1[#All],2,FALSE)="Resultat",SUMIF($F$1:$F157,$D158,I$1:I157)+SUMIF($F159:$F$490,$D158,I159:I$490),0))*'[1]Processer - data'!I158,"")*IF($C158&lt;&gt;"",IF($F158="Halm",Landbrug!D$16*Landbrug!D$17,IF(LEFT($D158,5)="Areal", IF($G158="Ton",Landbrug!D$18,1),1)),1)*IF($F158="Grøntsager",IF($A158="Grøntsager i drivhus",Landbrug!D$51,1-Landbrug!D$51),1)</f>
        <v>#REF!</v>
      </c>
      <c r="J158" s="304" t="e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input'!$A$3:$A$230,$A$1)),IF(VLOOKUP($A158,[1]!Table1[#All],2,FALSE)="Resultat",SUMIF($F$1:$F157,$D158,J$1:J157)+SUMIF($F159:$F$490,$D158,J159:J$490),0))*'[1]Processer - data'!J158,"")*IF($C158&lt;&gt;"",IF($F158="Halm",Landbrug!E$16*Landbrug!E$17,IF(LEFT($D158,5)="Areal", IF($G158="Ton",Landbrug!E$18,1),1)),1)*IF($F158="Grøntsager",IF($A158="Grøntsager i drivhus",Landbrug!E$51,1-Landbrug!E$51),1)</f>
        <v>#REF!</v>
      </c>
    </row>
    <row r="159" spans="1:10" x14ac:dyDescent="0.25">
      <c r="A159" t="str">
        <f>IF('[1]Processer - data'!A159&lt;&gt;"",'[1]Processer - data'!A159,"")</f>
        <v>Grøntsager på land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OC12</v>
      </c>
      <c r="D159" t="str">
        <f>IF('[1]Processer - data'!D159&lt;&gt;"",'[1]Processer - data'!D159,"")</f>
        <v>Areal-grøntsager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Grøntsager</v>
      </c>
      <c r="G159" t="str">
        <f>IF('[1]Processer - data'!G159&lt;&gt;"",'[1]Processer - data'!G159,"")</f>
        <v>Ton</v>
      </c>
      <c r="H159" s="302" t="e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input'!$A$3:$A$230,$A$1)),IF(VLOOKUP($A159,[1]!Table1[#All],2,FALSE)="Resultat",SUMIF($F$1:$F158,$D159,H$1:H158)+SUMIF($F160:$F$490,$D159,H160:H$490),0))*'[1]Processer - data'!H159,"")*IF($C159&lt;&gt;"",IF($F159="Halm",Landbrug!C$16*Landbrug!C$17,IF(LEFT($D159,5)="Areal", IF($G159="Ton",Landbrug!C$18,1),1)),1)*IF($F159="Grøntsager",IF($A159="Grøntsager i drivhus",Landbrug!C$51,1-Landbrug!C$51),1)</f>
        <v>#REF!</v>
      </c>
      <c r="I159" s="303" t="e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input'!$A$3:$A$230,$A$1)),IF(VLOOKUP($A159,[1]!Table1[#All],2,FALSE)="Resultat",SUMIF($F$1:$F158,$D159,I$1:I158)+SUMIF($F160:$F$490,$D159,I160:I$490),0))*'[1]Processer - data'!I159,"")*IF($C159&lt;&gt;"",IF($F159="Halm",Landbrug!D$16*Landbrug!D$17,IF(LEFT($D159,5)="Areal", IF($G159="Ton",Landbrug!D$18,1),1)),1)*IF($F159="Grøntsager",IF($A159="Grøntsager i drivhus",Landbrug!D$51,1-Landbrug!D$51),1)</f>
        <v>#REF!</v>
      </c>
      <c r="J159" s="304" t="e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input'!$A$3:$A$230,$A$1)),IF(VLOOKUP($A159,[1]!Table1[#All],2,FALSE)="Resultat",SUMIF($F$1:$F158,$D159,J$1:J158)+SUMIF($F160:$F$490,$D159,J160:J$490),0))*'[1]Processer - data'!J159,"")*IF($C159&lt;&gt;"",IF($F159="Halm",Landbrug!E$16*Landbrug!E$17,IF(LEFT($D159,5)="Areal", IF($G159="Ton",Landbrug!E$18,1),1)),1)*IF($F159="Grøntsager",IF($A159="Grøntsager i drivhus",Landbrug!E$51,1-Landbrug!E$51),1)</f>
        <v>#REF!</v>
      </c>
    </row>
    <row r="160" spans="1:10" x14ac:dyDescent="0.25">
      <c r="A160" t="str">
        <f>IF('[1]Processer - data'!A160&lt;&gt;"",'[1]Processer - data'!A160,"")</f>
        <v>Grøntsager på land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OC12</v>
      </c>
      <c r="D160" t="str">
        <f>IF('[1]Processer - data'!D160&lt;&gt;"",'[1]Processer - data'!D160,"")</f>
        <v>Areal-grøntsager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Gødning</v>
      </c>
      <c r="G160" t="str">
        <f>IF('[1]Processer - data'!G160&lt;&gt;"",'[1]Processer - data'!G160,"")</f>
        <v>kg N</v>
      </c>
      <c r="H160" s="302" t="e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input'!$A$3:$A$230,$A$1)),IF(VLOOKUP($A160,[1]!Table1[#All],2,FALSE)="Resultat",SUMIF($F$1:$F159,$D160,H$1:H159)+SUMIF($F161:$F$490,$D160,H161:H$490),0))*'[1]Processer - data'!H160,"")*IF($C160&lt;&gt;"",IF($F160="Halm",Landbrug!C$16*Landbrug!C$17,IF(LEFT($D160,5)="Areal", IF($G160="Ton",Landbrug!C$18,1),1)),1)*IF($F160="Grøntsager",IF($A160="Grøntsager i drivhus",Landbrug!C$51,1-Landbrug!C$51),1)</f>
        <v>#REF!</v>
      </c>
      <c r="I160" s="303" t="e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input'!$A$3:$A$230,$A$1)),IF(VLOOKUP($A160,[1]!Table1[#All],2,FALSE)="Resultat",SUMIF($F$1:$F159,$D160,I$1:I159)+SUMIF($F161:$F$490,$D160,I161:I$490),0))*'[1]Processer - data'!I160,"")*IF($C160&lt;&gt;"",IF($F160="Halm",Landbrug!D$16*Landbrug!D$17,IF(LEFT($D160,5)="Areal", IF($G160="Ton",Landbrug!D$18,1),1)),1)*IF($F160="Grøntsager",IF($A160="Grøntsager i drivhus",Landbrug!D$51,1-Landbrug!D$51),1)</f>
        <v>#REF!</v>
      </c>
      <c r="J160" s="304" t="e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input'!$A$3:$A$230,$A$1)),IF(VLOOKUP($A160,[1]!Table1[#All],2,FALSE)="Resultat",SUMIF($F$1:$F159,$D160,J$1:J159)+SUMIF($F161:$F$490,$D160,J161:J$490),0))*'[1]Processer - data'!J160,"")*IF($C160&lt;&gt;"",IF($F160="Halm",Landbrug!E$16*Landbrug!E$17,IF(LEFT($D160,5)="Areal", IF($G160="Ton",Landbrug!E$18,1),1)),1)*IF($F160="Grøntsager",IF($A160="Grøntsager i drivhus",Landbrug!E$51,1-Landbrug!E$51),1)</f>
        <v>#REF!</v>
      </c>
    </row>
    <row r="161" spans="1:10" x14ac:dyDescent="0.25">
      <c r="A161" t="str">
        <f>IF('[1]Processer - data'!A161&lt;&gt;"",'[1]Processer - data'!A161,"")</f>
        <v>Grøntsager på land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Areal-grøntsager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CO2 - atmosfære</v>
      </c>
      <c r="G161" t="str">
        <f>IF('[1]Processer - data'!G161&lt;&gt;"",'[1]Processer - data'!G161,"")</f>
        <v>t CO2-ækvivalenter</v>
      </c>
      <c r="H161" s="302" t="e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input'!$A$3:$A$230,$A$1)),IF(VLOOKUP($A161,[1]!Table1[#All],2,FALSE)="Resultat",SUMIF($F$1:$F160,$D161,H$1:H160)+SUMIF($F162:$F$490,$D161,H162:H$490),0))*'[1]Processer - data'!H161,"")*IF($C161&lt;&gt;"",IF($F161="Halm",Landbrug!C$16*Landbrug!C$17,IF(LEFT($D161,5)="Areal", IF($G161="Ton",Landbrug!C$18,1),1)),1)*IF($F161="Grøntsager",IF($A161="Grøntsager i drivhus",Landbrug!C$51,1-Landbrug!C$51),1)</f>
        <v>#REF!</v>
      </c>
      <c r="I161" s="303" t="e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input'!$A$3:$A$230,$A$1)),IF(VLOOKUP($A161,[1]!Table1[#All],2,FALSE)="Resultat",SUMIF($F$1:$F160,$D161,I$1:I160)+SUMIF($F162:$F$490,$D161,I162:I$490),0))*'[1]Processer - data'!I161,"")*IF($C161&lt;&gt;"",IF($F161="Halm",Landbrug!D$16*Landbrug!D$17,IF(LEFT($D161,5)="Areal", IF($G161="Ton",Landbrug!D$18,1),1)),1)*IF($F161="Grøntsager",IF($A161="Grøntsager i drivhus",Landbrug!D$51,1-Landbrug!D$51),1)</f>
        <v>#REF!</v>
      </c>
      <c r="J161" s="304" t="e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input'!$A$3:$A$230,$A$1)),IF(VLOOKUP($A161,[1]!Table1[#All],2,FALSE)="Resultat",SUMIF($F$1:$F160,$D161,J$1:J160)+SUMIF($F162:$F$490,$D161,J162:J$490),0))*'[1]Processer - data'!J161,"")*IF($C161&lt;&gt;"",IF($F161="Halm",Landbrug!E$16*Landbrug!E$17,IF(LEFT($D161,5)="Areal", IF($G161="Ton",Landbrug!E$18,1),1)),1)*IF($F161="Grøntsager",IF($A161="Grøntsager i drivhus",Landbrug!E$51,1-Landbrug!E$51),1)</f>
        <v>#REF!</v>
      </c>
    </row>
    <row r="162" spans="1:10" x14ac:dyDescent="0.25">
      <c r="A162" t="str">
        <f>IF('[1]Processer - data'!A162&lt;&gt;"",'[1]Processer - data'!A162,"")</f>
        <v>Grøntsager i drivhus</v>
      </c>
      <c r="B162" t="str">
        <f>IF('[1]Processer - data'!B162&lt;&gt;"",'[1]Processer - data'!B162,"")</f>
        <v>Konventionel</v>
      </c>
      <c r="C162" t="str">
        <f>IF('[1]Processer - data'!C162&lt;&gt;"",'[1]Processer - data'!C162,"")</f>
        <v/>
      </c>
      <c r="D162" t="str">
        <f>IF('[1]Processer - data'!D162&lt;&gt;"",'[1]Processer - data'!D162,"")</f>
        <v>Areal-grøntsager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Grøntsager</v>
      </c>
      <c r="G162" t="str">
        <f>IF('[1]Processer - data'!G162&lt;&gt;"",'[1]Processer - data'!G162,"")</f>
        <v>Ton</v>
      </c>
      <c r="H162" s="302" t="e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input'!$A$3:$A$230,$A$1)),IF(VLOOKUP($A162,[1]!Table1[#All],2,FALSE)="Resultat",SUMIF($F$1:$F161,$D162,H$1:H161)+SUMIF($F163:$F$490,$D162,H163:H$490),0))*'[1]Processer - data'!H162,"")*IF($C162&lt;&gt;"",IF($F162="Halm",Landbrug!C$16*Landbrug!C$17,IF(LEFT($D162,5)="Areal", IF($G162="Ton",Landbrug!C$18,1),1)),1)*IF($F162="Grøntsager",IF($A162="Grøntsager i drivhus",Landbrug!C$51,1-Landbrug!C$51),1)</f>
        <v>#REF!</v>
      </c>
      <c r="I162" s="303" t="e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input'!$A$3:$A$230,$A$1)),IF(VLOOKUP($A162,[1]!Table1[#All],2,FALSE)="Resultat",SUMIF($F$1:$F161,$D162,I$1:I161)+SUMIF($F163:$F$490,$D162,I163:I$490),0))*'[1]Processer - data'!I162,"")*IF($C162&lt;&gt;"",IF($F162="Halm",Landbrug!D$16*Landbrug!D$17,IF(LEFT($D162,5)="Areal", IF($G162="Ton",Landbrug!D$18,1),1)),1)*IF($F162="Grøntsager",IF($A162="Grøntsager i drivhus",Landbrug!D$51,1-Landbrug!D$51),1)</f>
        <v>#REF!</v>
      </c>
      <c r="J162" s="304" t="e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input'!$A$3:$A$230,$A$1)),IF(VLOOKUP($A162,[1]!Table1[#All],2,FALSE)="Resultat",SUMIF($F$1:$F161,$D162,J$1:J161)+SUMIF($F163:$F$490,$D162,J163:J$490),0))*'[1]Processer - data'!J162,"")*IF($C162&lt;&gt;"",IF($F162="Halm",Landbrug!E$16*Landbrug!E$17,IF(LEFT($D162,5)="Areal", IF($G162="Ton",Landbrug!E$18,1),1)),1)*IF($F162="Grøntsager",IF($A162="Grøntsager i drivhus",Landbrug!E$51,1-Landbrug!E$51),1)</f>
        <v>#REF!</v>
      </c>
    </row>
    <row r="163" spans="1:10" x14ac:dyDescent="0.25">
      <c r="A163" t="str">
        <f>IF('[1]Processer - data'!A163&lt;&gt;"",'[1]Processer - data'!A163,"")</f>
        <v>Grøntsager i drivhus</v>
      </c>
      <c r="B163" t="str">
        <f>IF('[1]Processer - data'!B163&lt;&gt;"",'[1]Processer - data'!B163,"")</f>
        <v>Konventionel</v>
      </c>
      <c r="C163" t="str">
        <f>IF('[1]Processer - data'!C163&lt;&gt;"",'[1]Processer - data'!C163,"")</f>
        <v/>
      </c>
      <c r="D163" t="str">
        <f>IF('[1]Processer - data'!D163&lt;&gt;"",'[1]Processer - data'!D163,"")</f>
        <v>Areal-grøntsager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2" t="e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input'!$A$3:$A$230,$A$1)),IF(VLOOKUP($A163,[1]!Table1[#All],2,FALSE)="Resultat",SUMIF($F$1:$F162,$D163,H$1:H162)+SUMIF($F164:$F$490,$D163,H164:H$490),0))*'[1]Processer - data'!H163,"")*IF($C163&lt;&gt;"",IF($F163="Halm",Landbrug!C$16*Landbrug!C$17,IF(LEFT($D163,5)="Areal", IF($G163="Ton",Landbrug!C$18,1),1)),1)*IF($F163="Grøntsager",IF($A163="Grøntsager i drivhus",Landbrug!C$51,1-Landbrug!C$51),1)</f>
        <v>#REF!</v>
      </c>
      <c r="I163" s="303" t="e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input'!$A$3:$A$230,$A$1)),IF(VLOOKUP($A163,[1]!Table1[#All],2,FALSE)="Resultat",SUMIF($F$1:$F162,$D163,I$1:I162)+SUMIF($F164:$F$490,$D163,I164:I$490),0))*'[1]Processer - data'!I163,"")*IF($C163&lt;&gt;"",IF($F163="Halm",Landbrug!D$16*Landbrug!D$17,IF(LEFT($D163,5)="Areal", IF($G163="Ton",Landbrug!D$18,1),1)),1)*IF($F163="Grøntsager",IF($A163="Grøntsager i drivhus",Landbrug!D$51,1-Landbrug!D$51),1)</f>
        <v>#REF!</v>
      </c>
      <c r="J163" s="304" t="e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input'!$A$3:$A$230,$A$1)),IF(VLOOKUP($A163,[1]!Table1[#All],2,FALSE)="Resultat",SUMIF($F$1:$F162,$D163,J$1:J162)+SUMIF($F164:$F$490,$D163,J164:J$490),0))*'[1]Processer - data'!J163,"")*IF($C163&lt;&gt;"",IF($F163="Halm",Landbrug!E$16*Landbrug!E$17,IF(LEFT($D163,5)="Areal", IF($G163="Ton",Landbrug!E$18,1),1)),1)*IF($F163="Grøntsager",IF($A163="Grøntsager i drivhus",Landbrug!E$51,1-Landbrug!E$51),1)</f>
        <v>#REF!</v>
      </c>
    </row>
    <row r="164" spans="1:10" x14ac:dyDescent="0.25">
      <c r="A164" t="str">
        <f>IF('[1]Processer - data'!A164&lt;&gt;"",'[1]Processer - data'!A164,"")</f>
        <v>Grøntsager i drivhus</v>
      </c>
      <c r="B164" t="str">
        <f>IF('[1]Processer - data'!B164&lt;&gt;"",'[1]Processer - data'!B164,"")</f>
        <v>Konventionel</v>
      </c>
      <c r="C164" t="str">
        <f>IF('[1]Processer - data'!C164&lt;&gt;"",'[1]Processer - data'!C164,"")</f>
        <v/>
      </c>
      <c r="D164" t="str">
        <f>IF('[1]Processer - data'!D164&lt;&gt;"",'[1]Processer - data'!D164,"")</f>
        <v>Areal-grøntsager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2" t="e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input'!$A$3:$A$230,$A$1)),IF(VLOOKUP($A164,[1]!Table1[#All],2,FALSE)="Resultat",SUMIF($F$1:$F163,$D164,H$1:H163)+SUMIF($F165:$F$490,$D164,H165:H$490),0))*'[1]Processer - data'!H164,"")*IF($C164&lt;&gt;"",IF($F164="Halm",Landbrug!C$16*Landbrug!C$17,IF(LEFT($D164,5)="Areal", IF($G164="Ton",Landbrug!C$18,1),1)),1)*IF($F164="Grøntsager",IF($A164="Grøntsager i drivhus",Landbrug!C$51,1-Landbrug!C$51),1)</f>
        <v>#REF!</v>
      </c>
      <c r="I164" s="303" t="e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input'!$A$3:$A$230,$A$1)),IF(VLOOKUP($A164,[1]!Table1[#All],2,FALSE)="Resultat",SUMIF($F$1:$F163,$D164,I$1:I163)+SUMIF($F165:$F$490,$D164,I165:I$490),0))*'[1]Processer - data'!I164,"")*IF($C164&lt;&gt;"",IF($F164="Halm",Landbrug!D$16*Landbrug!D$17,IF(LEFT($D164,5)="Areal", IF($G164="Ton",Landbrug!D$18,1),1)),1)*IF($F164="Grøntsager",IF($A164="Grøntsager i drivhus",Landbrug!D$51,1-Landbrug!D$51),1)</f>
        <v>#REF!</v>
      </c>
      <c r="J164" s="304" t="e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input'!$A$3:$A$230,$A$1)),IF(VLOOKUP($A164,[1]!Table1[#All],2,FALSE)="Resultat",SUMIF($F$1:$F163,$D164,J$1:J163)+SUMIF($F165:$F$490,$D164,J165:J$490),0))*'[1]Processer - data'!J164,"")*IF($C164&lt;&gt;"",IF($F164="Halm",Landbrug!E$16*Landbrug!E$17,IF(LEFT($D164,5)="Areal", IF($G164="Ton",Landbrug!E$18,1),1)),1)*IF($F164="Grøntsager",IF($A164="Grøntsager i drivhus",Landbrug!E$51,1-Landbrug!E$51),1)</f>
        <v>#REF!</v>
      </c>
    </row>
    <row r="165" spans="1:10" x14ac:dyDescent="0.25">
      <c r="A165" t="str">
        <f>IF('[1]Processer - data'!A165&lt;&gt;"",'[1]Processer - data'!A165,"")</f>
        <v>Grøntsager i drivhus</v>
      </c>
      <c r="B165" t="str">
        <f>IF('[1]Processer - data'!B165&lt;&gt;"",'[1]Processer - data'!B165,"")</f>
        <v>Økologisk</v>
      </c>
      <c r="C165" t="str">
        <f>IF('[1]Processer - data'!C165&lt;&gt;"",'[1]Processer - data'!C165,"")</f>
        <v/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2" t="e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input'!$A$3:$A$230,$A$1)),IF(VLOOKUP($A165,[1]!Table1[#All],2,FALSE)="Resultat",SUMIF($F$1:$F164,$D165,H$1:H164)+SUMIF($F166:$F$490,$D165,H166:H$490),0))*'[1]Processer - data'!H165,"")*IF($C165&lt;&gt;"",IF($F165="Halm",Landbrug!C$16*Landbrug!C$17,IF(LEFT($D165,5)="Areal", IF($G165="Ton",Landbrug!C$18,1),1)),1)*IF($F165="Grøntsager",IF($A165="Grøntsager i drivhus",Landbrug!C$51,1-Landbrug!C$51),1)</f>
        <v>#REF!</v>
      </c>
      <c r="I165" s="303" t="e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input'!$A$3:$A$230,$A$1)),IF(VLOOKUP($A165,[1]!Table1[#All],2,FALSE)="Resultat",SUMIF($F$1:$F164,$D165,I$1:I164)+SUMIF($F166:$F$490,$D165,I166:I$490),0))*'[1]Processer - data'!I165,"")*IF($C165&lt;&gt;"",IF($F165="Halm",Landbrug!D$16*Landbrug!D$17,IF(LEFT($D165,5)="Areal", IF($G165="Ton",Landbrug!D$18,1),1)),1)*IF($F165="Grøntsager",IF($A165="Grøntsager i drivhus",Landbrug!D$51,1-Landbrug!D$51),1)</f>
        <v>#REF!</v>
      </c>
      <c r="J165" s="304" t="e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input'!$A$3:$A$230,$A$1)),IF(VLOOKUP($A165,[1]!Table1[#All],2,FALSE)="Resultat",SUMIF($F$1:$F164,$D165,J$1:J164)+SUMIF($F166:$F$490,$D165,J166:J$490),0))*'[1]Processer - data'!J165,"")*IF($C165&lt;&gt;"",IF($F165="Halm",Landbrug!E$16*Landbrug!E$17,IF(LEFT($D165,5)="Areal", IF($G165="Ton",Landbrug!E$18,1),1)),1)*IF($F165="Grøntsager",IF($A165="Grøntsager i drivhus",Landbrug!E$51,1-Landbrug!E$51),1)</f>
        <v>#REF!</v>
      </c>
    </row>
    <row r="166" spans="1:10" x14ac:dyDescent="0.25">
      <c r="A166" t="str">
        <f>IF('[1]Processer - data'!A166&lt;&gt;"",'[1]Processer - data'!A166,"")</f>
        <v>Grøntsager i drivhus</v>
      </c>
      <c r="B166" t="str">
        <f>IF('[1]Processer - data'!B166&lt;&gt;"",'[1]Processer - data'!B166,"")</f>
        <v>Økologisk</v>
      </c>
      <c r="C166" t="str">
        <f>IF('[1]Processer - data'!C166&lt;&gt;"",'[1]Processer - data'!C166,"")</f>
        <v/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2" t="e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input'!$A$3:$A$230,$A$1)),IF(VLOOKUP($A166,[1]!Table1[#All],2,FALSE)="Resultat",SUMIF($F$1:$F165,$D166,H$1:H165)+SUMIF($F167:$F$490,$D166,H167:H$490),0))*'[1]Processer - data'!H166,"")*IF($C166&lt;&gt;"",IF($F166="Halm",Landbrug!C$16*Landbrug!C$17,IF(LEFT($D166,5)="Areal", IF($G166="Ton",Landbrug!C$18,1),1)),1)*IF($F166="Grøntsager",IF($A166="Grøntsager i drivhus",Landbrug!C$51,1-Landbrug!C$51),1)</f>
        <v>#REF!</v>
      </c>
      <c r="I166" s="303" t="e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input'!$A$3:$A$230,$A$1)),IF(VLOOKUP($A166,[1]!Table1[#All],2,FALSE)="Resultat",SUMIF($F$1:$F165,$D166,I$1:I165)+SUMIF($F167:$F$490,$D166,I167:I$490),0))*'[1]Processer - data'!I166,"")*IF($C166&lt;&gt;"",IF($F166="Halm",Landbrug!D$16*Landbrug!D$17,IF(LEFT($D166,5)="Areal", IF($G166="Ton",Landbrug!D$18,1),1)),1)*IF($F166="Grøntsager",IF($A166="Grøntsager i drivhus",Landbrug!D$51,1-Landbrug!D$51),1)</f>
        <v>#REF!</v>
      </c>
      <c r="J166" s="304" t="e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input'!$A$3:$A$230,$A$1)),IF(VLOOKUP($A166,[1]!Table1[#All],2,FALSE)="Resultat",SUMIF($F$1:$F165,$D166,J$1:J165)+SUMIF($F167:$F$490,$D166,J167:J$490),0))*'[1]Processer - data'!J166,"")*IF($C166&lt;&gt;"",IF($F166="Halm",Landbrug!E$16*Landbrug!E$17,IF(LEFT($D166,5)="Areal", IF($G166="Ton",Landbrug!E$18,1),1)),1)*IF($F166="Grøntsager",IF($A166="Grøntsager i drivhus",Landbrug!E$51,1-Landbrug!E$51),1)</f>
        <v>#REF!</v>
      </c>
    </row>
    <row r="167" spans="1:10" x14ac:dyDescent="0.25">
      <c r="A167" t="str">
        <f>IF('[1]Processer - data'!A167&lt;&gt;"",'[1]Processer - data'!A167,"")</f>
        <v>Grøntsager i drivhus</v>
      </c>
      <c r="B167" t="str">
        <f>IF('[1]Processer - data'!B167&lt;&gt;"",'[1]Processer - data'!B167,"")</f>
        <v>Økologisk</v>
      </c>
      <c r="C167" t="str">
        <f>IF('[1]Processer - data'!C167&lt;&gt;"",'[1]Processer - data'!C167,"")</f>
        <v/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2" t="e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input'!$A$3:$A$230,$A$1)),IF(VLOOKUP($A167,[1]!Table1[#All],2,FALSE)="Resultat",SUMIF($F$1:$F166,$D167,H$1:H166)+SUMIF($F168:$F$490,$D167,H168:H$490),0))*'[1]Processer - data'!H167,"")*IF($C167&lt;&gt;"",IF($F167="Halm",Landbrug!C$16*Landbrug!C$17,IF(LEFT($D167,5)="Areal", IF($G167="Ton",Landbrug!C$18,1),1)),1)*IF($F167="Grøntsager",IF($A167="Grøntsager i drivhus",Landbrug!C$51,1-Landbrug!C$51),1)</f>
        <v>#REF!</v>
      </c>
      <c r="I167" s="303" t="e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input'!$A$3:$A$230,$A$1)),IF(VLOOKUP($A167,[1]!Table1[#All],2,FALSE)="Resultat",SUMIF($F$1:$F166,$D167,I$1:I166)+SUMIF($F168:$F$490,$D167,I168:I$490),0))*'[1]Processer - data'!I167,"")*IF($C167&lt;&gt;"",IF($F167="Halm",Landbrug!D$16*Landbrug!D$17,IF(LEFT($D167,5)="Areal", IF($G167="Ton",Landbrug!D$18,1),1)),1)*IF($F167="Grøntsager",IF($A167="Grøntsager i drivhus",Landbrug!D$51,1-Landbrug!D$51),1)</f>
        <v>#REF!</v>
      </c>
      <c r="J167" s="304" t="e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input'!$A$3:$A$230,$A$1)),IF(VLOOKUP($A167,[1]!Table1[#All],2,FALSE)="Resultat",SUMIF($F$1:$F166,$D167,J$1:J166)+SUMIF($F168:$F$490,$D167,J168:J$490),0))*'[1]Processer - data'!J167,"")*IF($C167&lt;&gt;"",IF($F167="Halm",Landbrug!E$16*Landbrug!E$17,IF(LEFT($D167,5)="Areal", IF($G167="Ton",Landbrug!E$18,1),1)),1)*IF($F167="Grøntsager",IF($A167="Grøntsager i drivhus",Landbrug!E$51,1-Landbrug!E$51),1)</f>
        <v>#REF!</v>
      </c>
    </row>
    <row r="168" spans="1:10" x14ac:dyDescent="0.25">
      <c r="A168" t="str">
        <f>IF('[1]Processer - data'!A168&lt;&gt;"",'[1]Processer - data'!A168,"")</f>
        <v>Kartoffelmark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JB1-10</v>
      </c>
      <c r="D168" t="str">
        <f>IF('[1]Processer - data'!D168&lt;&gt;"",'[1]Processer - data'!D168,"")</f>
        <v>Areal-kartofler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Kartofler</v>
      </c>
      <c r="G168" t="str">
        <f>IF('[1]Processer - data'!G168&lt;&gt;"",'[1]Processer - data'!G168,"")</f>
        <v>Ton</v>
      </c>
      <c r="H168" s="302" t="e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input'!$A$3:$A$230,$A$1)),IF(VLOOKUP($A168,[1]!Table1[#All],2,FALSE)="Resultat",SUMIF($F$1:$F167,$D168,H$1:H167)+SUMIF($F169:$F$490,$D168,H169:H$490),0))*'[1]Processer - data'!H168,"")*IF($C168&lt;&gt;"",IF($F168="Halm",Landbrug!C$16*Landbrug!C$17,IF(LEFT($D168,5)="Areal", IF($G168="Ton",Landbrug!C$18,1),1)),1)*IF($F168="Grøntsager",IF($A168="Grøntsager i drivhus",Landbrug!C$51,1-Landbrug!C$51),1)</f>
        <v>#REF!</v>
      </c>
      <c r="I168" s="303" t="e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input'!$A$3:$A$230,$A$1)),IF(VLOOKUP($A168,[1]!Table1[#All],2,FALSE)="Resultat",SUMIF($F$1:$F167,$D168,I$1:I167)+SUMIF($F169:$F$490,$D168,I169:I$490),0))*'[1]Processer - data'!I168,"")*IF($C168&lt;&gt;"",IF($F168="Halm",Landbrug!D$16*Landbrug!D$17,IF(LEFT($D168,5)="Areal", IF($G168="Ton",Landbrug!D$18,1),1)),1)*IF($F168="Grøntsager",IF($A168="Grøntsager i drivhus",Landbrug!D$51,1-Landbrug!D$51),1)</f>
        <v>#REF!</v>
      </c>
      <c r="J168" s="304" t="e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input'!$A$3:$A$230,$A$1)),IF(VLOOKUP($A168,[1]!Table1[#All],2,FALSE)="Resultat",SUMIF($F$1:$F167,$D168,J$1:J167)+SUMIF($F169:$F$490,$D168,J169:J$490),0))*'[1]Processer - data'!J168,"")*IF($C168&lt;&gt;"",IF($F168="Halm",Landbrug!E$16*Landbrug!E$17,IF(LEFT($D168,5)="Areal", IF($G168="Ton",Landbrug!E$18,1),1)),1)*IF($F168="Grøntsager",IF($A168="Grøntsager i drivhus",Landbrug!E$51,1-Landbrug!E$51),1)</f>
        <v>#REF!</v>
      </c>
    </row>
    <row r="169" spans="1:10" x14ac:dyDescent="0.25">
      <c r="A169" t="str">
        <f>IF('[1]Processer - data'!A169&lt;&gt;"",'[1]Processer - data'!A169,"")</f>
        <v>Kartoffelmark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JB1-10</v>
      </c>
      <c r="D169" t="str">
        <f>IF('[1]Processer - data'!D169&lt;&gt;"",'[1]Processer - data'!D169,"")</f>
        <v>Areal-kartofler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2" t="e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input'!$A$3:$A$230,$A$1)),IF(VLOOKUP($A169,[1]!Table1[#All],2,FALSE)="Resultat",SUMIF($F$1:$F168,$D169,H$1:H168)+SUMIF($F170:$F$490,$D169,H170:H$490),0))*'[1]Processer - data'!H169,"")*IF($C169&lt;&gt;"",IF($F169="Halm",Landbrug!C$16*Landbrug!C$17,IF(LEFT($D169,5)="Areal", IF($G169="Ton",Landbrug!C$18,1),1)),1)*IF($F169="Grøntsager",IF($A169="Grøntsager i drivhus",Landbrug!C$51,1-Landbrug!C$51),1)</f>
        <v>#REF!</v>
      </c>
      <c r="I169" s="303" t="e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input'!$A$3:$A$230,$A$1)),IF(VLOOKUP($A169,[1]!Table1[#All],2,FALSE)="Resultat",SUMIF($F$1:$F168,$D169,I$1:I168)+SUMIF($F170:$F$490,$D169,I170:I$490),0))*'[1]Processer - data'!I169,"")*IF($C169&lt;&gt;"",IF($F169="Halm",Landbrug!D$16*Landbrug!D$17,IF(LEFT($D169,5)="Areal", IF($G169="Ton",Landbrug!D$18,1),1)),1)*IF($F169="Grøntsager",IF($A169="Grøntsager i drivhus",Landbrug!D$51,1-Landbrug!D$51),1)</f>
        <v>#REF!</v>
      </c>
      <c r="J169" s="304" t="e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input'!$A$3:$A$230,$A$1)),IF(VLOOKUP($A169,[1]!Table1[#All],2,FALSE)="Resultat",SUMIF($F$1:$F168,$D169,J$1:J168)+SUMIF($F170:$F$490,$D169,J170:J$490),0))*'[1]Processer - data'!J169,"")*IF($C169&lt;&gt;"",IF($F169="Halm",Landbrug!E$16*Landbrug!E$17,IF(LEFT($D169,5)="Areal", IF($G169="Ton",Landbrug!E$18,1),1)),1)*IF($F169="Grøntsager",IF($A169="Grøntsager i drivhus",Landbrug!E$51,1-Landbrug!E$51),1)</f>
        <v>#REF!</v>
      </c>
    </row>
    <row r="170" spans="1:10" x14ac:dyDescent="0.25">
      <c r="A170" t="str">
        <f>IF('[1]Processer - data'!A170&lt;&gt;"",'[1]Processer - data'!A170,"")</f>
        <v>Kartoffelmark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JB1-10</v>
      </c>
      <c r="D170" t="str">
        <f>IF('[1]Processer - data'!D170&lt;&gt;"",'[1]Processer - data'!D170,"")</f>
        <v>Areal-kartofler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2" t="e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input'!$A$3:$A$230,$A$1)),IF(VLOOKUP($A170,[1]!Table1[#All],2,FALSE)="Resultat",SUMIF($F$1:$F169,$D170,H$1:H169)+SUMIF($F171:$F$490,$D170,H171:H$490),0))*'[1]Processer - data'!H170,"")*IF($C170&lt;&gt;"",IF($F170="Halm",Landbrug!C$16*Landbrug!C$17,IF(LEFT($D170,5)="Areal", IF($G170="Ton",Landbrug!C$18,1),1)),1)*IF($F170="Grøntsager",IF($A170="Grøntsager i drivhus",Landbrug!C$51,1-Landbrug!C$51),1)</f>
        <v>#REF!</v>
      </c>
      <c r="I170" s="303" t="e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input'!$A$3:$A$230,$A$1)),IF(VLOOKUP($A170,[1]!Table1[#All],2,FALSE)="Resultat",SUMIF($F$1:$F169,$D170,I$1:I169)+SUMIF($F171:$F$490,$D170,I171:I$490),0))*'[1]Processer - data'!I170,"")*IF($C170&lt;&gt;"",IF($F170="Halm",Landbrug!D$16*Landbrug!D$17,IF(LEFT($D170,5)="Areal", IF($G170="Ton",Landbrug!D$18,1),1)),1)*IF($F170="Grøntsager",IF($A170="Grøntsager i drivhus",Landbrug!D$51,1-Landbrug!D$51),1)</f>
        <v>#REF!</v>
      </c>
      <c r="J170" s="304" t="e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input'!$A$3:$A$230,$A$1)),IF(VLOOKUP($A170,[1]!Table1[#All],2,FALSE)="Resultat",SUMIF($F$1:$F169,$D170,J$1:J169)+SUMIF($F171:$F$490,$D170,J171:J$490),0))*'[1]Processer - data'!J170,"")*IF($C170&lt;&gt;"",IF($F170="Halm",Landbrug!E$16*Landbrug!E$17,IF(LEFT($D170,5)="Areal", IF($G170="Ton",Landbrug!E$18,1),1)),1)*IF($F170="Grøntsager",IF($A170="Grøntsager i drivhus",Landbrug!E$51,1-Landbrug!E$51),1)</f>
        <v>#REF!</v>
      </c>
    </row>
    <row r="171" spans="1:10" x14ac:dyDescent="0.25">
      <c r="A171" t="str">
        <f>IF('[1]Processer - data'!A171&lt;&gt;"",'[1]Processer - data'!A171,"")</f>
        <v>Kartoffelmark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OC6</v>
      </c>
      <c r="D171" t="str">
        <f>IF('[1]Processer - data'!D171&lt;&gt;"",'[1]Processer - data'!D171,"")</f>
        <v>Areal-kartofler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Kartofler</v>
      </c>
      <c r="G171" t="str">
        <f>IF('[1]Processer - data'!G171&lt;&gt;"",'[1]Processer - data'!G171,"")</f>
        <v>Ton</v>
      </c>
      <c r="H171" s="302" t="e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input'!$A$3:$A$230,$A$1)),IF(VLOOKUP($A171,[1]!Table1[#All],2,FALSE)="Resultat",SUMIF($F$1:$F170,$D171,H$1:H170)+SUMIF($F172:$F$490,$D171,H172:H$490),0))*'[1]Processer - data'!H171,"")*IF($C171&lt;&gt;"",IF($F171="Halm",Landbrug!C$16*Landbrug!C$17,IF(LEFT($D171,5)="Areal", IF($G171="Ton",Landbrug!C$18,1),1)),1)*IF($F171="Grøntsager",IF($A171="Grøntsager i drivhus",Landbrug!C$51,1-Landbrug!C$51),1)</f>
        <v>#REF!</v>
      </c>
      <c r="I171" s="303" t="e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input'!$A$3:$A$230,$A$1)),IF(VLOOKUP($A171,[1]!Table1[#All],2,FALSE)="Resultat",SUMIF($F$1:$F170,$D171,I$1:I170)+SUMIF($F172:$F$490,$D171,I172:I$490),0))*'[1]Processer - data'!I171,"")*IF($C171&lt;&gt;"",IF($F171="Halm",Landbrug!D$16*Landbrug!D$17,IF(LEFT($D171,5)="Areal", IF($G171="Ton",Landbrug!D$18,1),1)),1)*IF($F171="Grøntsager",IF($A171="Grøntsager i drivhus",Landbrug!D$51,1-Landbrug!D$51),1)</f>
        <v>#REF!</v>
      </c>
      <c r="J171" s="304" t="e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input'!$A$3:$A$230,$A$1)),IF(VLOOKUP($A171,[1]!Table1[#All],2,FALSE)="Resultat",SUMIF($F$1:$F170,$D171,J$1:J170)+SUMIF($F172:$F$490,$D171,J172:J$490),0))*'[1]Processer - data'!J171,"")*IF($C171&lt;&gt;"",IF($F171="Halm",Landbrug!E$16*Landbrug!E$17,IF(LEFT($D171,5)="Areal", IF($G171="Ton",Landbrug!E$18,1),1)),1)*IF($F171="Grøntsager",IF($A171="Grøntsager i drivhus",Landbrug!E$51,1-Landbrug!E$51),1)</f>
        <v>#REF!</v>
      </c>
    </row>
    <row r="172" spans="1:10" x14ac:dyDescent="0.25">
      <c r="A172" t="str">
        <f>IF('[1]Processer - data'!A172&lt;&gt;"",'[1]Processer - data'!A172,"")</f>
        <v>Kartoffelmark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OC6</v>
      </c>
      <c r="D172" t="str">
        <f>IF('[1]Processer - data'!D172&lt;&gt;"",'[1]Processer - data'!D172,"")</f>
        <v>Areal-kartofler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2" t="e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input'!$A$3:$A$230,$A$1)),IF(VLOOKUP($A172,[1]!Table1[#All],2,FALSE)="Resultat",SUMIF($F$1:$F171,$D172,H$1:H171)+SUMIF($F173:$F$490,$D172,H173:H$490),0))*'[1]Processer - data'!H172,"")*IF($C172&lt;&gt;"",IF($F172="Halm",Landbrug!C$16*Landbrug!C$17,IF(LEFT($D172,5)="Areal", IF($G172="Ton",Landbrug!C$18,1),1)),1)*IF($F172="Grøntsager",IF($A172="Grøntsager i drivhus",Landbrug!C$51,1-Landbrug!C$51),1)</f>
        <v>#REF!</v>
      </c>
      <c r="I172" s="303" t="e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input'!$A$3:$A$230,$A$1)),IF(VLOOKUP($A172,[1]!Table1[#All],2,FALSE)="Resultat",SUMIF($F$1:$F171,$D172,I$1:I171)+SUMIF($F173:$F$490,$D172,I173:I$490),0))*'[1]Processer - data'!I172,"")*IF($C172&lt;&gt;"",IF($F172="Halm",Landbrug!D$16*Landbrug!D$17,IF(LEFT($D172,5)="Areal", IF($G172="Ton",Landbrug!D$18,1),1)),1)*IF($F172="Grøntsager",IF($A172="Grøntsager i drivhus",Landbrug!D$51,1-Landbrug!D$51),1)</f>
        <v>#REF!</v>
      </c>
      <c r="J172" s="304" t="e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input'!$A$3:$A$230,$A$1)),IF(VLOOKUP($A172,[1]!Table1[#All],2,FALSE)="Resultat",SUMIF($F$1:$F171,$D172,J$1:J171)+SUMIF($F173:$F$490,$D172,J173:J$490),0))*'[1]Processer - data'!J172,"")*IF($C172&lt;&gt;"",IF($F172="Halm",Landbrug!E$16*Landbrug!E$17,IF(LEFT($D172,5)="Areal", IF($G172="Ton",Landbrug!E$18,1),1)),1)*IF($F172="Grøntsager",IF($A172="Grøntsager i drivhus",Landbrug!E$51,1-Landbrug!E$51),1)</f>
        <v>#REF!</v>
      </c>
    </row>
    <row r="173" spans="1:10" x14ac:dyDescent="0.25">
      <c r="A173" t="str">
        <f>IF('[1]Processer - data'!A173&lt;&gt;"",'[1]Processer - data'!A173,"")</f>
        <v>Kartoffelmark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OC6</v>
      </c>
      <c r="D173" t="str">
        <f>IF('[1]Processer - data'!D173&lt;&gt;"",'[1]Processer - data'!D173,"")</f>
        <v>Areal-kartofler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2" t="e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input'!$A$3:$A$230,$A$1)),IF(VLOOKUP($A173,[1]!Table1[#All],2,FALSE)="Resultat",SUMIF($F$1:$F172,$D173,H$1:H172)+SUMIF($F174:$F$490,$D173,H174:H$490),0))*'[1]Processer - data'!H173,"")*IF($C173&lt;&gt;"",IF($F173="Halm",Landbrug!C$16*Landbrug!C$17,IF(LEFT($D173,5)="Areal", IF($G173="Ton",Landbrug!C$18,1),1)),1)*IF($F173="Grøntsager",IF($A173="Grøntsager i drivhus",Landbrug!C$51,1-Landbrug!C$51),1)</f>
        <v>#REF!</v>
      </c>
      <c r="I173" s="303" t="e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input'!$A$3:$A$230,$A$1)),IF(VLOOKUP($A173,[1]!Table1[#All],2,FALSE)="Resultat",SUMIF($F$1:$F172,$D173,I$1:I172)+SUMIF($F174:$F$490,$D173,I174:I$490),0))*'[1]Processer - data'!I173,"")*IF($C173&lt;&gt;"",IF($F173="Halm",Landbrug!D$16*Landbrug!D$17,IF(LEFT($D173,5)="Areal", IF($G173="Ton",Landbrug!D$18,1),1)),1)*IF($F173="Grøntsager",IF($A173="Grøntsager i drivhus",Landbrug!D$51,1-Landbrug!D$51),1)</f>
        <v>#REF!</v>
      </c>
      <c r="J173" s="304" t="e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input'!$A$3:$A$230,$A$1)),IF(VLOOKUP($A173,[1]!Table1[#All],2,FALSE)="Resultat",SUMIF($F$1:$F172,$D173,J$1:J172)+SUMIF($F174:$F$490,$D173,J174:J$490),0))*'[1]Processer - data'!J173,"")*IF($C173&lt;&gt;"",IF($F173="Halm",Landbrug!E$16*Landbrug!E$17,IF(LEFT($D173,5)="Areal", IF($G173="Ton",Landbrug!E$18,1),1)),1)*IF($F173="Grøntsager",IF($A173="Grøntsager i drivhus",Landbrug!E$51,1-Landbrug!E$51),1)</f>
        <v>#REF!</v>
      </c>
    </row>
    <row r="174" spans="1:10" x14ac:dyDescent="0.25">
      <c r="A174" t="str">
        <f>IF('[1]Processer - data'!A174&lt;&gt;"",'[1]Processer - data'!A174,"")</f>
        <v>Kartoffelmark</v>
      </c>
      <c r="B174" t="str">
        <f>IF('[1]Processer - data'!B174&lt;&gt;"",'[1]Processer - data'!B174,"")</f>
        <v>Konventionel</v>
      </c>
      <c r="C174" t="str">
        <f>IF('[1]Processer - data'!C174&lt;&gt;"",'[1]Processer - data'!C174,"")</f>
        <v>OC12</v>
      </c>
      <c r="D174" t="str">
        <f>IF('[1]Processer - data'!D174&lt;&gt;"",'[1]Processer - data'!D174,"")</f>
        <v>Areal-kartofler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Kartofler</v>
      </c>
      <c r="G174" t="str">
        <f>IF('[1]Processer - data'!G174&lt;&gt;"",'[1]Processer - data'!G174,"")</f>
        <v>Ton</v>
      </c>
      <c r="H174" s="302" t="e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input'!$A$3:$A$230,$A$1)),IF(VLOOKUP($A174,[1]!Table1[#All],2,FALSE)="Resultat",SUMIF($F$1:$F173,$D174,H$1:H173)+SUMIF($F175:$F$490,$D174,H175:H$490),0))*'[1]Processer - data'!H174,"")*IF($C174&lt;&gt;"",IF($F174="Halm",Landbrug!C$16*Landbrug!C$17,IF(LEFT($D174,5)="Areal", IF($G174="Ton",Landbrug!C$18,1),1)),1)*IF($F174="Grøntsager",IF($A174="Grøntsager i drivhus",Landbrug!C$51,1-Landbrug!C$51),1)</f>
        <v>#REF!</v>
      </c>
      <c r="I174" s="303" t="e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input'!$A$3:$A$230,$A$1)),IF(VLOOKUP($A174,[1]!Table1[#All],2,FALSE)="Resultat",SUMIF($F$1:$F173,$D174,I$1:I173)+SUMIF($F175:$F$490,$D174,I175:I$490),0))*'[1]Processer - data'!I174,"")*IF($C174&lt;&gt;"",IF($F174="Halm",Landbrug!D$16*Landbrug!D$17,IF(LEFT($D174,5)="Areal", IF($G174="Ton",Landbrug!D$18,1),1)),1)*IF($F174="Grøntsager",IF($A174="Grøntsager i drivhus",Landbrug!D$51,1-Landbrug!D$51),1)</f>
        <v>#REF!</v>
      </c>
      <c r="J174" s="304" t="e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input'!$A$3:$A$230,$A$1)),IF(VLOOKUP($A174,[1]!Table1[#All],2,FALSE)="Resultat",SUMIF($F$1:$F173,$D174,J$1:J173)+SUMIF($F175:$F$490,$D174,J175:J$490),0))*'[1]Processer - data'!J174,"")*IF($C174&lt;&gt;"",IF($F174="Halm",Landbrug!E$16*Landbrug!E$17,IF(LEFT($D174,5)="Areal", IF($G174="Ton",Landbrug!E$18,1),1)),1)*IF($F174="Grøntsager",IF($A174="Grøntsager i drivhus",Landbrug!E$51,1-Landbrug!E$51),1)</f>
        <v>#REF!</v>
      </c>
    </row>
    <row r="175" spans="1:10" x14ac:dyDescent="0.25">
      <c r="A175" t="str">
        <f>IF('[1]Processer - data'!A175&lt;&gt;"",'[1]Processer - data'!A175,"")</f>
        <v>Kartoffelmark</v>
      </c>
      <c r="B175" t="str">
        <f>IF('[1]Processer - data'!B175&lt;&gt;"",'[1]Processer - data'!B175,"")</f>
        <v>Konventionel</v>
      </c>
      <c r="C175" t="str">
        <f>IF('[1]Processer - data'!C175&lt;&gt;"",'[1]Processer - data'!C175,"")</f>
        <v>OC12</v>
      </c>
      <c r="D175" t="str">
        <f>IF('[1]Processer - data'!D175&lt;&gt;"",'[1]Processer - data'!D175,"")</f>
        <v>Areal-kartofler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2" t="e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input'!$A$3:$A$230,$A$1)),IF(VLOOKUP($A175,[1]!Table1[#All],2,FALSE)="Resultat",SUMIF($F$1:$F174,$D175,H$1:H174)+SUMIF($F176:$F$490,$D175,H176:H$490),0))*'[1]Processer - data'!H175,"")*IF($C175&lt;&gt;"",IF($F175="Halm",Landbrug!C$16*Landbrug!C$17,IF(LEFT($D175,5)="Areal", IF($G175="Ton",Landbrug!C$18,1),1)),1)*IF($F175="Grøntsager",IF($A175="Grøntsager i drivhus",Landbrug!C$51,1-Landbrug!C$51),1)</f>
        <v>#REF!</v>
      </c>
      <c r="I175" s="303" t="e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input'!$A$3:$A$230,$A$1)),IF(VLOOKUP($A175,[1]!Table1[#All],2,FALSE)="Resultat",SUMIF($F$1:$F174,$D175,I$1:I174)+SUMIF($F176:$F$490,$D175,I176:I$490),0))*'[1]Processer - data'!I175,"")*IF($C175&lt;&gt;"",IF($F175="Halm",Landbrug!D$16*Landbrug!D$17,IF(LEFT($D175,5)="Areal", IF($G175="Ton",Landbrug!D$18,1),1)),1)*IF($F175="Grøntsager",IF($A175="Grøntsager i drivhus",Landbrug!D$51,1-Landbrug!D$51),1)</f>
        <v>#REF!</v>
      </c>
      <c r="J175" s="304" t="e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input'!$A$3:$A$230,$A$1)),IF(VLOOKUP($A175,[1]!Table1[#All],2,FALSE)="Resultat",SUMIF($F$1:$F174,$D175,J$1:J174)+SUMIF($F176:$F$490,$D175,J176:J$490),0))*'[1]Processer - data'!J175,"")*IF($C175&lt;&gt;"",IF($F175="Halm",Landbrug!E$16*Landbrug!E$17,IF(LEFT($D175,5)="Areal", IF($G175="Ton",Landbrug!E$18,1),1)),1)*IF($F175="Grøntsager",IF($A175="Grøntsager i drivhus",Landbrug!E$51,1-Landbrug!E$51),1)</f>
        <v>#REF!</v>
      </c>
    </row>
    <row r="176" spans="1:10" x14ac:dyDescent="0.25">
      <c r="A176" t="str">
        <f>IF('[1]Processer - data'!A176&lt;&gt;"",'[1]Processer - data'!A176,"")</f>
        <v>Kartoffelmark</v>
      </c>
      <c r="B176" t="str">
        <f>IF('[1]Processer - data'!B176&lt;&gt;"",'[1]Processer - data'!B176,"")</f>
        <v>Konventionel</v>
      </c>
      <c r="C176" t="str">
        <f>IF('[1]Processer - data'!C176&lt;&gt;"",'[1]Processer - data'!C176,"")</f>
        <v>OC12</v>
      </c>
      <c r="D176" t="str">
        <f>IF('[1]Processer - data'!D176&lt;&gt;"",'[1]Processer - data'!D176,"")</f>
        <v>Areal-kartofler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2" t="e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input'!$A$3:$A$230,$A$1)),IF(VLOOKUP($A176,[1]!Table1[#All],2,FALSE)="Resultat",SUMIF($F$1:$F175,$D176,H$1:H175)+SUMIF($F177:$F$490,$D176,H177:H$490),0))*'[1]Processer - data'!H176,"")*IF($C176&lt;&gt;"",IF($F176="Halm",Landbrug!C$16*Landbrug!C$17,IF(LEFT($D176,5)="Areal", IF($G176="Ton",Landbrug!C$18,1),1)),1)*IF($F176="Grøntsager",IF($A176="Grøntsager i drivhus",Landbrug!C$51,1-Landbrug!C$51),1)</f>
        <v>#REF!</v>
      </c>
      <c r="I176" s="303" t="e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input'!$A$3:$A$230,$A$1)),IF(VLOOKUP($A176,[1]!Table1[#All],2,FALSE)="Resultat",SUMIF($F$1:$F175,$D176,I$1:I175)+SUMIF($F177:$F$490,$D176,I177:I$490),0))*'[1]Processer - data'!I176,"")*IF($C176&lt;&gt;"",IF($F176="Halm",Landbrug!D$16*Landbrug!D$17,IF(LEFT($D176,5)="Areal", IF($G176="Ton",Landbrug!D$18,1),1)),1)*IF($F176="Grøntsager",IF($A176="Grøntsager i drivhus",Landbrug!D$51,1-Landbrug!D$51),1)</f>
        <v>#REF!</v>
      </c>
      <c r="J176" s="304" t="e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input'!$A$3:$A$230,$A$1)),IF(VLOOKUP($A176,[1]!Table1[#All],2,FALSE)="Resultat",SUMIF($F$1:$F175,$D176,J$1:J175)+SUMIF($F177:$F$490,$D176,J177:J$490),0))*'[1]Processer - data'!J176,"")*IF($C176&lt;&gt;"",IF($F176="Halm",Landbrug!E$16*Landbrug!E$17,IF(LEFT($D176,5)="Areal", IF($G176="Ton",Landbrug!E$18,1),1)),1)*IF($F176="Grøntsager",IF($A176="Grøntsager i drivhus",Landbrug!E$51,1-Landbrug!E$51),1)</f>
        <v>#REF!</v>
      </c>
    </row>
    <row r="177" spans="1:10" x14ac:dyDescent="0.25">
      <c r="A177" t="str">
        <f>IF('[1]Processer - data'!A177&lt;&gt;"",'[1]Processer - data'!A177,"")</f>
        <v>Kartoffelmark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JB1-10</v>
      </c>
      <c r="D177" t="str">
        <f>IF('[1]Processer - data'!D177&lt;&gt;"",'[1]Processer - data'!D177,"")</f>
        <v>Areal-kartofler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Kartofler</v>
      </c>
      <c r="G177" t="str">
        <f>IF('[1]Processer - data'!G177&lt;&gt;"",'[1]Processer - data'!G177,"")</f>
        <v>Ton</v>
      </c>
      <c r="H177" s="302" t="e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input'!$A$3:$A$230,$A$1)),IF(VLOOKUP($A177,[1]!Table1[#All],2,FALSE)="Resultat",SUMIF($F$1:$F176,$D177,H$1:H176)+SUMIF($F178:$F$490,$D177,H178:H$490),0))*'[1]Processer - data'!H177,"")*IF($C177&lt;&gt;"",IF($F177="Halm",Landbrug!C$16*Landbrug!C$17,IF(LEFT($D177,5)="Areal", IF($G177="Ton",Landbrug!C$18,1),1)),1)*IF($F177="Grøntsager",IF($A177="Grøntsager i drivhus",Landbrug!C$51,1-Landbrug!C$51),1)</f>
        <v>#REF!</v>
      </c>
      <c r="I177" s="303" t="e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input'!$A$3:$A$230,$A$1)),IF(VLOOKUP($A177,[1]!Table1[#All],2,FALSE)="Resultat",SUMIF($F$1:$F176,$D177,I$1:I176)+SUMIF($F178:$F$490,$D177,I178:I$490),0))*'[1]Processer - data'!I177,"")*IF($C177&lt;&gt;"",IF($F177="Halm",Landbrug!D$16*Landbrug!D$17,IF(LEFT($D177,5)="Areal", IF($G177="Ton",Landbrug!D$18,1),1)),1)*IF($F177="Grøntsager",IF($A177="Grøntsager i drivhus",Landbrug!D$51,1-Landbrug!D$51),1)</f>
        <v>#REF!</v>
      </c>
      <c r="J177" s="304" t="e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input'!$A$3:$A$230,$A$1)),IF(VLOOKUP($A177,[1]!Table1[#All],2,FALSE)="Resultat",SUMIF($F$1:$F176,$D177,J$1:J176)+SUMIF($F178:$F$490,$D177,J178:J$490),0))*'[1]Processer - data'!J177,"")*IF($C177&lt;&gt;"",IF($F177="Halm",Landbrug!E$16*Landbrug!E$17,IF(LEFT($D177,5)="Areal", IF($G177="Ton",Landbrug!E$18,1),1)),1)*IF($F177="Grøntsager",IF($A177="Grøntsager i drivhus",Landbrug!E$51,1-Landbrug!E$51),1)</f>
        <v>#REF!</v>
      </c>
    </row>
    <row r="178" spans="1:10" x14ac:dyDescent="0.25">
      <c r="A178" t="str">
        <f>IF('[1]Processer - data'!A178&lt;&gt;"",'[1]Processer - data'!A178,"")</f>
        <v>Kartoffelmark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JB1-10</v>
      </c>
      <c r="D178" t="str">
        <f>IF('[1]Processer - data'!D178&lt;&gt;"",'[1]Processer - data'!D178,"")</f>
        <v>Areal-kartofler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2" t="e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input'!$A$3:$A$230,$A$1)),IF(VLOOKUP($A178,[1]!Table1[#All],2,FALSE)="Resultat",SUMIF($F$1:$F177,$D178,H$1:H177)+SUMIF($F179:$F$490,$D178,H179:H$490),0))*'[1]Processer - data'!H178,"")*IF($C178&lt;&gt;"",IF($F178="Halm",Landbrug!C$16*Landbrug!C$17,IF(LEFT($D178,5)="Areal", IF($G178="Ton",Landbrug!C$18,1),1)),1)*IF($F178="Grøntsager",IF($A178="Grøntsager i drivhus",Landbrug!C$51,1-Landbrug!C$51),1)</f>
        <v>#REF!</v>
      </c>
      <c r="I178" s="303" t="e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input'!$A$3:$A$230,$A$1)),IF(VLOOKUP($A178,[1]!Table1[#All],2,FALSE)="Resultat",SUMIF($F$1:$F177,$D178,I$1:I177)+SUMIF($F179:$F$490,$D178,I179:I$490),0))*'[1]Processer - data'!I178,"")*IF($C178&lt;&gt;"",IF($F178="Halm",Landbrug!D$16*Landbrug!D$17,IF(LEFT($D178,5)="Areal", IF($G178="Ton",Landbrug!D$18,1),1)),1)*IF($F178="Grøntsager",IF($A178="Grøntsager i drivhus",Landbrug!D$51,1-Landbrug!D$51),1)</f>
        <v>#REF!</v>
      </c>
      <c r="J178" s="304" t="e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input'!$A$3:$A$230,$A$1)),IF(VLOOKUP($A178,[1]!Table1[#All],2,FALSE)="Resultat",SUMIF($F$1:$F177,$D178,J$1:J177)+SUMIF($F179:$F$490,$D178,J179:J$490),0))*'[1]Processer - data'!J178,"")*IF($C178&lt;&gt;"",IF($F178="Halm",Landbrug!E$16*Landbrug!E$17,IF(LEFT($D178,5)="Areal", IF($G178="Ton",Landbrug!E$18,1),1)),1)*IF($F178="Grøntsager",IF($A178="Grøntsager i drivhus",Landbrug!E$51,1-Landbrug!E$51),1)</f>
        <v>#REF!</v>
      </c>
    </row>
    <row r="179" spans="1:10" x14ac:dyDescent="0.25">
      <c r="A179" t="str">
        <f>IF('[1]Processer - data'!A179&lt;&gt;"",'[1]Processer - data'!A179,"")</f>
        <v>Kartoffelmark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JB1-10</v>
      </c>
      <c r="D179" t="str">
        <f>IF('[1]Processer - data'!D179&lt;&gt;"",'[1]Processer - data'!D179,"")</f>
        <v>Areal-kartofler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2" t="e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input'!$A$3:$A$230,$A$1)),IF(VLOOKUP($A179,[1]!Table1[#All],2,FALSE)="Resultat",SUMIF($F$1:$F178,$D179,H$1:H178)+SUMIF($F180:$F$490,$D179,H180:H$490),0))*'[1]Processer - data'!H179,"")*IF($C179&lt;&gt;"",IF($F179="Halm",Landbrug!C$16*Landbrug!C$17,IF(LEFT($D179,5)="Areal", IF($G179="Ton",Landbrug!C$18,1),1)),1)*IF($F179="Grøntsager",IF($A179="Grøntsager i drivhus",Landbrug!C$51,1-Landbrug!C$51),1)</f>
        <v>#REF!</v>
      </c>
      <c r="I179" s="303" t="e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input'!$A$3:$A$230,$A$1)),IF(VLOOKUP($A179,[1]!Table1[#All],2,FALSE)="Resultat",SUMIF($F$1:$F178,$D179,I$1:I178)+SUMIF($F180:$F$490,$D179,I180:I$490),0))*'[1]Processer - data'!I179,"")*IF($C179&lt;&gt;"",IF($F179="Halm",Landbrug!D$16*Landbrug!D$17,IF(LEFT($D179,5)="Areal", IF($G179="Ton",Landbrug!D$18,1),1)),1)*IF($F179="Grøntsager",IF($A179="Grøntsager i drivhus",Landbrug!D$51,1-Landbrug!D$51),1)</f>
        <v>#REF!</v>
      </c>
      <c r="J179" s="304" t="e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input'!$A$3:$A$230,$A$1)),IF(VLOOKUP($A179,[1]!Table1[#All],2,FALSE)="Resultat",SUMIF($F$1:$F178,$D179,J$1:J178)+SUMIF($F180:$F$490,$D179,J180:J$490),0))*'[1]Processer - data'!J179,"")*IF($C179&lt;&gt;"",IF($F179="Halm",Landbrug!E$16*Landbrug!E$17,IF(LEFT($D179,5)="Areal", IF($G179="Ton",Landbrug!E$18,1),1)),1)*IF($F179="Grøntsager",IF($A179="Grøntsager i drivhus",Landbrug!E$51,1-Landbrug!E$51),1)</f>
        <v>#REF!</v>
      </c>
    </row>
    <row r="180" spans="1:10" x14ac:dyDescent="0.25">
      <c r="A180" t="str">
        <f>IF('[1]Processer - data'!A180&lt;&gt;"",'[1]Processer - data'!A180,"")</f>
        <v>Kartoffelmark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OC6</v>
      </c>
      <c r="D180" t="str">
        <f>IF('[1]Processer - data'!D180&lt;&gt;"",'[1]Processer - data'!D180,"")</f>
        <v>Areal-kartofler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Kartofler</v>
      </c>
      <c r="G180" t="str">
        <f>IF('[1]Processer - data'!G180&lt;&gt;"",'[1]Processer - data'!G180,"")</f>
        <v>Ton</v>
      </c>
      <c r="H180" s="302" t="e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input'!$A$3:$A$230,$A$1)),IF(VLOOKUP($A180,[1]!Table1[#All],2,FALSE)="Resultat",SUMIF($F$1:$F179,$D180,H$1:H179)+SUMIF($F181:$F$490,$D180,H181:H$490),0))*'[1]Processer - data'!H180,"")*IF($C180&lt;&gt;"",IF($F180="Halm",Landbrug!C$16*Landbrug!C$17,IF(LEFT($D180,5)="Areal", IF($G180="Ton",Landbrug!C$18,1),1)),1)*IF($F180="Grøntsager",IF($A180="Grøntsager i drivhus",Landbrug!C$51,1-Landbrug!C$51),1)</f>
        <v>#REF!</v>
      </c>
      <c r="I180" s="303" t="e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input'!$A$3:$A$230,$A$1)),IF(VLOOKUP($A180,[1]!Table1[#All],2,FALSE)="Resultat",SUMIF($F$1:$F179,$D180,I$1:I179)+SUMIF($F181:$F$490,$D180,I181:I$490),0))*'[1]Processer - data'!I180,"")*IF($C180&lt;&gt;"",IF($F180="Halm",Landbrug!D$16*Landbrug!D$17,IF(LEFT($D180,5)="Areal", IF($G180="Ton",Landbrug!D$18,1),1)),1)*IF($F180="Grøntsager",IF($A180="Grøntsager i drivhus",Landbrug!D$51,1-Landbrug!D$51),1)</f>
        <v>#REF!</v>
      </c>
      <c r="J180" s="304" t="e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input'!$A$3:$A$230,$A$1)),IF(VLOOKUP($A180,[1]!Table1[#All],2,FALSE)="Resultat",SUMIF($F$1:$F179,$D180,J$1:J179)+SUMIF($F181:$F$490,$D180,J181:J$490),0))*'[1]Processer - data'!J180,"")*IF($C180&lt;&gt;"",IF($F180="Halm",Landbrug!E$16*Landbrug!E$17,IF(LEFT($D180,5)="Areal", IF($G180="Ton",Landbrug!E$18,1),1)),1)*IF($F180="Grøntsager",IF($A180="Grøntsager i drivhus",Landbrug!E$51,1-Landbrug!E$51),1)</f>
        <v>#REF!</v>
      </c>
    </row>
    <row r="181" spans="1:10" x14ac:dyDescent="0.25">
      <c r="A181" t="str">
        <f>IF('[1]Processer - data'!A181&lt;&gt;"",'[1]Processer - data'!A181,"")</f>
        <v>Kartoffelmark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OC6</v>
      </c>
      <c r="D181" t="str">
        <f>IF('[1]Processer - data'!D181&lt;&gt;"",'[1]Processer - data'!D181,"")</f>
        <v>Areal-kartofler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2" t="e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input'!$A$3:$A$230,$A$1)),IF(VLOOKUP($A181,[1]!Table1[#All],2,FALSE)="Resultat",SUMIF($F$1:$F180,$D181,H$1:H180)+SUMIF($F182:$F$490,$D181,H182:H$490),0))*'[1]Processer - data'!H181,"")*IF($C181&lt;&gt;"",IF($F181="Halm",Landbrug!C$16*Landbrug!C$17,IF(LEFT($D181,5)="Areal", IF($G181="Ton",Landbrug!C$18,1),1)),1)*IF($F181="Grøntsager",IF($A181="Grøntsager i drivhus",Landbrug!C$51,1-Landbrug!C$51),1)</f>
        <v>#REF!</v>
      </c>
      <c r="I181" s="303" t="e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input'!$A$3:$A$230,$A$1)),IF(VLOOKUP($A181,[1]!Table1[#All],2,FALSE)="Resultat",SUMIF($F$1:$F180,$D181,I$1:I180)+SUMIF($F182:$F$490,$D181,I182:I$490),0))*'[1]Processer - data'!I181,"")*IF($C181&lt;&gt;"",IF($F181="Halm",Landbrug!D$16*Landbrug!D$17,IF(LEFT($D181,5)="Areal", IF($G181="Ton",Landbrug!D$18,1),1)),1)*IF($F181="Grøntsager",IF($A181="Grøntsager i drivhus",Landbrug!D$51,1-Landbrug!D$51),1)</f>
        <v>#REF!</v>
      </c>
      <c r="J181" s="304" t="e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input'!$A$3:$A$230,$A$1)),IF(VLOOKUP($A181,[1]!Table1[#All],2,FALSE)="Resultat",SUMIF($F$1:$F180,$D181,J$1:J180)+SUMIF($F182:$F$490,$D181,J182:J$490),0))*'[1]Processer - data'!J181,"")*IF($C181&lt;&gt;"",IF($F181="Halm",Landbrug!E$16*Landbrug!E$17,IF(LEFT($D181,5)="Areal", IF($G181="Ton",Landbrug!E$18,1),1)),1)*IF($F181="Grøntsager",IF($A181="Grøntsager i drivhus",Landbrug!E$51,1-Landbrug!E$51),1)</f>
        <v>#REF!</v>
      </c>
    </row>
    <row r="182" spans="1:10" x14ac:dyDescent="0.25">
      <c r="A182" t="str">
        <f>IF('[1]Processer - data'!A182&lt;&gt;"",'[1]Processer - data'!A182,"")</f>
        <v>Kartoffelmark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OC6</v>
      </c>
      <c r="D182" t="str">
        <f>IF('[1]Processer - data'!D182&lt;&gt;"",'[1]Processer - data'!D182,"")</f>
        <v>Areal-kartofler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2" t="e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input'!$A$3:$A$230,$A$1)),IF(VLOOKUP($A182,[1]!Table1[#All],2,FALSE)="Resultat",SUMIF($F$1:$F181,$D182,H$1:H181)+SUMIF($F183:$F$490,$D182,H183:H$490),0))*'[1]Processer - data'!H182,"")*IF($C182&lt;&gt;"",IF($F182="Halm",Landbrug!C$16*Landbrug!C$17,IF(LEFT($D182,5)="Areal", IF($G182="Ton",Landbrug!C$18,1),1)),1)*IF($F182="Grøntsager",IF($A182="Grøntsager i drivhus",Landbrug!C$51,1-Landbrug!C$51),1)</f>
        <v>#REF!</v>
      </c>
      <c r="I182" s="303" t="e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input'!$A$3:$A$230,$A$1)),IF(VLOOKUP($A182,[1]!Table1[#All],2,FALSE)="Resultat",SUMIF($F$1:$F181,$D182,I$1:I181)+SUMIF($F183:$F$490,$D182,I183:I$490),0))*'[1]Processer - data'!I182,"")*IF($C182&lt;&gt;"",IF($F182="Halm",Landbrug!D$16*Landbrug!D$17,IF(LEFT($D182,5)="Areal", IF($G182="Ton",Landbrug!D$18,1),1)),1)*IF($F182="Grøntsager",IF($A182="Grøntsager i drivhus",Landbrug!D$51,1-Landbrug!D$51),1)</f>
        <v>#REF!</v>
      </c>
      <c r="J182" s="304" t="e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input'!$A$3:$A$230,$A$1)),IF(VLOOKUP($A182,[1]!Table1[#All],2,FALSE)="Resultat",SUMIF($F$1:$F181,$D182,J$1:J181)+SUMIF($F183:$F$490,$D182,J183:J$490),0))*'[1]Processer - data'!J182,"")*IF($C182&lt;&gt;"",IF($F182="Halm",Landbrug!E$16*Landbrug!E$17,IF(LEFT($D182,5)="Areal", IF($G182="Ton",Landbrug!E$18,1),1)),1)*IF($F182="Grøntsager",IF($A182="Grøntsager i drivhus",Landbrug!E$51,1-Landbrug!E$51),1)</f>
        <v>#REF!</v>
      </c>
    </row>
    <row r="183" spans="1:10" x14ac:dyDescent="0.25">
      <c r="A183" t="str">
        <f>IF('[1]Processer - data'!A183&lt;&gt;"",'[1]Processer - data'!A183,"")</f>
        <v>Kartoffelmark</v>
      </c>
      <c r="B183" t="str">
        <f>IF('[1]Processer - data'!B183&lt;&gt;"",'[1]Processer - data'!B183,"")</f>
        <v>Økologisk</v>
      </c>
      <c r="C183" t="str">
        <f>IF('[1]Processer - data'!C183&lt;&gt;"",'[1]Processer - data'!C183,"")</f>
        <v>OC12</v>
      </c>
      <c r="D183" t="str">
        <f>IF('[1]Processer - data'!D183&lt;&gt;"",'[1]Processer - data'!D183,"")</f>
        <v>Areal-kartofler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Kartofler</v>
      </c>
      <c r="G183" t="str">
        <f>IF('[1]Processer - data'!G183&lt;&gt;"",'[1]Processer - data'!G183,"")</f>
        <v>Ton</v>
      </c>
      <c r="H183" s="302" t="e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input'!$A$3:$A$230,$A$1)),IF(VLOOKUP($A183,[1]!Table1[#All],2,FALSE)="Resultat",SUMIF($F$1:$F182,$D183,H$1:H182)+SUMIF($F184:$F$490,$D183,H184:H$490),0))*'[1]Processer - data'!H183,"")*IF($C183&lt;&gt;"",IF($F183="Halm",Landbrug!C$16*Landbrug!C$17,IF(LEFT($D183,5)="Areal", IF($G183="Ton",Landbrug!C$18,1),1)),1)*IF($F183="Grøntsager",IF($A183="Grøntsager i drivhus",Landbrug!C$51,1-Landbrug!C$51),1)</f>
        <v>#REF!</v>
      </c>
      <c r="I183" s="303" t="e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input'!$A$3:$A$230,$A$1)),IF(VLOOKUP($A183,[1]!Table1[#All],2,FALSE)="Resultat",SUMIF($F$1:$F182,$D183,I$1:I182)+SUMIF($F184:$F$490,$D183,I184:I$490),0))*'[1]Processer - data'!I183,"")*IF($C183&lt;&gt;"",IF($F183="Halm",Landbrug!D$16*Landbrug!D$17,IF(LEFT($D183,5)="Areal", IF($G183="Ton",Landbrug!D$18,1),1)),1)*IF($F183="Grøntsager",IF($A183="Grøntsager i drivhus",Landbrug!D$51,1-Landbrug!D$51),1)</f>
        <v>#REF!</v>
      </c>
      <c r="J183" s="304" t="e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input'!$A$3:$A$230,$A$1)),IF(VLOOKUP($A183,[1]!Table1[#All],2,FALSE)="Resultat",SUMIF($F$1:$F182,$D183,J$1:J182)+SUMIF($F184:$F$490,$D183,J184:J$490),0))*'[1]Processer - data'!J183,"")*IF($C183&lt;&gt;"",IF($F183="Halm",Landbrug!E$16*Landbrug!E$17,IF(LEFT($D183,5)="Areal", IF($G183="Ton",Landbrug!E$18,1),1)),1)*IF($F183="Grøntsager",IF($A183="Grøntsager i drivhus",Landbrug!E$51,1-Landbrug!E$51),1)</f>
        <v>#REF!</v>
      </c>
    </row>
    <row r="184" spans="1:10" x14ac:dyDescent="0.25">
      <c r="A184" t="str">
        <f>IF('[1]Processer - data'!A184&lt;&gt;"",'[1]Processer - data'!A184,"")</f>
        <v>Kartoffelmark</v>
      </c>
      <c r="B184" t="str">
        <f>IF('[1]Processer - data'!B184&lt;&gt;"",'[1]Processer - data'!B184,"")</f>
        <v>Økologisk</v>
      </c>
      <c r="C184" t="str">
        <f>IF('[1]Processer - data'!C184&lt;&gt;"",'[1]Processer - data'!C184,"")</f>
        <v>OC12</v>
      </c>
      <c r="D184" t="str">
        <f>IF('[1]Processer - data'!D184&lt;&gt;"",'[1]Processer - data'!D184,"")</f>
        <v>Areal-kartofler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2" t="e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input'!$A$3:$A$230,$A$1)),IF(VLOOKUP($A184,[1]!Table1[#All],2,FALSE)="Resultat",SUMIF($F$1:$F183,$D184,H$1:H183)+SUMIF($F185:$F$490,$D184,H185:H$490),0))*'[1]Processer - data'!H184,"")*IF($C184&lt;&gt;"",IF($F184="Halm",Landbrug!C$16*Landbrug!C$17,IF(LEFT($D184,5)="Areal", IF($G184="Ton",Landbrug!C$18,1),1)),1)*IF($F184="Grøntsager",IF($A184="Grøntsager i drivhus",Landbrug!C$51,1-Landbrug!C$51),1)</f>
        <v>#REF!</v>
      </c>
      <c r="I184" s="303" t="e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input'!$A$3:$A$230,$A$1)),IF(VLOOKUP($A184,[1]!Table1[#All],2,FALSE)="Resultat",SUMIF($F$1:$F183,$D184,I$1:I183)+SUMIF($F185:$F$490,$D184,I185:I$490),0))*'[1]Processer - data'!I184,"")*IF($C184&lt;&gt;"",IF($F184="Halm",Landbrug!D$16*Landbrug!D$17,IF(LEFT($D184,5)="Areal", IF($G184="Ton",Landbrug!D$18,1),1)),1)*IF($F184="Grøntsager",IF($A184="Grøntsager i drivhus",Landbrug!D$51,1-Landbrug!D$51),1)</f>
        <v>#REF!</v>
      </c>
      <c r="J184" s="304" t="e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input'!$A$3:$A$230,$A$1)),IF(VLOOKUP($A184,[1]!Table1[#All],2,FALSE)="Resultat",SUMIF($F$1:$F183,$D184,J$1:J183)+SUMIF($F185:$F$490,$D184,J185:J$490),0))*'[1]Processer - data'!J184,"")*IF($C184&lt;&gt;"",IF($F184="Halm",Landbrug!E$16*Landbrug!E$17,IF(LEFT($D184,5)="Areal", IF($G184="Ton",Landbrug!E$18,1),1)),1)*IF($F184="Grøntsager",IF($A184="Grøntsager i drivhus",Landbrug!E$51,1-Landbrug!E$51),1)</f>
        <v>#REF!</v>
      </c>
    </row>
    <row r="185" spans="1:10" x14ac:dyDescent="0.25">
      <c r="A185" t="str">
        <f>IF('[1]Processer - data'!A185&lt;&gt;"",'[1]Processer - data'!A185,"")</f>
        <v>Kartoffelmark</v>
      </c>
      <c r="B185" t="str">
        <f>IF('[1]Processer - data'!B185&lt;&gt;"",'[1]Processer - data'!B185,"")</f>
        <v>Økologisk</v>
      </c>
      <c r="C185" t="str">
        <f>IF('[1]Processer - data'!C185&lt;&gt;"",'[1]Processer - data'!C185,"")</f>
        <v>OC12</v>
      </c>
      <c r="D185" t="str">
        <f>IF('[1]Processer - data'!D185&lt;&gt;"",'[1]Processer - data'!D185,"")</f>
        <v>Areal-kartofler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2" t="e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input'!$A$3:$A$230,$A$1)),IF(VLOOKUP($A185,[1]!Table1[#All],2,FALSE)="Resultat",SUMIF($F$1:$F184,$D185,H$1:H184)+SUMIF($F186:$F$490,$D185,H186:H$490),0))*'[1]Processer - data'!H185,"")*IF($C185&lt;&gt;"",IF($F185="Halm",Landbrug!C$16*Landbrug!C$17,IF(LEFT($D185,5)="Areal", IF($G185="Ton",Landbrug!C$18,1),1)),1)*IF($F185="Grøntsager",IF($A185="Grøntsager i drivhus",Landbrug!C$51,1-Landbrug!C$51),1)</f>
        <v>#REF!</v>
      </c>
      <c r="I185" s="303" t="e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input'!$A$3:$A$230,$A$1)),IF(VLOOKUP($A185,[1]!Table1[#All],2,FALSE)="Resultat",SUMIF($F$1:$F184,$D185,I$1:I184)+SUMIF($F186:$F$490,$D185,I186:I$490),0))*'[1]Processer - data'!I185,"")*IF($C185&lt;&gt;"",IF($F185="Halm",Landbrug!D$16*Landbrug!D$17,IF(LEFT($D185,5)="Areal", IF($G185="Ton",Landbrug!D$18,1),1)),1)*IF($F185="Grøntsager",IF($A185="Grøntsager i drivhus",Landbrug!D$51,1-Landbrug!D$51),1)</f>
        <v>#REF!</v>
      </c>
      <c r="J185" s="304" t="e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input'!$A$3:$A$230,$A$1)),IF(VLOOKUP($A185,[1]!Table1[#All],2,FALSE)="Resultat",SUMIF($F$1:$F184,$D185,J$1:J184)+SUMIF($F186:$F$490,$D185,J186:J$490),0))*'[1]Processer - data'!J185,"")*IF($C185&lt;&gt;"",IF($F185="Halm",Landbrug!E$16*Landbrug!E$17,IF(LEFT($D185,5)="Areal", IF($G185="Ton",Landbrug!E$18,1),1)),1)*IF($F185="Grøntsager",IF($A185="Grøntsager i drivhus",Landbrug!E$51,1-Landbrug!E$51),1)</f>
        <v>#REF!</v>
      </c>
    </row>
    <row r="186" spans="1:10" x14ac:dyDescent="0.25">
      <c r="A186" t="str">
        <f>IF('[1]Processer - data'!A186&lt;&gt;"",'[1]Processer - data'!A186,"")</f>
        <v>Græsmark</v>
      </c>
      <c r="B186" t="str">
        <f>IF('[1]Processer - data'!B186&lt;&gt;"",'[1]Processer - data'!B186,"")</f>
        <v>Konventionel</v>
      </c>
      <c r="C186" t="str">
        <f>IF('[1]Processer - data'!C186&lt;&gt;"",'[1]Processer - data'!C186,"")</f>
        <v>JB1-10</v>
      </c>
      <c r="D186" t="str">
        <f>IF('[1]Processer - data'!D186&lt;&gt;"",'[1]Processer - data'!D186,"")</f>
        <v>Areal-græs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Græs</v>
      </c>
      <c r="G186" t="str">
        <f>IF('[1]Processer - data'!G186&lt;&gt;"",'[1]Processer - data'!G186,"")</f>
        <v>Ton</v>
      </c>
      <c r="H186" s="302" t="e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input'!$A$3:$A$230,$A$1)),IF(VLOOKUP($A186,[1]!Table1[#All],2,FALSE)="Resultat",SUMIF($F$1:$F185,$D186,H$1:H185)+SUMIF($F187:$F$490,$D186,H187:H$490),0))*'[1]Processer - data'!H186,"")*IF($C186&lt;&gt;"",IF($F186="Halm",Landbrug!C$16*Landbrug!C$17,IF(LEFT($D186,5)="Areal", IF($G186="Ton",Landbrug!C$18,1),1)),1)*IF($F186="Grøntsager",IF($A186="Grøntsager i drivhus",Landbrug!C$51,1-Landbrug!C$51),1)</f>
        <v>#REF!</v>
      </c>
      <c r="I186" s="303" t="e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input'!$A$3:$A$230,$A$1)),IF(VLOOKUP($A186,[1]!Table1[#All],2,FALSE)="Resultat",SUMIF($F$1:$F185,$D186,I$1:I185)+SUMIF($F187:$F$490,$D186,I187:I$490),0))*'[1]Processer - data'!I186,"")*IF($C186&lt;&gt;"",IF($F186="Halm",Landbrug!D$16*Landbrug!D$17,IF(LEFT($D186,5)="Areal", IF($G186="Ton",Landbrug!D$18,1),1)),1)*IF($F186="Grøntsager",IF($A186="Grøntsager i drivhus",Landbrug!D$51,1-Landbrug!D$51),1)</f>
        <v>#REF!</v>
      </c>
      <c r="J186" s="304" t="e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input'!$A$3:$A$230,$A$1)),IF(VLOOKUP($A186,[1]!Table1[#All],2,FALSE)="Resultat",SUMIF($F$1:$F185,$D186,J$1:J185)+SUMIF($F187:$F$490,$D186,J187:J$490),0))*'[1]Processer - data'!J186,"")*IF($C186&lt;&gt;"",IF($F186="Halm",Landbrug!E$16*Landbrug!E$17,IF(LEFT($D186,5)="Areal", IF($G186="Ton",Landbrug!E$18,1),1)),1)*IF($F186="Grøntsager",IF($A186="Grøntsager i drivhus",Landbrug!E$51,1-Landbrug!E$51),1)</f>
        <v>#REF!</v>
      </c>
    </row>
    <row r="187" spans="1:10" x14ac:dyDescent="0.25">
      <c r="A187" t="str">
        <f>IF('[1]Processer - data'!A187&lt;&gt;"",'[1]Processer - data'!A187,"")</f>
        <v>Græsmark</v>
      </c>
      <c r="B187" t="str">
        <f>IF('[1]Processer - data'!B187&lt;&gt;"",'[1]Processer - data'!B187,"")</f>
        <v>Konventionel</v>
      </c>
      <c r="C187" t="str">
        <f>IF('[1]Processer - data'!C187&lt;&gt;"",'[1]Processer - data'!C187,"")</f>
        <v>JB1-10</v>
      </c>
      <c r="D187" t="str">
        <f>IF('[1]Processer - data'!D187&lt;&gt;"",'[1]Processer - data'!D187,"")</f>
        <v>Areal-græs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2" t="e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input'!$A$3:$A$230,$A$1)),IF(VLOOKUP($A187,[1]!Table1[#All],2,FALSE)="Resultat",SUMIF($F$1:$F186,$D187,H$1:H186)+SUMIF($F188:$F$490,$D187,H188:H$490),0))*'[1]Processer - data'!H187,"")*IF($C187&lt;&gt;"",IF($F187="Halm",Landbrug!C$16*Landbrug!C$17,IF(LEFT($D187,5)="Areal", IF($G187="Ton",Landbrug!C$18,1),1)),1)*IF($F187="Grøntsager",IF($A187="Grøntsager i drivhus",Landbrug!C$51,1-Landbrug!C$51),1)</f>
        <v>#REF!</v>
      </c>
      <c r="I187" s="303" t="e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input'!$A$3:$A$230,$A$1)),IF(VLOOKUP($A187,[1]!Table1[#All],2,FALSE)="Resultat",SUMIF($F$1:$F186,$D187,I$1:I186)+SUMIF($F188:$F$490,$D187,I188:I$490),0))*'[1]Processer - data'!I187,"")*IF($C187&lt;&gt;"",IF($F187="Halm",Landbrug!D$16*Landbrug!D$17,IF(LEFT($D187,5)="Areal", IF($G187="Ton",Landbrug!D$18,1),1)),1)*IF($F187="Grøntsager",IF($A187="Grøntsager i drivhus",Landbrug!D$51,1-Landbrug!D$51),1)</f>
        <v>#REF!</v>
      </c>
      <c r="J187" s="304" t="e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input'!$A$3:$A$230,$A$1)),IF(VLOOKUP($A187,[1]!Table1[#All],2,FALSE)="Resultat",SUMIF($F$1:$F186,$D187,J$1:J186)+SUMIF($F188:$F$490,$D187,J188:J$490),0))*'[1]Processer - data'!J187,"")*IF($C187&lt;&gt;"",IF($F187="Halm",Landbrug!E$16*Landbrug!E$17,IF(LEFT($D187,5)="Areal", IF($G187="Ton",Landbrug!E$18,1),1)),1)*IF($F187="Grøntsager",IF($A187="Grøntsager i drivhus",Landbrug!E$51,1-Landbrug!E$51),1)</f>
        <v>#REF!</v>
      </c>
    </row>
    <row r="188" spans="1:10" x14ac:dyDescent="0.25">
      <c r="A188" t="str">
        <f>IF('[1]Processer - data'!A188&lt;&gt;"",'[1]Processer - data'!A188,"")</f>
        <v>Græsmark</v>
      </c>
      <c r="B188" t="str">
        <f>IF('[1]Processer - data'!B188&lt;&gt;"",'[1]Processer - data'!B188,"")</f>
        <v>Konventionel</v>
      </c>
      <c r="C188" t="str">
        <f>IF('[1]Processer - data'!C188&lt;&gt;"",'[1]Processer - data'!C188,"")</f>
        <v>JB1-10</v>
      </c>
      <c r="D188" t="str">
        <f>IF('[1]Processer - data'!D188&lt;&gt;"",'[1]Processer - data'!D188,"")</f>
        <v>Areal-græs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2" t="e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input'!$A$3:$A$230,$A$1)),IF(VLOOKUP($A188,[1]!Table1[#All],2,FALSE)="Resultat",SUMIF($F$1:$F187,$D188,H$1:H187)+SUMIF($F189:$F$490,$D188,H189:H$490),0))*'[1]Processer - data'!H188,"")*IF($C188&lt;&gt;"",IF($F188="Halm",Landbrug!C$16*Landbrug!C$17,IF(LEFT($D188,5)="Areal", IF($G188="Ton",Landbrug!C$18,1),1)),1)*IF($F188="Grøntsager",IF($A188="Grøntsager i drivhus",Landbrug!C$51,1-Landbrug!C$51),1)</f>
        <v>#REF!</v>
      </c>
      <c r="I188" s="303" t="e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input'!$A$3:$A$230,$A$1)),IF(VLOOKUP($A188,[1]!Table1[#All],2,FALSE)="Resultat",SUMIF($F$1:$F187,$D188,I$1:I187)+SUMIF($F189:$F$490,$D188,I189:I$490),0))*'[1]Processer - data'!I188,"")*IF($C188&lt;&gt;"",IF($F188="Halm",Landbrug!D$16*Landbrug!D$17,IF(LEFT($D188,5)="Areal", IF($G188="Ton",Landbrug!D$18,1),1)),1)*IF($F188="Grøntsager",IF($A188="Grøntsager i drivhus",Landbrug!D$51,1-Landbrug!D$51),1)</f>
        <v>#REF!</v>
      </c>
      <c r="J188" s="304" t="e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input'!$A$3:$A$230,$A$1)),IF(VLOOKUP($A188,[1]!Table1[#All],2,FALSE)="Resultat",SUMIF($F$1:$F187,$D188,J$1:J187)+SUMIF($F189:$F$490,$D188,J189:J$490),0))*'[1]Processer - data'!J188,"")*IF($C188&lt;&gt;"",IF($F188="Halm",Landbrug!E$16*Landbrug!E$17,IF(LEFT($D188,5)="Areal", IF($G188="Ton",Landbrug!E$18,1),1)),1)*IF($F188="Grøntsager",IF($A188="Grøntsager i drivhus",Landbrug!E$51,1-Landbrug!E$51),1)</f>
        <v>#REF!</v>
      </c>
    </row>
    <row r="189" spans="1:10" x14ac:dyDescent="0.25">
      <c r="A189" t="str">
        <f>IF('[1]Processer - data'!A189&lt;&gt;"",'[1]Processer - data'!A189,"")</f>
        <v>Græsmark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OC6</v>
      </c>
      <c r="D189" t="str">
        <f>IF('[1]Processer - data'!D189&lt;&gt;"",'[1]Processer - data'!D189,"")</f>
        <v>Areal-græs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Græs</v>
      </c>
      <c r="G189" t="str">
        <f>IF('[1]Processer - data'!G189&lt;&gt;"",'[1]Processer - data'!G189,"")</f>
        <v>Ton</v>
      </c>
      <c r="H189" s="302" t="e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input'!$A$3:$A$230,$A$1)),IF(VLOOKUP($A189,[1]!Table1[#All],2,FALSE)="Resultat",SUMIF($F$1:$F188,$D189,H$1:H188)+SUMIF($F190:$F$490,$D189,H190:H$490),0))*'[1]Processer - data'!H189,"")*IF($C189&lt;&gt;"",IF($F189="Halm",Landbrug!C$16*Landbrug!C$17,IF(LEFT($D189,5)="Areal", IF($G189="Ton",Landbrug!C$18,1),1)),1)*IF($F189="Grøntsager",IF($A189="Grøntsager i drivhus",Landbrug!C$51,1-Landbrug!C$51),1)</f>
        <v>#REF!</v>
      </c>
      <c r="I189" s="303" t="e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input'!$A$3:$A$230,$A$1)),IF(VLOOKUP($A189,[1]!Table1[#All],2,FALSE)="Resultat",SUMIF($F$1:$F188,$D189,I$1:I188)+SUMIF($F190:$F$490,$D189,I190:I$490),0))*'[1]Processer - data'!I189,"")*IF($C189&lt;&gt;"",IF($F189="Halm",Landbrug!D$16*Landbrug!D$17,IF(LEFT($D189,5)="Areal", IF($G189="Ton",Landbrug!D$18,1),1)),1)*IF($F189="Grøntsager",IF($A189="Grøntsager i drivhus",Landbrug!D$51,1-Landbrug!D$51),1)</f>
        <v>#REF!</v>
      </c>
      <c r="J189" s="304" t="e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input'!$A$3:$A$230,$A$1)),IF(VLOOKUP($A189,[1]!Table1[#All],2,FALSE)="Resultat",SUMIF($F$1:$F188,$D189,J$1:J188)+SUMIF($F190:$F$490,$D189,J190:J$490),0))*'[1]Processer - data'!J189,"")*IF($C189&lt;&gt;"",IF($F189="Halm",Landbrug!E$16*Landbrug!E$17,IF(LEFT($D189,5)="Areal", IF($G189="Ton",Landbrug!E$18,1),1)),1)*IF($F189="Grøntsager",IF($A189="Grøntsager i drivhus",Landbrug!E$51,1-Landbrug!E$51),1)</f>
        <v>#REF!</v>
      </c>
    </row>
    <row r="190" spans="1:10" x14ac:dyDescent="0.25">
      <c r="A190" t="str">
        <f>IF('[1]Processer - data'!A190&lt;&gt;"",'[1]Processer - data'!A190,"")</f>
        <v>Græsmark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OC6</v>
      </c>
      <c r="D190" t="str">
        <f>IF('[1]Processer - data'!D190&lt;&gt;"",'[1]Processer - data'!D190,"")</f>
        <v>Areal-græs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2" t="e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input'!$A$3:$A$230,$A$1)),IF(VLOOKUP($A190,[1]!Table1[#All],2,FALSE)="Resultat",SUMIF($F$1:$F189,$D190,H$1:H189)+SUMIF($F191:$F$490,$D190,H191:H$490),0))*'[1]Processer - data'!H190,"")*IF($C190&lt;&gt;"",IF($F190="Halm",Landbrug!C$16*Landbrug!C$17,IF(LEFT($D190,5)="Areal", IF($G190="Ton",Landbrug!C$18,1),1)),1)*IF($F190="Grøntsager",IF($A190="Grøntsager i drivhus",Landbrug!C$51,1-Landbrug!C$51),1)</f>
        <v>#REF!</v>
      </c>
      <c r="I190" s="303" t="e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input'!$A$3:$A$230,$A$1)),IF(VLOOKUP($A190,[1]!Table1[#All],2,FALSE)="Resultat",SUMIF($F$1:$F189,$D190,I$1:I189)+SUMIF($F191:$F$490,$D190,I191:I$490),0))*'[1]Processer - data'!I190,"")*IF($C190&lt;&gt;"",IF($F190="Halm",Landbrug!D$16*Landbrug!D$17,IF(LEFT($D190,5)="Areal", IF($G190="Ton",Landbrug!D$18,1),1)),1)*IF($F190="Grøntsager",IF($A190="Grøntsager i drivhus",Landbrug!D$51,1-Landbrug!D$51),1)</f>
        <v>#REF!</v>
      </c>
      <c r="J190" s="304" t="e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input'!$A$3:$A$230,$A$1)),IF(VLOOKUP($A190,[1]!Table1[#All],2,FALSE)="Resultat",SUMIF($F$1:$F189,$D190,J$1:J189)+SUMIF($F191:$F$490,$D190,J191:J$490),0))*'[1]Processer - data'!J190,"")*IF($C190&lt;&gt;"",IF($F190="Halm",Landbrug!E$16*Landbrug!E$17,IF(LEFT($D190,5)="Areal", IF($G190="Ton",Landbrug!E$18,1),1)),1)*IF($F190="Grøntsager",IF($A190="Grøntsager i drivhus",Landbrug!E$51,1-Landbrug!E$51),1)</f>
        <v>#REF!</v>
      </c>
    </row>
    <row r="191" spans="1:10" x14ac:dyDescent="0.25">
      <c r="A191" t="str">
        <f>IF('[1]Processer - data'!A191&lt;&gt;"",'[1]Processer - data'!A191,"")</f>
        <v>Græsmark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OC6</v>
      </c>
      <c r="D191" t="str">
        <f>IF('[1]Processer - data'!D191&lt;&gt;"",'[1]Processer - data'!D191,"")</f>
        <v>Areal-græs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2" t="e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input'!$A$3:$A$230,$A$1)),IF(VLOOKUP($A191,[1]!Table1[#All],2,FALSE)="Resultat",SUMIF($F$1:$F190,$D191,H$1:H190)+SUMIF($F192:$F$490,$D191,H192:H$490),0))*'[1]Processer - data'!H191,"")*IF($C191&lt;&gt;"",IF($F191="Halm",Landbrug!C$16*Landbrug!C$17,IF(LEFT($D191,5)="Areal", IF($G191="Ton",Landbrug!C$18,1),1)),1)*IF($F191="Grøntsager",IF($A191="Grøntsager i drivhus",Landbrug!C$51,1-Landbrug!C$51),1)</f>
        <v>#REF!</v>
      </c>
      <c r="I191" s="303" t="e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input'!$A$3:$A$230,$A$1)),IF(VLOOKUP($A191,[1]!Table1[#All],2,FALSE)="Resultat",SUMIF($F$1:$F190,$D191,I$1:I190)+SUMIF($F192:$F$490,$D191,I192:I$490),0))*'[1]Processer - data'!I191,"")*IF($C191&lt;&gt;"",IF($F191="Halm",Landbrug!D$16*Landbrug!D$17,IF(LEFT($D191,5)="Areal", IF($G191="Ton",Landbrug!D$18,1),1)),1)*IF($F191="Grøntsager",IF($A191="Grøntsager i drivhus",Landbrug!D$51,1-Landbrug!D$51),1)</f>
        <v>#REF!</v>
      </c>
      <c r="J191" s="304" t="e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input'!$A$3:$A$230,$A$1)),IF(VLOOKUP($A191,[1]!Table1[#All],2,FALSE)="Resultat",SUMIF($F$1:$F190,$D191,J$1:J190)+SUMIF($F192:$F$490,$D191,J192:J$490),0))*'[1]Processer - data'!J191,"")*IF($C191&lt;&gt;"",IF($F191="Halm",Landbrug!E$16*Landbrug!E$17,IF(LEFT($D191,5)="Areal", IF($G191="Ton",Landbrug!E$18,1),1)),1)*IF($F191="Grøntsager",IF($A191="Grøntsager i drivhus",Landbrug!E$51,1-Landbrug!E$51),1)</f>
        <v>#REF!</v>
      </c>
    </row>
    <row r="192" spans="1:10" x14ac:dyDescent="0.25">
      <c r="A192" t="str">
        <f>IF('[1]Processer - data'!A192&lt;&gt;"",'[1]Processer - data'!A192,"")</f>
        <v>Græsmark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OC12</v>
      </c>
      <c r="D192" t="str">
        <f>IF('[1]Processer - data'!D192&lt;&gt;"",'[1]Processer - data'!D192,"")</f>
        <v>Areal-græs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Græs</v>
      </c>
      <c r="G192" t="str">
        <f>IF('[1]Processer - data'!G192&lt;&gt;"",'[1]Processer - data'!G192,"")</f>
        <v>Ton</v>
      </c>
      <c r="H192" s="302" t="e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input'!$A$3:$A$230,$A$1)),IF(VLOOKUP($A192,[1]!Table1[#All],2,FALSE)="Resultat",SUMIF($F$1:$F191,$D192,H$1:H191)+SUMIF($F193:$F$490,$D192,H193:H$490),0))*'[1]Processer - data'!H192,"")*IF($C192&lt;&gt;"",IF($F192="Halm",Landbrug!C$16*Landbrug!C$17,IF(LEFT($D192,5)="Areal", IF($G192="Ton",Landbrug!C$18,1),1)),1)*IF($F192="Grøntsager",IF($A192="Grøntsager i drivhus",Landbrug!C$51,1-Landbrug!C$51),1)</f>
        <v>#REF!</v>
      </c>
      <c r="I192" s="303" t="e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input'!$A$3:$A$230,$A$1)),IF(VLOOKUP($A192,[1]!Table1[#All],2,FALSE)="Resultat",SUMIF($F$1:$F191,$D192,I$1:I191)+SUMIF($F193:$F$490,$D192,I193:I$490),0))*'[1]Processer - data'!I192,"")*IF($C192&lt;&gt;"",IF($F192="Halm",Landbrug!D$16*Landbrug!D$17,IF(LEFT($D192,5)="Areal", IF($G192="Ton",Landbrug!D$18,1),1)),1)*IF($F192="Grøntsager",IF($A192="Grøntsager i drivhus",Landbrug!D$51,1-Landbrug!D$51),1)</f>
        <v>#REF!</v>
      </c>
      <c r="J192" s="304" t="e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input'!$A$3:$A$230,$A$1)),IF(VLOOKUP($A192,[1]!Table1[#All],2,FALSE)="Resultat",SUMIF($F$1:$F191,$D192,J$1:J191)+SUMIF($F193:$F$490,$D192,J193:J$490),0))*'[1]Processer - data'!J192,"")*IF($C192&lt;&gt;"",IF($F192="Halm",Landbrug!E$16*Landbrug!E$17,IF(LEFT($D192,5)="Areal", IF($G192="Ton",Landbrug!E$18,1),1)),1)*IF($F192="Grøntsager",IF($A192="Grøntsager i drivhus",Landbrug!E$51,1-Landbrug!E$51),1)</f>
        <v>#REF!</v>
      </c>
    </row>
    <row r="193" spans="1:10" x14ac:dyDescent="0.25">
      <c r="A193" t="str">
        <f>IF('[1]Processer - data'!A193&lt;&gt;"",'[1]Processer - data'!A193,"")</f>
        <v>Græsmark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OC12</v>
      </c>
      <c r="D193" t="str">
        <f>IF('[1]Processer - data'!D193&lt;&gt;"",'[1]Processer - data'!D193,"")</f>
        <v>Areal-græs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2" t="e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input'!$A$3:$A$230,$A$1)),IF(VLOOKUP($A193,[1]!Table1[#All],2,FALSE)="Resultat",SUMIF($F$1:$F192,$D193,H$1:H192)+SUMIF($F194:$F$490,$D193,H194:H$490),0))*'[1]Processer - data'!H193,"")*IF($C193&lt;&gt;"",IF($F193="Halm",Landbrug!C$16*Landbrug!C$17,IF(LEFT($D193,5)="Areal", IF($G193="Ton",Landbrug!C$18,1),1)),1)*IF($F193="Grøntsager",IF($A193="Grøntsager i drivhus",Landbrug!C$51,1-Landbrug!C$51),1)</f>
        <v>#REF!</v>
      </c>
      <c r="I193" s="303" t="e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input'!$A$3:$A$230,$A$1)),IF(VLOOKUP($A193,[1]!Table1[#All],2,FALSE)="Resultat",SUMIF($F$1:$F192,$D193,I$1:I192)+SUMIF($F194:$F$490,$D193,I194:I$490),0))*'[1]Processer - data'!I193,"")*IF($C193&lt;&gt;"",IF($F193="Halm",Landbrug!D$16*Landbrug!D$17,IF(LEFT($D193,5)="Areal", IF($G193="Ton",Landbrug!D$18,1),1)),1)*IF($F193="Grøntsager",IF($A193="Grøntsager i drivhus",Landbrug!D$51,1-Landbrug!D$51),1)</f>
        <v>#REF!</v>
      </c>
      <c r="J193" s="304" t="e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input'!$A$3:$A$230,$A$1)),IF(VLOOKUP($A193,[1]!Table1[#All],2,FALSE)="Resultat",SUMIF($F$1:$F192,$D193,J$1:J192)+SUMIF($F194:$F$490,$D193,J194:J$490),0))*'[1]Processer - data'!J193,"")*IF($C193&lt;&gt;"",IF($F193="Halm",Landbrug!E$16*Landbrug!E$17,IF(LEFT($D193,5)="Areal", IF($G193="Ton",Landbrug!E$18,1),1)),1)*IF($F193="Grøntsager",IF($A193="Grøntsager i drivhus",Landbrug!E$51,1-Landbrug!E$51),1)</f>
        <v>#REF!</v>
      </c>
    </row>
    <row r="194" spans="1:10" x14ac:dyDescent="0.25">
      <c r="A194" t="str">
        <f>IF('[1]Processer - data'!A194&lt;&gt;"",'[1]Processer - data'!A194,"")</f>
        <v>Græsmark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OC12</v>
      </c>
      <c r="D194" t="str">
        <f>IF('[1]Processer - data'!D194&lt;&gt;"",'[1]Processer - data'!D194,"")</f>
        <v>Areal-græs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2" t="e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input'!$A$3:$A$230,$A$1)),IF(VLOOKUP($A194,[1]!Table1[#All],2,FALSE)="Resultat",SUMIF($F$1:$F193,$D194,H$1:H193)+SUMIF($F195:$F$490,$D194,H195:H$490),0))*'[1]Processer - data'!H194,"")*IF($C194&lt;&gt;"",IF($F194="Halm",Landbrug!C$16*Landbrug!C$17,IF(LEFT($D194,5)="Areal", IF($G194="Ton",Landbrug!C$18,1),1)),1)*IF($F194="Grøntsager",IF($A194="Grøntsager i drivhus",Landbrug!C$51,1-Landbrug!C$51),1)</f>
        <v>#REF!</v>
      </c>
      <c r="I194" s="303" t="e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input'!$A$3:$A$230,$A$1)),IF(VLOOKUP($A194,[1]!Table1[#All],2,FALSE)="Resultat",SUMIF($F$1:$F193,$D194,I$1:I193)+SUMIF($F195:$F$490,$D194,I195:I$490),0))*'[1]Processer - data'!I194,"")*IF($C194&lt;&gt;"",IF($F194="Halm",Landbrug!D$16*Landbrug!D$17,IF(LEFT($D194,5)="Areal", IF($G194="Ton",Landbrug!D$18,1),1)),1)*IF($F194="Grøntsager",IF($A194="Grøntsager i drivhus",Landbrug!D$51,1-Landbrug!D$51),1)</f>
        <v>#REF!</v>
      </c>
      <c r="J194" s="304" t="e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input'!$A$3:$A$230,$A$1)),IF(VLOOKUP($A194,[1]!Table1[#All],2,FALSE)="Resultat",SUMIF($F$1:$F193,$D194,J$1:J193)+SUMIF($F195:$F$490,$D194,J195:J$490),0))*'[1]Processer - data'!J194,"")*IF($C194&lt;&gt;"",IF($F194="Halm",Landbrug!E$16*Landbrug!E$17,IF(LEFT($D194,5)="Areal", IF($G194="Ton",Landbrug!E$18,1),1)),1)*IF($F194="Grøntsager",IF($A194="Grøntsager i drivhus",Landbrug!E$51,1-Landbrug!E$51),1)</f>
        <v>#REF!</v>
      </c>
    </row>
    <row r="195" spans="1:10" x14ac:dyDescent="0.25">
      <c r="A195" t="str">
        <f>IF('[1]Processer - data'!A195&lt;&gt;"",'[1]Processer - data'!A195,"")</f>
        <v>Græsmark</v>
      </c>
      <c r="B195" t="str">
        <f>IF('[1]Processer - data'!B195&lt;&gt;"",'[1]Processer - data'!B195,"")</f>
        <v>Økologisk</v>
      </c>
      <c r="C195" t="str">
        <f>IF('[1]Processer - data'!C195&lt;&gt;"",'[1]Processer - data'!C195,"")</f>
        <v>JB1-10</v>
      </c>
      <c r="D195" t="str">
        <f>IF('[1]Processer - data'!D195&lt;&gt;"",'[1]Processer - data'!D195,"")</f>
        <v>Areal-græs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Græs</v>
      </c>
      <c r="G195" t="str">
        <f>IF('[1]Processer - data'!G195&lt;&gt;"",'[1]Processer - data'!G195,"")</f>
        <v>Ton</v>
      </c>
      <c r="H195" s="302" t="e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input'!$A$3:$A$230,$A$1)),IF(VLOOKUP($A195,[1]!Table1[#All],2,FALSE)="Resultat",SUMIF($F$1:$F194,$D195,H$1:H194)+SUMIF($F196:$F$490,$D195,H196:H$490),0))*'[1]Processer - data'!H195,"")*IF($C195&lt;&gt;"",IF($F195="Halm",Landbrug!C$16*Landbrug!C$17,IF(LEFT($D195,5)="Areal", IF($G195="Ton",Landbrug!C$18,1),1)),1)*IF($F195="Grøntsager",IF($A195="Grøntsager i drivhus",Landbrug!C$51,1-Landbrug!C$51),1)</f>
        <v>#REF!</v>
      </c>
      <c r="I195" s="303" t="e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input'!$A$3:$A$230,$A$1)),IF(VLOOKUP($A195,[1]!Table1[#All],2,FALSE)="Resultat",SUMIF($F$1:$F194,$D195,I$1:I194)+SUMIF($F196:$F$490,$D195,I196:I$490),0))*'[1]Processer - data'!I195,"")*IF($C195&lt;&gt;"",IF($F195="Halm",Landbrug!D$16*Landbrug!D$17,IF(LEFT($D195,5)="Areal", IF($G195="Ton",Landbrug!D$18,1),1)),1)*IF($F195="Grøntsager",IF($A195="Grøntsager i drivhus",Landbrug!D$51,1-Landbrug!D$51),1)</f>
        <v>#REF!</v>
      </c>
      <c r="J195" s="304" t="e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input'!$A$3:$A$230,$A$1)),IF(VLOOKUP($A195,[1]!Table1[#All],2,FALSE)="Resultat",SUMIF($F$1:$F194,$D195,J$1:J194)+SUMIF($F196:$F$490,$D195,J196:J$490),0))*'[1]Processer - data'!J195,"")*IF($C195&lt;&gt;"",IF($F195="Halm",Landbrug!E$16*Landbrug!E$17,IF(LEFT($D195,5)="Areal", IF($G195="Ton",Landbrug!E$18,1),1)),1)*IF($F195="Grøntsager",IF($A195="Grøntsager i drivhus",Landbrug!E$51,1-Landbrug!E$51),1)</f>
        <v>#REF!</v>
      </c>
    </row>
    <row r="196" spans="1:10" x14ac:dyDescent="0.25">
      <c r="A196" t="str">
        <f>IF('[1]Processer - data'!A196&lt;&gt;"",'[1]Processer - data'!A196,"")</f>
        <v>Græsmark</v>
      </c>
      <c r="B196" t="str">
        <f>IF('[1]Processer - data'!B196&lt;&gt;"",'[1]Processer - data'!B196,"")</f>
        <v>Økologisk</v>
      </c>
      <c r="C196" t="str">
        <f>IF('[1]Processer - data'!C196&lt;&gt;"",'[1]Processer - data'!C196,"")</f>
        <v>JB1-10</v>
      </c>
      <c r="D196" t="str">
        <f>IF('[1]Processer - data'!D196&lt;&gt;"",'[1]Processer - data'!D196,"")</f>
        <v>Areal-græs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2" t="e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input'!$A$3:$A$230,$A$1)),IF(VLOOKUP($A196,[1]!Table1[#All],2,FALSE)="Resultat",SUMIF($F$1:$F195,$D196,H$1:H195)+SUMIF($F197:$F$490,$D196,H197:H$490),0))*'[1]Processer - data'!H196,"")*IF($C196&lt;&gt;"",IF($F196="Halm",Landbrug!C$16*Landbrug!C$17,IF(LEFT($D196,5)="Areal", IF($G196="Ton",Landbrug!C$18,1),1)),1)*IF($F196="Grøntsager",IF($A196="Grøntsager i drivhus",Landbrug!C$51,1-Landbrug!C$51),1)</f>
        <v>#REF!</v>
      </c>
      <c r="I196" s="303" t="e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input'!$A$3:$A$230,$A$1)),IF(VLOOKUP($A196,[1]!Table1[#All],2,FALSE)="Resultat",SUMIF($F$1:$F195,$D196,I$1:I195)+SUMIF($F197:$F$490,$D196,I197:I$490),0))*'[1]Processer - data'!I196,"")*IF($C196&lt;&gt;"",IF($F196="Halm",Landbrug!D$16*Landbrug!D$17,IF(LEFT($D196,5)="Areal", IF($G196="Ton",Landbrug!D$18,1),1)),1)*IF($F196="Grøntsager",IF($A196="Grøntsager i drivhus",Landbrug!D$51,1-Landbrug!D$51),1)</f>
        <v>#REF!</v>
      </c>
      <c r="J196" s="304" t="e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input'!$A$3:$A$230,$A$1)),IF(VLOOKUP($A196,[1]!Table1[#All],2,FALSE)="Resultat",SUMIF($F$1:$F195,$D196,J$1:J195)+SUMIF($F197:$F$490,$D196,J197:J$490),0))*'[1]Processer - data'!J196,"")*IF($C196&lt;&gt;"",IF($F196="Halm",Landbrug!E$16*Landbrug!E$17,IF(LEFT($D196,5)="Areal", IF($G196="Ton",Landbrug!E$18,1),1)),1)*IF($F196="Grøntsager",IF($A196="Grøntsager i drivhus",Landbrug!E$51,1-Landbrug!E$51),1)</f>
        <v>#REF!</v>
      </c>
    </row>
    <row r="197" spans="1:10" x14ac:dyDescent="0.25">
      <c r="A197" t="str">
        <f>IF('[1]Processer - data'!A197&lt;&gt;"",'[1]Processer - data'!A197,"")</f>
        <v>Græsmark</v>
      </c>
      <c r="B197" t="str">
        <f>IF('[1]Processer - data'!B197&lt;&gt;"",'[1]Processer - data'!B197,"")</f>
        <v>Økologisk</v>
      </c>
      <c r="C197" t="str">
        <f>IF('[1]Processer - data'!C197&lt;&gt;"",'[1]Processer - data'!C197,"")</f>
        <v>JB1-10</v>
      </c>
      <c r="D197" t="str">
        <f>IF('[1]Processer - data'!D197&lt;&gt;"",'[1]Processer - data'!D197,"")</f>
        <v>Areal-græs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2" t="e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input'!$A$3:$A$230,$A$1)),IF(VLOOKUP($A197,[1]!Table1[#All],2,FALSE)="Resultat",SUMIF($F$1:$F196,$D197,H$1:H196)+SUMIF($F198:$F$490,$D197,H198:H$490),0))*'[1]Processer - data'!H197,"")*IF($C197&lt;&gt;"",IF($F197="Halm",Landbrug!C$16*Landbrug!C$17,IF(LEFT($D197,5)="Areal", IF($G197="Ton",Landbrug!C$18,1),1)),1)*IF($F197="Grøntsager",IF($A197="Grøntsager i drivhus",Landbrug!C$51,1-Landbrug!C$51),1)</f>
        <v>#REF!</v>
      </c>
      <c r="I197" s="303" t="e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input'!$A$3:$A$230,$A$1)),IF(VLOOKUP($A197,[1]!Table1[#All],2,FALSE)="Resultat",SUMIF($F$1:$F196,$D197,I$1:I196)+SUMIF($F198:$F$490,$D197,I198:I$490),0))*'[1]Processer - data'!I197,"")*IF($C197&lt;&gt;"",IF($F197="Halm",Landbrug!D$16*Landbrug!D$17,IF(LEFT($D197,5)="Areal", IF($G197="Ton",Landbrug!D$18,1),1)),1)*IF($F197="Grøntsager",IF($A197="Grøntsager i drivhus",Landbrug!D$51,1-Landbrug!D$51),1)</f>
        <v>#REF!</v>
      </c>
      <c r="J197" s="304" t="e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input'!$A$3:$A$230,$A$1)),IF(VLOOKUP($A197,[1]!Table1[#All],2,FALSE)="Resultat",SUMIF($F$1:$F196,$D197,J$1:J196)+SUMIF($F198:$F$490,$D197,J198:J$490),0))*'[1]Processer - data'!J197,"")*IF($C197&lt;&gt;"",IF($F197="Halm",Landbrug!E$16*Landbrug!E$17,IF(LEFT($D197,5)="Areal", IF($G197="Ton",Landbrug!E$18,1),1)),1)*IF($F197="Grøntsager",IF($A197="Grøntsager i drivhus",Landbrug!E$51,1-Landbrug!E$51),1)</f>
        <v>#REF!</v>
      </c>
    </row>
    <row r="198" spans="1:10" x14ac:dyDescent="0.25">
      <c r="A198" t="str">
        <f>IF('[1]Processer - data'!A198&lt;&gt;"",'[1]Processer - data'!A198,"")</f>
        <v>Græsmark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OC6</v>
      </c>
      <c r="D198" t="str">
        <f>IF('[1]Processer - data'!D198&lt;&gt;"",'[1]Processer - data'!D198,"")</f>
        <v>Areal-græs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Græs</v>
      </c>
      <c r="G198" t="str">
        <f>IF('[1]Processer - data'!G198&lt;&gt;"",'[1]Processer - data'!G198,"")</f>
        <v>Ton</v>
      </c>
      <c r="H198" s="302" t="e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input'!$A$3:$A$230,$A$1)),IF(VLOOKUP($A198,[1]!Table1[#All],2,FALSE)="Resultat",SUMIF($F$1:$F197,$D198,H$1:H197)+SUMIF($F199:$F$490,$D198,H199:H$490),0))*'[1]Processer - data'!H198,"")*IF($C198&lt;&gt;"",IF($F198="Halm",Landbrug!C$16*Landbrug!C$17,IF(LEFT($D198,5)="Areal", IF($G198="Ton",Landbrug!C$18,1),1)),1)*IF($F198="Grøntsager",IF($A198="Grøntsager i drivhus",Landbrug!C$51,1-Landbrug!C$51),1)</f>
        <v>#REF!</v>
      </c>
      <c r="I198" s="303" t="e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input'!$A$3:$A$230,$A$1)),IF(VLOOKUP($A198,[1]!Table1[#All],2,FALSE)="Resultat",SUMIF($F$1:$F197,$D198,I$1:I197)+SUMIF($F199:$F$490,$D198,I199:I$490),0))*'[1]Processer - data'!I198,"")*IF($C198&lt;&gt;"",IF($F198="Halm",Landbrug!D$16*Landbrug!D$17,IF(LEFT($D198,5)="Areal", IF($G198="Ton",Landbrug!D$18,1),1)),1)*IF($F198="Grøntsager",IF($A198="Grøntsager i drivhus",Landbrug!D$51,1-Landbrug!D$51),1)</f>
        <v>#REF!</v>
      </c>
      <c r="J198" s="304" t="e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input'!$A$3:$A$230,$A$1)),IF(VLOOKUP($A198,[1]!Table1[#All],2,FALSE)="Resultat",SUMIF($F$1:$F197,$D198,J$1:J197)+SUMIF($F199:$F$490,$D198,J199:J$490),0))*'[1]Processer - data'!J198,"")*IF($C198&lt;&gt;"",IF($F198="Halm",Landbrug!E$16*Landbrug!E$17,IF(LEFT($D198,5)="Areal", IF($G198="Ton",Landbrug!E$18,1),1)),1)*IF($F198="Grøntsager",IF($A198="Grøntsager i drivhus",Landbrug!E$51,1-Landbrug!E$51),1)</f>
        <v>#REF!</v>
      </c>
    </row>
    <row r="199" spans="1:10" x14ac:dyDescent="0.25">
      <c r="A199" t="str">
        <f>IF('[1]Processer - data'!A199&lt;&gt;"",'[1]Processer - data'!A199,"")</f>
        <v>Græsmark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OC6</v>
      </c>
      <c r="D199" t="str">
        <f>IF('[1]Processer - data'!D199&lt;&gt;"",'[1]Processer - data'!D199,"")</f>
        <v>Areal-græs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2" t="e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input'!$A$3:$A$230,$A$1)),IF(VLOOKUP($A199,[1]!Table1[#All],2,FALSE)="Resultat",SUMIF($F$1:$F198,$D199,H$1:H198)+SUMIF($F200:$F$490,$D199,H200:H$490),0))*'[1]Processer - data'!H199,"")*IF($C199&lt;&gt;"",IF($F199="Halm",Landbrug!C$16*Landbrug!C$17,IF(LEFT($D199,5)="Areal", IF($G199="Ton",Landbrug!C$18,1),1)),1)*IF($F199="Grøntsager",IF($A199="Grøntsager i drivhus",Landbrug!C$51,1-Landbrug!C$51),1)</f>
        <v>#REF!</v>
      </c>
      <c r="I199" s="303" t="e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input'!$A$3:$A$230,$A$1)),IF(VLOOKUP($A199,[1]!Table1[#All],2,FALSE)="Resultat",SUMIF($F$1:$F198,$D199,I$1:I198)+SUMIF($F200:$F$490,$D199,I200:I$490),0))*'[1]Processer - data'!I199,"")*IF($C199&lt;&gt;"",IF($F199="Halm",Landbrug!D$16*Landbrug!D$17,IF(LEFT($D199,5)="Areal", IF($G199="Ton",Landbrug!D$18,1),1)),1)*IF($F199="Grøntsager",IF($A199="Grøntsager i drivhus",Landbrug!D$51,1-Landbrug!D$51),1)</f>
        <v>#REF!</v>
      </c>
      <c r="J199" s="304" t="e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input'!$A$3:$A$230,$A$1)),IF(VLOOKUP($A199,[1]!Table1[#All],2,FALSE)="Resultat",SUMIF($F$1:$F198,$D199,J$1:J198)+SUMIF($F200:$F$490,$D199,J200:J$490),0))*'[1]Processer - data'!J199,"")*IF($C199&lt;&gt;"",IF($F199="Halm",Landbrug!E$16*Landbrug!E$17,IF(LEFT($D199,5)="Areal", IF($G199="Ton",Landbrug!E$18,1),1)),1)*IF($F199="Grøntsager",IF($A199="Grøntsager i drivhus",Landbrug!E$51,1-Landbrug!E$51),1)</f>
        <v>#REF!</v>
      </c>
    </row>
    <row r="200" spans="1:10" x14ac:dyDescent="0.25">
      <c r="A200" t="str">
        <f>IF('[1]Processer - data'!A200&lt;&gt;"",'[1]Processer - data'!A200,"")</f>
        <v>Græsmark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OC6</v>
      </c>
      <c r="D200" t="str">
        <f>IF('[1]Processer - data'!D200&lt;&gt;"",'[1]Processer - data'!D200,"")</f>
        <v>Areal-græs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2" t="e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input'!$A$3:$A$230,$A$1)),IF(VLOOKUP($A200,[1]!Table1[#All],2,FALSE)="Resultat",SUMIF($F$1:$F199,$D200,H$1:H199)+SUMIF($F201:$F$490,$D200,H201:H$490),0))*'[1]Processer - data'!H200,"")*IF($C200&lt;&gt;"",IF($F200="Halm",Landbrug!C$16*Landbrug!C$17,IF(LEFT($D200,5)="Areal", IF($G200="Ton",Landbrug!C$18,1),1)),1)*IF($F200="Grøntsager",IF($A200="Grøntsager i drivhus",Landbrug!C$51,1-Landbrug!C$51),1)</f>
        <v>#REF!</v>
      </c>
      <c r="I200" s="303" t="e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input'!$A$3:$A$230,$A$1)),IF(VLOOKUP($A200,[1]!Table1[#All],2,FALSE)="Resultat",SUMIF($F$1:$F199,$D200,I$1:I199)+SUMIF($F201:$F$490,$D200,I201:I$490),0))*'[1]Processer - data'!I200,"")*IF($C200&lt;&gt;"",IF($F200="Halm",Landbrug!D$16*Landbrug!D$17,IF(LEFT($D200,5)="Areal", IF($G200="Ton",Landbrug!D$18,1),1)),1)*IF($F200="Grøntsager",IF($A200="Grøntsager i drivhus",Landbrug!D$51,1-Landbrug!D$51),1)</f>
        <v>#REF!</v>
      </c>
      <c r="J200" s="304" t="e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input'!$A$3:$A$230,$A$1)),IF(VLOOKUP($A200,[1]!Table1[#All],2,FALSE)="Resultat",SUMIF($F$1:$F199,$D200,J$1:J199)+SUMIF($F201:$F$490,$D200,J201:J$490),0))*'[1]Processer - data'!J200,"")*IF($C200&lt;&gt;"",IF($F200="Halm",Landbrug!E$16*Landbrug!E$17,IF(LEFT($D200,5)="Areal", IF($G200="Ton",Landbrug!E$18,1),1)),1)*IF($F200="Grøntsager",IF($A200="Grøntsager i drivhus",Landbrug!E$51,1-Landbrug!E$51),1)</f>
        <v>#REF!</v>
      </c>
    </row>
    <row r="201" spans="1:10" x14ac:dyDescent="0.25">
      <c r="A201" t="str">
        <f>IF('[1]Processer - data'!A201&lt;&gt;"",'[1]Processer - data'!A201,"")</f>
        <v>Græsmark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OC12</v>
      </c>
      <c r="D201" t="str">
        <f>IF('[1]Processer - data'!D201&lt;&gt;"",'[1]Processer - data'!D201,"")</f>
        <v>Areal-græs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Græs</v>
      </c>
      <c r="G201" t="str">
        <f>IF('[1]Processer - data'!G201&lt;&gt;"",'[1]Processer - data'!G201,"")</f>
        <v>Ton</v>
      </c>
      <c r="H201" s="302" t="e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input'!$A$3:$A$230,$A$1)),IF(VLOOKUP($A201,[1]!Table1[#All],2,FALSE)="Resultat",SUMIF($F$1:$F200,$D201,H$1:H200)+SUMIF($F202:$F$490,$D201,H202:H$490),0))*'[1]Processer - data'!H201,"")*IF($C201&lt;&gt;"",IF($F201="Halm",Landbrug!C$16*Landbrug!C$17,IF(LEFT($D201,5)="Areal", IF($G201="Ton",Landbrug!C$18,1),1)),1)*IF($F201="Grøntsager",IF($A201="Grøntsager i drivhus",Landbrug!C$51,1-Landbrug!C$51),1)</f>
        <v>#REF!</v>
      </c>
      <c r="I201" s="303" t="e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input'!$A$3:$A$230,$A$1)),IF(VLOOKUP($A201,[1]!Table1[#All],2,FALSE)="Resultat",SUMIF($F$1:$F200,$D201,I$1:I200)+SUMIF($F202:$F$490,$D201,I202:I$490),0))*'[1]Processer - data'!I201,"")*IF($C201&lt;&gt;"",IF($F201="Halm",Landbrug!D$16*Landbrug!D$17,IF(LEFT($D201,5)="Areal", IF($G201="Ton",Landbrug!D$18,1),1)),1)*IF($F201="Grøntsager",IF($A201="Grøntsager i drivhus",Landbrug!D$51,1-Landbrug!D$51),1)</f>
        <v>#REF!</v>
      </c>
      <c r="J201" s="304" t="e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input'!$A$3:$A$230,$A$1)),IF(VLOOKUP($A201,[1]!Table1[#All],2,FALSE)="Resultat",SUMIF($F$1:$F200,$D201,J$1:J200)+SUMIF($F202:$F$490,$D201,J202:J$490),0))*'[1]Processer - data'!J201,"")*IF($C201&lt;&gt;"",IF($F201="Halm",Landbrug!E$16*Landbrug!E$17,IF(LEFT($D201,5)="Areal", IF($G201="Ton",Landbrug!E$18,1),1)),1)*IF($F201="Grøntsager",IF($A201="Grøntsager i drivhus",Landbrug!E$51,1-Landbrug!E$51),1)</f>
        <v>#REF!</v>
      </c>
    </row>
    <row r="202" spans="1:10" x14ac:dyDescent="0.25">
      <c r="A202" t="str">
        <f>IF('[1]Processer - data'!A202&lt;&gt;"",'[1]Processer - data'!A202,"")</f>
        <v>Græsmark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OC12</v>
      </c>
      <c r="D202" t="str">
        <f>IF('[1]Processer - data'!D202&lt;&gt;"",'[1]Processer - data'!D202,"")</f>
        <v>Areal-græs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2" t="e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input'!$A$3:$A$230,$A$1)),IF(VLOOKUP($A202,[1]!Table1[#All],2,FALSE)="Resultat",SUMIF($F$1:$F201,$D202,H$1:H201)+SUMIF($F203:$F$490,$D202,H203:H$490),0))*'[1]Processer - data'!H202,"")*IF($C202&lt;&gt;"",IF($F202="Halm",Landbrug!C$16*Landbrug!C$17,IF(LEFT($D202,5)="Areal", IF($G202="Ton",Landbrug!C$18,1),1)),1)*IF($F202="Grøntsager",IF($A202="Grøntsager i drivhus",Landbrug!C$51,1-Landbrug!C$51),1)</f>
        <v>#REF!</v>
      </c>
      <c r="I202" s="303" t="e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input'!$A$3:$A$230,$A$1)),IF(VLOOKUP($A202,[1]!Table1[#All],2,FALSE)="Resultat",SUMIF($F$1:$F201,$D202,I$1:I201)+SUMIF($F203:$F$490,$D202,I203:I$490),0))*'[1]Processer - data'!I202,"")*IF($C202&lt;&gt;"",IF($F202="Halm",Landbrug!D$16*Landbrug!D$17,IF(LEFT($D202,5)="Areal", IF($G202="Ton",Landbrug!D$18,1),1)),1)*IF($F202="Grøntsager",IF($A202="Grøntsager i drivhus",Landbrug!D$51,1-Landbrug!D$51),1)</f>
        <v>#REF!</v>
      </c>
      <c r="J202" s="304" t="e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input'!$A$3:$A$230,$A$1)),IF(VLOOKUP($A202,[1]!Table1[#All],2,FALSE)="Resultat",SUMIF($F$1:$F201,$D202,J$1:J201)+SUMIF($F203:$F$490,$D202,J203:J$490),0))*'[1]Processer - data'!J202,"")*IF($C202&lt;&gt;"",IF($F202="Halm",Landbrug!E$16*Landbrug!E$17,IF(LEFT($D202,5)="Areal", IF($G202="Ton",Landbrug!E$18,1),1)),1)*IF($F202="Grøntsager",IF($A202="Grøntsager i drivhus",Landbrug!E$51,1-Landbrug!E$51),1)</f>
        <v>#REF!</v>
      </c>
    </row>
    <row r="203" spans="1:10" x14ac:dyDescent="0.25">
      <c r="A203" t="str">
        <f>IF('[1]Processer - data'!A203&lt;&gt;"",'[1]Processer - data'!A203,"")</f>
        <v>Græsmark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OC12</v>
      </c>
      <c r="D203" t="str">
        <f>IF('[1]Processer - data'!D203&lt;&gt;"",'[1]Processer - data'!D203,"")</f>
        <v>Areal-græs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2" t="e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input'!$A$3:$A$230,$A$1)),IF(VLOOKUP($A203,[1]!Table1[#All],2,FALSE)="Resultat",SUMIF($F$1:$F202,$D203,H$1:H202)+SUMIF($F204:$F$490,$D203,H204:H$490),0))*'[1]Processer - data'!H203,"")*IF($C203&lt;&gt;"",IF($F203="Halm",Landbrug!C$16*Landbrug!C$17,IF(LEFT($D203,5)="Areal", IF($G203="Ton",Landbrug!C$18,1),1)),1)*IF($F203="Grøntsager",IF($A203="Grøntsager i drivhus",Landbrug!C$51,1-Landbrug!C$51),1)</f>
        <v>#REF!</v>
      </c>
      <c r="I203" s="303" t="e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input'!$A$3:$A$230,$A$1)),IF(VLOOKUP($A203,[1]!Table1[#All],2,FALSE)="Resultat",SUMIF($F$1:$F202,$D203,I$1:I202)+SUMIF($F204:$F$490,$D203,I204:I$490),0))*'[1]Processer - data'!I203,"")*IF($C203&lt;&gt;"",IF($F203="Halm",Landbrug!D$16*Landbrug!D$17,IF(LEFT($D203,5)="Areal", IF($G203="Ton",Landbrug!D$18,1),1)),1)*IF($F203="Grøntsager",IF($A203="Grøntsager i drivhus",Landbrug!D$51,1-Landbrug!D$51),1)</f>
        <v>#REF!</v>
      </c>
      <c r="J203" s="304" t="e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input'!$A$3:$A$230,$A$1)),IF(VLOOKUP($A203,[1]!Table1[#All],2,FALSE)="Resultat",SUMIF($F$1:$F202,$D203,J$1:J202)+SUMIF($F204:$F$490,$D203,J204:J$490),0))*'[1]Processer - data'!J203,"")*IF($C203&lt;&gt;"",IF($F203="Halm",Landbrug!E$16*Landbrug!E$17,IF(LEFT($D203,5)="Areal", IF($G203="Ton",Landbrug!E$18,1),1)),1)*IF($F203="Grøntsager",IF($A203="Grøntsager i drivhus",Landbrug!E$51,1-Landbrug!E$51),1)</f>
        <v>#REF!</v>
      </c>
    </row>
    <row r="204" spans="1:10" x14ac:dyDescent="0.25">
      <c r="A204" t="str">
        <f>IF('[1]Processer - data'!A204&lt;&gt;"",'[1]Processer - data'!A204,"")</f>
        <v>Bælgsædsmark</v>
      </c>
      <c r="B204" t="str">
        <f>IF('[1]Processer - data'!B204&lt;&gt;"",'[1]Processer - data'!B204,"")</f>
        <v>Konventionel</v>
      </c>
      <c r="C204" t="str">
        <f>IF('[1]Processer - data'!C204&lt;&gt;"",'[1]Processer - data'!C204,"")</f>
        <v>JB1-10</v>
      </c>
      <c r="D204" t="str">
        <f>IF('[1]Processer - data'!D204&lt;&gt;"",'[1]Processer - data'!D204,"")</f>
        <v>Areal-bælgsæd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Bælgsæd</v>
      </c>
      <c r="G204" t="str">
        <f>IF('[1]Processer - data'!G204&lt;&gt;"",'[1]Processer - data'!G204,"")</f>
        <v>Ton</v>
      </c>
      <c r="H204" s="302" t="e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input'!$A$3:$A$230,$A$1)),IF(VLOOKUP($A204,[1]!Table1[#All],2,FALSE)="Resultat",SUMIF($F$1:$F203,$D204,H$1:H203)+SUMIF($F206:$F$490,$D204,H206:H$490),0))*'[1]Processer - data'!H204,"")*IF($C204&lt;&gt;"",IF($F204="Halm",Landbrug!C$16*Landbrug!C$17,IF(LEFT($D204,5)="Areal", IF($G204="Ton",Landbrug!C$18,1),1)),1)*IF($F204="Grøntsager",IF($A204="Grøntsager i drivhus",Landbrug!C$51,1-Landbrug!C$51),1)</f>
        <v>#REF!</v>
      </c>
      <c r="I204" s="303" t="e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input'!$A$3:$A$230,$A$1)),IF(VLOOKUP($A204,[1]!Table1[#All],2,FALSE)="Resultat",SUMIF($F$1:$F203,$D204,I$1:I203)+SUMIF($F206:$F$490,$D204,I206:I$490),0))*'[1]Processer - data'!I204,"")*IF($C204&lt;&gt;"",IF($F204="Halm",Landbrug!D$16*Landbrug!D$17,IF(LEFT($D204,5)="Areal", IF($G204="Ton",Landbrug!D$18,1),1)),1)*IF($F204="Grøntsager",IF($A204="Grøntsager i drivhus",Landbrug!D$51,1-Landbrug!D$51),1)</f>
        <v>#REF!</v>
      </c>
      <c r="J204" s="304" t="e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input'!$A$3:$A$230,$A$1)),IF(VLOOKUP($A204,[1]!Table1[#All],2,FALSE)="Resultat",SUMIF($F$1:$F203,$D204,J$1:J203)+SUMIF($F206:$F$490,$D204,J206:J$490),0))*'[1]Processer - data'!J204,"")*IF($C204&lt;&gt;"",IF($F204="Halm",Landbrug!E$16*Landbrug!E$17,IF(LEFT($D204,5)="Areal", IF($G204="Ton",Landbrug!E$18,1),1)),1)*IF($F204="Grøntsager",IF($A204="Grøntsager i drivhus",Landbrug!E$51,1-Landbrug!E$51),1)</f>
        <v>#REF!</v>
      </c>
    </row>
    <row r="205" spans="1:10" x14ac:dyDescent="0.25">
      <c r="A205" t="str">
        <f>IF('[1]Processer - data'!A205&lt;&gt;"",'[1]Processer - data'!A205,"")</f>
        <v>Bælgsædsmark</v>
      </c>
      <c r="B205" t="str">
        <f>IF('[1]Processer - data'!B205&lt;&gt;"",'[1]Processer - data'!B205,"")</f>
        <v>Konventionel</v>
      </c>
      <c r="C205" t="str">
        <f>IF('[1]Processer - data'!C205&lt;&gt;"",'[1]Processer - data'!C205,"")</f>
        <v>JB1-10</v>
      </c>
      <c r="D205" t="str">
        <f>IF('[1]Processer - data'!D205&lt;&gt;"",'[1]Processer - data'!D205,"")</f>
        <v>Areal-bælgsæd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Halm</v>
      </c>
      <c r="G205" t="str">
        <f>IF('[1]Processer - data'!G205&lt;&gt;"",'[1]Processer - data'!G205,"")</f>
        <v>Ton</v>
      </c>
      <c r="H205" s="302" t="e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input'!$A$3:$A$230,$A$1)),IF(VLOOKUP($A205,[1]!Table1[#All],2,FALSE)="Resultat",SUMIF($F$1:$F204,$D205,H$1:H204)+SUMIF($F207:$F$490,$D205,H207:H$490),0))*'[1]Processer - data'!H205,"")*IF($C205&lt;&gt;"",IF($F205="Halm",Landbrug!C$16*Landbrug!C$17,IF(LEFT($D205,5)="Areal", IF($G205="Ton",Landbrug!C$18,1),1)),1)*IF($F205="Grøntsager",IF($A205="Grøntsager i drivhus",Landbrug!C$51,1-Landbrug!C$51),1)</f>
        <v>#REF!</v>
      </c>
      <c r="I205" s="303" t="e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input'!$A$3:$A$230,$A$1)),IF(VLOOKUP($A205,[1]!Table1[#All],2,FALSE)="Resultat",SUMIF($F$1:$F204,$D205,I$1:I204)+SUMIF($F207:$F$490,$D205,I207:I$490),0))*'[1]Processer - data'!I205,"")*IF($C205&lt;&gt;"",IF($F205="Halm",Landbrug!D$16*Landbrug!D$17,IF(LEFT($D205,5)="Areal", IF($G205="Ton",Landbrug!D$18,1),1)),1)*IF($F205="Grøntsager",IF($A205="Grøntsager i drivhus",Landbrug!D$51,1-Landbrug!D$51),1)</f>
        <v>#REF!</v>
      </c>
      <c r="J205" s="304" t="e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input'!$A$3:$A$230,$A$1)),IF(VLOOKUP($A205,[1]!Table1[#All],2,FALSE)="Resultat",SUMIF($F$1:$F204,$D205,J$1:J204)+SUMIF($F207:$F$490,$D205,J207:J$490),0))*'[1]Processer - data'!J205,"")*IF($C205&lt;&gt;"",IF($F205="Halm",Landbrug!E$16*Landbrug!E$17,IF(LEFT($D205,5)="Areal", IF($G205="Ton",Landbrug!E$18,1),1)),1)*IF($F205="Grøntsager",IF($A205="Grøntsager i drivhus",Landbrug!E$51,1-Landbrug!E$51),1)</f>
        <v>#REF!</v>
      </c>
    </row>
    <row r="206" spans="1:10" x14ac:dyDescent="0.25">
      <c r="A206" t="str">
        <f>IF('[1]Processer - data'!A206&lt;&gt;"",'[1]Processer - data'!A206,"")</f>
        <v>Bælgsædsmark</v>
      </c>
      <c r="B206" t="str">
        <f>IF('[1]Processer - data'!B206&lt;&gt;"",'[1]Processer - data'!B206,"")</f>
        <v>Konventionel</v>
      </c>
      <c r="C206" t="str">
        <f>IF('[1]Processer - data'!C206&lt;&gt;"",'[1]Processer - data'!C206,"")</f>
        <v>JB1-10</v>
      </c>
      <c r="D206" t="str">
        <f>IF('[1]Processer - data'!D206&lt;&gt;"",'[1]Processer - data'!D206,"")</f>
        <v>Areal-bælgsæd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Gødning</v>
      </c>
      <c r="G206" t="str">
        <f>IF('[1]Processer - data'!G206&lt;&gt;"",'[1]Processer - data'!G206,"")</f>
        <v>kg N</v>
      </c>
      <c r="H206" s="302" t="e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input'!$A$3:$A$230,$A$1)),IF(VLOOKUP($A206,[1]!Table1[#All],2,FALSE)="Resultat",SUMIF($F$1:$F205,$D206,H$1:H205)+SUMIF($F208:$F$490,$D206,H208:H$490),0))*'[1]Processer - data'!H206,"")*IF($C206&lt;&gt;"",IF($F206="Halm",Landbrug!C$16*Landbrug!C$17,IF(LEFT($D206,5)="Areal", IF($G206="Ton",Landbrug!C$18,1),1)),1)*IF($F206="Grøntsager",IF($A206="Grøntsager i drivhus",Landbrug!C$51,1-Landbrug!C$51),1)</f>
        <v>#REF!</v>
      </c>
      <c r="I206" s="303" t="e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input'!$A$3:$A$230,$A$1)),IF(VLOOKUP($A206,[1]!Table1[#All],2,FALSE)="Resultat",SUMIF($F$1:$F205,$D206,I$1:I205)+SUMIF($F208:$F$490,$D206,I208:I$490),0))*'[1]Processer - data'!I206,"")*IF($C206&lt;&gt;"",IF($F206="Halm",Landbrug!D$16*Landbrug!D$17,IF(LEFT($D206,5)="Areal", IF($G206="Ton",Landbrug!D$18,1),1)),1)*IF($F206="Grøntsager",IF($A206="Grøntsager i drivhus",Landbrug!D$51,1-Landbrug!D$51),1)</f>
        <v>#REF!</v>
      </c>
      <c r="J206" s="304" t="e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input'!$A$3:$A$230,$A$1)),IF(VLOOKUP($A206,[1]!Table1[#All],2,FALSE)="Resultat",SUMIF($F$1:$F205,$D206,J$1:J205)+SUMIF($F208:$F$490,$D206,J208:J$490),0))*'[1]Processer - data'!J206,"")*IF($C206&lt;&gt;"",IF($F206="Halm",Landbrug!E$16*Landbrug!E$17,IF(LEFT($D206,5)="Areal", IF($G206="Ton",Landbrug!E$18,1),1)),1)*IF($F206="Grøntsager",IF($A206="Grøntsager i drivhus",Landbrug!E$51,1-Landbrug!E$51),1)</f>
        <v>#REF!</v>
      </c>
    </row>
    <row r="207" spans="1:10" x14ac:dyDescent="0.25">
      <c r="A207" t="str">
        <f>IF('[1]Processer - data'!A207&lt;&gt;"",'[1]Processer - data'!A207,"")</f>
        <v>Bælgsædsmark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Areal-bælgsæd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CO2 - atmosfære</v>
      </c>
      <c r="G207" t="str">
        <f>IF('[1]Processer - data'!G207&lt;&gt;"",'[1]Processer - data'!G207,"")</f>
        <v>t CO2-ækvivalenter</v>
      </c>
      <c r="H207" s="302" t="e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input'!$A$3:$A$230,$A$1)),IF(VLOOKUP($A207,[1]!Table1[#All],2,FALSE)="Resultat",SUMIF($F$1:$F206,$D207,H$1:H206)+SUMIF($F209:$F$490,$D207,H209:H$490),0))*'[1]Processer - data'!H207,"")*IF($C207&lt;&gt;"",IF($F207="Halm",Landbrug!C$16*Landbrug!C$17,IF(LEFT($D207,5)="Areal", IF($G207="Ton",Landbrug!C$18,1),1)),1)*IF($F207="Grøntsager",IF($A207="Grøntsager i drivhus",Landbrug!C$51,1-Landbrug!C$51),1)</f>
        <v>#REF!</v>
      </c>
      <c r="I207" s="303" t="e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input'!$A$3:$A$230,$A$1)),IF(VLOOKUP($A207,[1]!Table1[#All],2,FALSE)="Resultat",SUMIF($F$1:$F206,$D207,I$1:I206)+SUMIF($F209:$F$490,$D207,I209:I$490),0))*'[1]Processer - data'!I207,"")*IF($C207&lt;&gt;"",IF($F207="Halm",Landbrug!D$16*Landbrug!D$17,IF(LEFT($D207,5)="Areal", IF($G207="Ton",Landbrug!D$18,1),1)),1)*IF($F207="Grøntsager",IF($A207="Grøntsager i drivhus",Landbrug!D$51,1-Landbrug!D$51),1)</f>
        <v>#REF!</v>
      </c>
      <c r="J207" s="304" t="e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input'!$A$3:$A$230,$A$1)),IF(VLOOKUP($A207,[1]!Table1[#All],2,FALSE)="Resultat",SUMIF($F$1:$F206,$D207,J$1:J206)+SUMIF($F209:$F$490,$D207,J209:J$490),0))*'[1]Processer - data'!J207,"")*IF($C207&lt;&gt;"",IF($F207="Halm",Landbrug!E$16*Landbrug!E$17,IF(LEFT($D207,5)="Areal", IF($G207="Ton",Landbrug!E$18,1),1)),1)*IF($F207="Grøntsager",IF($A207="Grøntsager i drivhus",Landbrug!E$51,1-Landbrug!E$51),1)</f>
        <v>#REF!</v>
      </c>
    </row>
    <row r="208" spans="1:10" x14ac:dyDescent="0.25">
      <c r="A208" t="str">
        <f>IF('[1]Processer - data'!A208&lt;&gt;"",'[1]Processer - data'!A208,"")</f>
        <v>Bælgsædsmark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OC6</v>
      </c>
      <c r="D208" t="str">
        <f>IF('[1]Processer - data'!D208&lt;&gt;"",'[1]Processer - data'!D208,"")</f>
        <v>Areal-bælgsæd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Bælgsæd</v>
      </c>
      <c r="G208" t="str">
        <f>IF('[1]Processer - data'!G208&lt;&gt;"",'[1]Processer - data'!G208,"")</f>
        <v>Ton</v>
      </c>
      <c r="H208" s="302" t="e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input'!$A$3:$A$230,$A$1)),IF(VLOOKUP($A208,[1]!Table1[#All],2,FALSE)="Resultat",SUMIF($F$1:$F207,$D208,H$1:H207)+SUMIF($F210:$F$490,$D208,H210:H$490),0))*'[1]Processer - data'!H208,"")*IF($C208&lt;&gt;"",IF($F208="Halm",Landbrug!C$16*Landbrug!C$17,IF(LEFT($D208,5)="Areal", IF($G208="Ton",Landbrug!C$18,1),1)),1)*IF($F208="Grøntsager",IF($A208="Grøntsager i drivhus",Landbrug!C$51,1-Landbrug!C$51),1)</f>
        <v>#REF!</v>
      </c>
      <c r="I208" s="303" t="e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input'!$A$3:$A$230,$A$1)),IF(VLOOKUP($A208,[1]!Table1[#All],2,FALSE)="Resultat",SUMIF($F$1:$F207,$D208,I$1:I207)+SUMIF($F210:$F$490,$D208,I210:I$490),0))*'[1]Processer - data'!I208,"")*IF($C208&lt;&gt;"",IF($F208="Halm",Landbrug!D$16*Landbrug!D$17,IF(LEFT($D208,5)="Areal", IF($G208="Ton",Landbrug!D$18,1),1)),1)*IF($F208="Grøntsager",IF($A208="Grøntsager i drivhus",Landbrug!D$51,1-Landbrug!D$51),1)</f>
        <v>#REF!</v>
      </c>
      <c r="J208" s="304" t="e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input'!$A$3:$A$230,$A$1)),IF(VLOOKUP($A208,[1]!Table1[#All],2,FALSE)="Resultat",SUMIF($F$1:$F207,$D208,J$1:J207)+SUMIF($F210:$F$490,$D208,J210:J$490),0))*'[1]Processer - data'!J208,"")*IF($C208&lt;&gt;"",IF($F208="Halm",Landbrug!E$16*Landbrug!E$17,IF(LEFT($D208,5)="Areal", IF($G208="Ton",Landbrug!E$18,1),1)),1)*IF($F208="Grøntsager",IF($A208="Grøntsager i drivhus",Landbrug!E$51,1-Landbrug!E$51),1)</f>
        <v>#REF!</v>
      </c>
    </row>
    <row r="209" spans="1:10" x14ac:dyDescent="0.25">
      <c r="A209" t="str">
        <f>IF('[1]Processer - data'!A209&lt;&gt;"",'[1]Processer - data'!A209,"")</f>
        <v>Bælgsædsmark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OC6</v>
      </c>
      <c r="D209" t="str">
        <f>IF('[1]Processer - data'!D209&lt;&gt;"",'[1]Processer - data'!D209,"")</f>
        <v>Areal-bælgsæd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Halm</v>
      </c>
      <c r="G209" t="str">
        <f>IF('[1]Processer - data'!G209&lt;&gt;"",'[1]Processer - data'!G209,"")</f>
        <v>Ton</v>
      </c>
      <c r="H209" s="302" t="e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input'!$A$3:$A$230,$A$1)),IF(VLOOKUP($A209,[1]!Table1[#All],2,FALSE)="Resultat",SUMIF($F$1:$F208,$D209,H$1:H208)+SUMIF($F211:$F$490,$D209,H211:H$490),0))*'[1]Processer - data'!H209,"")*IF($C209&lt;&gt;"",IF($F209="Halm",Landbrug!C$16*Landbrug!C$17,IF(LEFT($D209,5)="Areal", IF($G209="Ton",Landbrug!C$18,1),1)),1)*IF($F209="Grøntsager",IF($A209="Grøntsager i drivhus",Landbrug!C$51,1-Landbrug!C$51),1)</f>
        <v>#REF!</v>
      </c>
      <c r="I209" s="303" t="e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input'!$A$3:$A$230,$A$1)),IF(VLOOKUP($A209,[1]!Table1[#All],2,FALSE)="Resultat",SUMIF($F$1:$F208,$D209,I$1:I208)+SUMIF($F211:$F$490,$D209,I211:I$490),0))*'[1]Processer - data'!I209,"")*IF($C209&lt;&gt;"",IF($F209="Halm",Landbrug!D$16*Landbrug!D$17,IF(LEFT($D209,5)="Areal", IF($G209="Ton",Landbrug!D$18,1),1)),1)*IF($F209="Grøntsager",IF($A209="Grøntsager i drivhus",Landbrug!D$51,1-Landbrug!D$51),1)</f>
        <v>#REF!</v>
      </c>
      <c r="J209" s="304" t="e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input'!$A$3:$A$230,$A$1)),IF(VLOOKUP($A209,[1]!Table1[#All],2,FALSE)="Resultat",SUMIF($F$1:$F208,$D209,J$1:J208)+SUMIF($F211:$F$490,$D209,J211:J$490),0))*'[1]Processer - data'!J209,"")*IF($C209&lt;&gt;"",IF($F209="Halm",Landbrug!E$16*Landbrug!E$17,IF(LEFT($D209,5)="Areal", IF($G209="Ton",Landbrug!E$18,1),1)),1)*IF($F209="Grøntsager",IF($A209="Grøntsager i drivhus",Landbrug!E$51,1-Landbrug!E$51),1)</f>
        <v>#REF!</v>
      </c>
    </row>
    <row r="210" spans="1:10" x14ac:dyDescent="0.25">
      <c r="A210" t="str">
        <f>IF('[1]Processer - data'!A210&lt;&gt;"",'[1]Processer - data'!A210,"")</f>
        <v>Bælgsædsmark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Areal-bælgsæd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Gødning</v>
      </c>
      <c r="G210" t="str">
        <f>IF('[1]Processer - data'!G210&lt;&gt;"",'[1]Processer - data'!G210,"")</f>
        <v>kg N</v>
      </c>
      <c r="H210" s="302" t="e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input'!$A$3:$A$230,$A$1)),IF(VLOOKUP($A210,[1]!Table1[#All],2,FALSE)="Resultat",SUMIF($F$1:$F209,$D210,H$1:H209)+SUMIF($F212:$F$490,$D210,H212:H$490),0))*'[1]Processer - data'!H210,"")*IF($C210&lt;&gt;"",IF($F210="Halm",Landbrug!C$16*Landbrug!C$17,IF(LEFT($D210,5)="Areal", IF($G210="Ton",Landbrug!C$18,1),1)),1)*IF($F210="Grøntsager",IF($A210="Grøntsager i drivhus",Landbrug!C$51,1-Landbrug!C$51),1)</f>
        <v>#REF!</v>
      </c>
      <c r="I210" s="303" t="e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input'!$A$3:$A$230,$A$1)),IF(VLOOKUP($A210,[1]!Table1[#All],2,FALSE)="Resultat",SUMIF($F$1:$F209,$D210,I$1:I209)+SUMIF($F212:$F$490,$D210,I212:I$490),0))*'[1]Processer - data'!I210,"")*IF($C210&lt;&gt;"",IF($F210="Halm",Landbrug!D$16*Landbrug!D$17,IF(LEFT($D210,5)="Areal", IF($G210="Ton",Landbrug!D$18,1),1)),1)*IF($F210="Grøntsager",IF($A210="Grøntsager i drivhus",Landbrug!D$51,1-Landbrug!D$51),1)</f>
        <v>#REF!</v>
      </c>
      <c r="J210" s="304" t="e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input'!$A$3:$A$230,$A$1)),IF(VLOOKUP($A210,[1]!Table1[#All],2,FALSE)="Resultat",SUMIF($F$1:$F209,$D210,J$1:J209)+SUMIF($F212:$F$490,$D210,J212:J$490),0))*'[1]Processer - data'!J210,"")*IF($C210&lt;&gt;"",IF($F210="Halm",Landbrug!E$16*Landbrug!E$17,IF(LEFT($D210,5)="Areal", IF($G210="Ton",Landbrug!E$18,1),1)),1)*IF($F210="Grøntsager",IF($A210="Grøntsager i drivhus",Landbrug!E$51,1-Landbrug!E$51),1)</f>
        <v>#REF!</v>
      </c>
    </row>
    <row r="211" spans="1:10" x14ac:dyDescent="0.25">
      <c r="A211" t="str">
        <f>IF('[1]Processer - data'!A211&lt;&gt;"",'[1]Processer - data'!A211,"")</f>
        <v>Bælgsædsmark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Areal-bælgsæd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CO2 - atmosfære</v>
      </c>
      <c r="G211" t="str">
        <f>IF('[1]Processer - data'!G211&lt;&gt;"",'[1]Processer - data'!G211,"")</f>
        <v>t CO2-ækvivalenter</v>
      </c>
      <c r="H211" s="302" t="e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input'!$A$3:$A$230,$A$1)),IF(VLOOKUP($A211,[1]!Table1[#All],2,FALSE)="Resultat",SUMIF($F$1:$F210,$D211,H$1:H210)+SUMIF($F213:$F$490,$D211,H213:H$490),0))*'[1]Processer - data'!H211,"")*IF($C211&lt;&gt;"",IF($F211="Halm",Landbrug!C$16*Landbrug!C$17,IF(LEFT($D211,5)="Areal", IF($G211="Ton",Landbrug!C$18,1),1)),1)*IF($F211="Grøntsager",IF($A211="Grøntsager i drivhus",Landbrug!C$51,1-Landbrug!C$51),1)</f>
        <v>#REF!</v>
      </c>
      <c r="I211" s="303" t="e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input'!$A$3:$A$230,$A$1)),IF(VLOOKUP($A211,[1]!Table1[#All],2,FALSE)="Resultat",SUMIF($F$1:$F210,$D211,I$1:I210)+SUMIF($F213:$F$490,$D211,I213:I$490),0))*'[1]Processer - data'!I211,"")*IF($C211&lt;&gt;"",IF($F211="Halm",Landbrug!D$16*Landbrug!D$17,IF(LEFT($D211,5)="Areal", IF($G211="Ton",Landbrug!D$18,1),1)),1)*IF($F211="Grøntsager",IF($A211="Grøntsager i drivhus",Landbrug!D$51,1-Landbrug!D$51),1)</f>
        <v>#REF!</v>
      </c>
      <c r="J211" s="304" t="e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input'!$A$3:$A$230,$A$1)),IF(VLOOKUP($A211,[1]!Table1[#All],2,FALSE)="Resultat",SUMIF($F$1:$F210,$D211,J$1:J210)+SUMIF($F213:$F$490,$D211,J213:J$490),0))*'[1]Processer - data'!J211,"")*IF($C211&lt;&gt;"",IF($F211="Halm",Landbrug!E$16*Landbrug!E$17,IF(LEFT($D211,5)="Areal", IF($G211="Ton",Landbrug!E$18,1),1)),1)*IF($F211="Grøntsager",IF($A211="Grøntsager i drivhus",Landbrug!E$51,1-Landbrug!E$51),1)</f>
        <v>#REF!</v>
      </c>
    </row>
    <row r="212" spans="1:10" x14ac:dyDescent="0.25">
      <c r="A212" t="str">
        <f>IF('[1]Processer - data'!A212&lt;&gt;"",'[1]Processer - data'!A212,"")</f>
        <v>Bælgsædsmark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OC12</v>
      </c>
      <c r="D212" t="str">
        <f>IF('[1]Processer - data'!D212&lt;&gt;"",'[1]Processer - data'!D212,"")</f>
        <v>Areal-bælgsæd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Bælgsæd</v>
      </c>
      <c r="G212" t="str">
        <f>IF('[1]Processer - data'!G212&lt;&gt;"",'[1]Processer - data'!G212,"")</f>
        <v>Ton</v>
      </c>
      <c r="H212" s="302" t="e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input'!$A$3:$A$230,$A$1)),IF(VLOOKUP($A212,[1]!Table1[#All],2,FALSE)="Resultat",SUMIF($F$1:$F211,$D212,H$1:H211)+SUMIF($F214:$F$490,$D212,H214:H$490),0))*'[1]Processer - data'!H212,"")*IF($C212&lt;&gt;"",IF($F212="Halm",Landbrug!C$16*Landbrug!C$17,IF(LEFT($D212,5)="Areal", IF($G212="Ton",Landbrug!C$18,1),1)),1)*IF($F212="Grøntsager",IF($A212="Grøntsager i drivhus",Landbrug!C$51,1-Landbrug!C$51),1)</f>
        <v>#REF!</v>
      </c>
      <c r="I212" s="303" t="e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input'!$A$3:$A$230,$A$1)),IF(VLOOKUP($A212,[1]!Table1[#All],2,FALSE)="Resultat",SUMIF($F$1:$F211,$D212,I$1:I211)+SUMIF($F214:$F$490,$D212,I214:I$490),0))*'[1]Processer - data'!I212,"")*IF($C212&lt;&gt;"",IF($F212="Halm",Landbrug!D$16*Landbrug!D$17,IF(LEFT($D212,5)="Areal", IF($G212="Ton",Landbrug!D$18,1),1)),1)*IF($F212="Grøntsager",IF($A212="Grøntsager i drivhus",Landbrug!D$51,1-Landbrug!D$51),1)</f>
        <v>#REF!</v>
      </c>
      <c r="J212" s="304" t="e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input'!$A$3:$A$230,$A$1)),IF(VLOOKUP($A212,[1]!Table1[#All],2,FALSE)="Resultat",SUMIF($F$1:$F211,$D212,J$1:J211)+SUMIF($F214:$F$490,$D212,J214:J$490),0))*'[1]Processer - data'!J212,"")*IF($C212&lt;&gt;"",IF($F212="Halm",Landbrug!E$16*Landbrug!E$17,IF(LEFT($D212,5)="Areal", IF($G212="Ton",Landbrug!E$18,1),1)),1)*IF($F212="Grøntsager",IF($A212="Grøntsager i drivhus",Landbrug!E$51,1-Landbrug!E$51),1)</f>
        <v>#REF!</v>
      </c>
    </row>
    <row r="213" spans="1:10" x14ac:dyDescent="0.25">
      <c r="A213" t="str">
        <f>IF('[1]Processer - data'!A213&lt;&gt;"",'[1]Processer - data'!A213,"")</f>
        <v>Bælgsædsmark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Areal-bælgsæd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Halm</v>
      </c>
      <c r="G213" t="str">
        <f>IF('[1]Processer - data'!G213&lt;&gt;"",'[1]Processer - data'!G213,"")</f>
        <v>Ton</v>
      </c>
      <c r="H213" s="302" t="e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input'!$A$3:$A$230,$A$1)),IF(VLOOKUP($A213,[1]!Table1[#All],2,FALSE)="Resultat",SUMIF($F$1:$F212,$D213,H$1:H212)+SUMIF($F215:$F$490,$D213,H215:H$490),0))*'[1]Processer - data'!H213,"")*IF($C213&lt;&gt;"",IF($F213="Halm",Landbrug!C$16*Landbrug!C$17,IF(LEFT($D213,5)="Areal", IF($G213="Ton",Landbrug!C$18,1),1)),1)*IF($F213="Grøntsager",IF($A213="Grøntsager i drivhus",Landbrug!C$51,1-Landbrug!C$51),1)</f>
        <v>#REF!</v>
      </c>
      <c r="I213" s="303" t="e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input'!$A$3:$A$230,$A$1)),IF(VLOOKUP($A213,[1]!Table1[#All],2,FALSE)="Resultat",SUMIF($F$1:$F212,$D213,I$1:I212)+SUMIF($F215:$F$490,$D213,I215:I$490),0))*'[1]Processer - data'!I213,"")*IF($C213&lt;&gt;"",IF($F213="Halm",Landbrug!D$16*Landbrug!D$17,IF(LEFT($D213,5)="Areal", IF($G213="Ton",Landbrug!D$18,1),1)),1)*IF($F213="Grøntsager",IF($A213="Grøntsager i drivhus",Landbrug!D$51,1-Landbrug!D$51),1)</f>
        <v>#REF!</v>
      </c>
      <c r="J213" s="304" t="e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input'!$A$3:$A$230,$A$1)),IF(VLOOKUP($A213,[1]!Table1[#All],2,FALSE)="Resultat",SUMIF($F$1:$F212,$D213,J$1:J212)+SUMIF($F215:$F$490,$D213,J215:J$490),0))*'[1]Processer - data'!J213,"")*IF($C213&lt;&gt;"",IF($F213="Halm",Landbrug!E$16*Landbrug!E$17,IF(LEFT($D213,5)="Areal", IF($G213="Ton",Landbrug!E$18,1),1)),1)*IF($F213="Grøntsager",IF($A213="Grøntsager i drivhus",Landbrug!E$51,1-Landbrug!E$51),1)</f>
        <v>#REF!</v>
      </c>
    </row>
    <row r="214" spans="1:10" x14ac:dyDescent="0.25">
      <c r="A214" t="str">
        <f>IF('[1]Processer - data'!A214&lt;&gt;"",'[1]Processer - data'!A214,"")</f>
        <v>Bælgsædsmark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Areal-bælgsæd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2" t="e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input'!$A$3:$A$230,$A$1)),IF(VLOOKUP($A214,[1]!Table1[#All],2,FALSE)="Resultat",SUMIF($F$1:$F213,$D214,H$1:H213)+SUMIF($F216:$F$490,$D214,H216:H$490),0))*'[1]Processer - data'!H214,"")*IF($C214&lt;&gt;"",IF($F214="Halm",Landbrug!C$16*Landbrug!C$17,IF(LEFT($D214,5)="Areal", IF($G214="Ton",Landbrug!C$18,1),1)),1)*IF($F214="Grøntsager",IF($A214="Grøntsager i drivhus",Landbrug!C$51,1-Landbrug!C$51),1)</f>
        <v>#REF!</v>
      </c>
      <c r="I214" s="303" t="e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input'!$A$3:$A$230,$A$1)),IF(VLOOKUP($A214,[1]!Table1[#All],2,FALSE)="Resultat",SUMIF($F$1:$F213,$D214,I$1:I213)+SUMIF($F216:$F$490,$D214,I216:I$490),0))*'[1]Processer - data'!I214,"")*IF($C214&lt;&gt;"",IF($F214="Halm",Landbrug!D$16*Landbrug!D$17,IF(LEFT($D214,5)="Areal", IF($G214="Ton",Landbrug!D$18,1),1)),1)*IF($F214="Grøntsager",IF($A214="Grøntsager i drivhus",Landbrug!D$51,1-Landbrug!D$51),1)</f>
        <v>#REF!</v>
      </c>
      <c r="J214" s="304" t="e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input'!$A$3:$A$230,$A$1)),IF(VLOOKUP($A214,[1]!Table1[#All],2,FALSE)="Resultat",SUMIF($F$1:$F213,$D214,J$1:J213)+SUMIF($F216:$F$490,$D214,J216:J$490),0))*'[1]Processer - data'!J214,"")*IF($C214&lt;&gt;"",IF($F214="Halm",Landbrug!E$16*Landbrug!E$17,IF(LEFT($D214,5)="Areal", IF($G214="Ton",Landbrug!E$18,1),1)),1)*IF($F214="Grøntsager",IF($A214="Grøntsager i drivhus",Landbrug!E$51,1-Landbrug!E$51),1)</f>
        <v>#REF!</v>
      </c>
    </row>
    <row r="215" spans="1:10" x14ac:dyDescent="0.25">
      <c r="A215" t="str">
        <f>IF('[1]Processer - data'!A215&lt;&gt;"",'[1]Processer - data'!A215,"")</f>
        <v>Bælgsædsmark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Areal-bælgsæd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2" t="e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input'!$A$3:$A$230,$A$1)),IF(VLOOKUP($A215,[1]!Table1[#All],2,FALSE)="Resultat",SUMIF($F$1:$F214,$D215,H$1:H214)+SUMIF($F217:$F$490,$D215,H217:H$490),0))*'[1]Processer - data'!H215,"")*IF($C215&lt;&gt;"",IF($F215="Halm",Landbrug!C$16*Landbrug!C$17,IF(LEFT($D215,5)="Areal", IF($G215="Ton",Landbrug!C$18,1),1)),1)*IF($F215="Grøntsager",IF($A215="Grøntsager i drivhus",Landbrug!C$51,1-Landbrug!C$51),1)</f>
        <v>#REF!</v>
      </c>
      <c r="I215" s="303" t="e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input'!$A$3:$A$230,$A$1)),IF(VLOOKUP($A215,[1]!Table1[#All],2,FALSE)="Resultat",SUMIF($F$1:$F214,$D215,I$1:I214)+SUMIF($F217:$F$490,$D215,I217:I$490),0))*'[1]Processer - data'!I215,"")*IF($C215&lt;&gt;"",IF($F215="Halm",Landbrug!D$16*Landbrug!D$17,IF(LEFT($D215,5)="Areal", IF($G215="Ton",Landbrug!D$18,1),1)),1)*IF($F215="Grøntsager",IF($A215="Grøntsager i drivhus",Landbrug!D$51,1-Landbrug!D$51),1)</f>
        <v>#REF!</v>
      </c>
      <c r="J215" s="304" t="e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input'!$A$3:$A$230,$A$1)),IF(VLOOKUP($A215,[1]!Table1[#All],2,FALSE)="Resultat",SUMIF($F$1:$F214,$D215,J$1:J214)+SUMIF($F217:$F$490,$D215,J217:J$490),0))*'[1]Processer - data'!J215,"")*IF($C215&lt;&gt;"",IF($F215="Halm",Landbrug!E$16*Landbrug!E$17,IF(LEFT($D215,5)="Areal", IF($G215="Ton",Landbrug!E$18,1),1)),1)*IF($F215="Grøntsager",IF($A215="Grøntsager i drivhus",Landbrug!E$51,1-Landbrug!E$51),1)</f>
        <v>#REF!</v>
      </c>
    </row>
    <row r="216" spans="1:10" x14ac:dyDescent="0.25">
      <c r="A216" t="str">
        <f>IF('[1]Processer - data'!A216&lt;&gt;"",'[1]Processer - data'!A216,"")</f>
        <v>Bælgsædsmark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Areal-bælgsæd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Bælgsæd</v>
      </c>
      <c r="G216" t="str">
        <f>IF('[1]Processer - data'!G216&lt;&gt;"",'[1]Processer - data'!G216,"")</f>
        <v>Ton</v>
      </c>
      <c r="H216" s="302" t="e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input'!$A$3:$A$230,$A$1)),IF(VLOOKUP($A216,[1]!Table1[#All],2,FALSE)="Resultat",SUMIF($F$1:$F215,$D216,H$1:H215)+SUMIF($F218:$F$490,$D216,H218:H$490),0))*'[1]Processer - data'!H216,"")*IF($C216&lt;&gt;"",IF($F216="Halm",Landbrug!C$16*Landbrug!C$17,IF(LEFT($D216,5)="Areal", IF($G216="Ton",Landbrug!C$18,1),1)),1)*IF($F216="Grøntsager",IF($A216="Grøntsager i drivhus",Landbrug!C$51,1-Landbrug!C$51),1)</f>
        <v>#REF!</v>
      </c>
      <c r="I216" s="303" t="e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input'!$A$3:$A$230,$A$1)),IF(VLOOKUP($A216,[1]!Table1[#All],2,FALSE)="Resultat",SUMIF($F$1:$F215,$D216,I$1:I215)+SUMIF($F218:$F$490,$D216,I218:I$490),0))*'[1]Processer - data'!I216,"")*IF($C216&lt;&gt;"",IF($F216="Halm",Landbrug!D$16*Landbrug!D$17,IF(LEFT($D216,5)="Areal", IF($G216="Ton",Landbrug!D$18,1),1)),1)*IF($F216="Grøntsager",IF($A216="Grøntsager i drivhus",Landbrug!D$51,1-Landbrug!D$51),1)</f>
        <v>#REF!</v>
      </c>
      <c r="J216" s="304" t="e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input'!$A$3:$A$230,$A$1)),IF(VLOOKUP($A216,[1]!Table1[#All],2,FALSE)="Resultat",SUMIF($F$1:$F215,$D216,J$1:J215)+SUMIF($F218:$F$490,$D216,J218:J$490),0))*'[1]Processer - data'!J216,"")*IF($C216&lt;&gt;"",IF($F216="Halm",Landbrug!E$16*Landbrug!E$17,IF(LEFT($D216,5)="Areal", IF($G216="Ton",Landbrug!E$18,1),1)),1)*IF($F216="Grøntsager",IF($A216="Grøntsager i drivhus",Landbrug!E$51,1-Landbrug!E$51),1)</f>
        <v>#REF!</v>
      </c>
    </row>
    <row r="217" spans="1:10" x14ac:dyDescent="0.25">
      <c r="A217" t="str">
        <f>IF('[1]Processer - data'!A217&lt;&gt;"",'[1]Processer - data'!A217,"")</f>
        <v>Bælgsædsmark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Areal-bælgsæd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Halm</v>
      </c>
      <c r="G217" t="str">
        <f>IF('[1]Processer - data'!G217&lt;&gt;"",'[1]Processer - data'!G217,"")</f>
        <v>Ton</v>
      </c>
      <c r="H217" s="302" t="e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input'!$A$3:$A$230,$A$1)),IF(VLOOKUP($A217,[1]!Table1[#All],2,FALSE)="Resultat",SUMIF($F$1:$F216,$D217,H$1:H216)+SUMIF($F219:$F$490,$D217,H219:H$490),0))*'[1]Processer - data'!H217,"")*IF($C217&lt;&gt;"",IF($F217="Halm",Landbrug!C$16*Landbrug!C$17,IF(LEFT($D217,5)="Areal", IF($G217="Ton",Landbrug!C$18,1),1)),1)*IF($F217="Grøntsager",IF($A217="Grøntsager i drivhus",Landbrug!C$51,1-Landbrug!C$51),1)</f>
        <v>#REF!</v>
      </c>
      <c r="I217" s="303" t="e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input'!$A$3:$A$230,$A$1)),IF(VLOOKUP($A217,[1]!Table1[#All],2,FALSE)="Resultat",SUMIF($F$1:$F216,$D217,I$1:I216)+SUMIF($F219:$F$490,$D217,I219:I$490),0))*'[1]Processer - data'!I217,"")*IF($C217&lt;&gt;"",IF($F217="Halm",Landbrug!D$16*Landbrug!D$17,IF(LEFT($D217,5)="Areal", IF($G217="Ton",Landbrug!D$18,1),1)),1)*IF($F217="Grøntsager",IF($A217="Grøntsager i drivhus",Landbrug!D$51,1-Landbrug!D$51),1)</f>
        <v>#REF!</v>
      </c>
      <c r="J217" s="304" t="e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input'!$A$3:$A$230,$A$1)),IF(VLOOKUP($A217,[1]!Table1[#All],2,FALSE)="Resultat",SUMIF($F$1:$F216,$D217,J$1:J216)+SUMIF($F219:$F$490,$D217,J219:J$490),0))*'[1]Processer - data'!J217,"")*IF($C217&lt;&gt;"",IF($F217="Halm",Landbrug!E$16*Landbrug!E$17,IF(LEFT($D217,5)="Areal", IF($G217="Ton",Landbrug!E$18,1),1)),1)*IF($F217="Grøntsager",IF($A217="Grøntsager i drivhus",Landbrug!E$51,1-Landbrug!E$51),1)</f>
        <v>#REF!</v>
      </c>
    </row>
    <row r="218" spans="1:10" x14ac:dyDescent="0.25">
      <c r="A218" t="str">
        <f>IF('[1]Processer - data'!A218&lt;&gt;"",'[1]Processer - data'!A218,"")</f>
        <v>Bælgsædsmark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Areal-bælgsæd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Gødning</v>
      </c>
      <c r="G218" t="str">
        <f>IF('[1]Processer - data'!G218&lt;&gt;"",'[1]Processer - data'!G218,"")</f>
        <v>kg N</v>
      </c>
      <c r="H218" s="302" t="e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input'!$A$3:$A$230,$A$1)),IF(VLOOKUP($A218,[1]!Table1[#All],2,FALSE)="Resultat",SUMIF($F$1:$F217,$D218,H$1:H217)+SUMIF($F220:$F$490,$D218,H220:H$490),0))*'[1]Processer - data'!H218,"")*IF($C218&lt;&gt;"",IF($F218="Halm",Landbrug!C$16*Landbrug!C$17,IF(LEFT($D218,5)="Areal", IF($G218="Ton",Landbrug!C$18,1),1)),1)*IF($F218="Grøntsager",IF($A218="Grøntsager i drivhus",Landbrug!C$51,1-Landbrug!C$51),1)</f>
        <v>#REF!</v>
      </c>
      <c r="I218" s="303" t="e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input'!$A$3:$A$230,$A$1)),IF(VLOOKUP($A218,[1]!Table1[#All],2,FALSE)="Resultat",SUMIF($F$1:$F217,$D218,I$1:I217)+SUMIF($F220:$F$490,$D218,I220:I$490),0))*'[1]Processer - data'!I218,"")*IF($C218&lt;&gt;"",IF($F218="Halm",Landbrug!D$16*Landbrug!D$17,IF(LEFT($D218,5)="Areal", IF($G218="Ton",Landbrug!D$18,1),1)),1)*IF($F218="Grøntsager",IF($A218="Grøntsager i drivhus",Landbrug!D$51,1-Landbrug!D$51),1)</f>
        <v>#REF!</v>
      </c>
      <c r="J218" s="304" t="e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input'!$A$3:$A$230,$A$1)),IF(VLOOKUP($A218,[1]!Table1[#All],2,FALSE)="Resultat",SUMIF($F$1:$F217,$D218,J$1:J217)+SUMIF($F220:$F$490,$D218,J220:J$490),0))*'[1]Processer - data'!J218,"")*IF($C218&lt;&gt;"",IF($F218="Halm",Landbrug!E$16*Landbrug!E$17,IF(LEFT($D218,5)="Areal", IF($G218="Ton",Landbrug!E$18,1),1)),1)*IF($F218="Grøntsager",IF($A218="Grøntsager i drivhus",Landbrug!E$51,1-Landbrug!E$51),1)</f>
        <v>#REF!</v>
      </c>
    </row>
    <row r="219" spans="1:10" x14ac:dyDescent="0.25">
      <c r="A219" t="str">
        <f>IF('[1]Processer - data'!A219&lt;&gt;"",'[1]Processer - data'!A219,"")</f>
        <v>Bælgsædsmark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JB1-10</v>
      </c>
      <c r="D219" t="str">
        <f>IF('[1]Processer - data'!D219&lt;&gt;"",'[1]Processer - data'!D219,"")</f>
        <v>Areal-bælgsæd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CO2 - atmosfære</v>
      </c>
      <c r="G219" t="str">
        <f>IF('[1]Processer - data'!G219&lt;&gt;"",'[1]Processer - data'!G219,"")</f>
        <v>t CO2-ækvivalenter</v>
      </c>
      <c r="H219" s="302" t="e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input'!$A$3:$A$230,$A$1)),IF(VLOOKUP($A219,[1]!Table1[#All],2,FALSE)="Resultat",SUMIF($F$1:$F218,$D219,H$1:H218)+SUMIF($F221:$F$490,$D219,H221:H$490),0))*'[1]Processer - data'!H219,"")*IF($C219&lt;&gt;"",IF($F219="Halm",Landbrug!C$16*Landbrug!C$17,IF(LEFT($D219,5)="Areal", IF($G219="Ton",Landbrug!C$18,1),1)),1)*IF($F219="Grøntsager",IF($A219="Grøntsager i drivhus",Landbrug!C$51,1-Landbrug!C$51),1)</f>
        <v>#REF!</v>
      </c>
      <c r="I219" s="303" t="e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input'!$A$3:$A$230,$A$1)),IF(VLOOKUP($A219,[1]!Table1[#All],2,FALSE)="Resultat",SUMIF($F$1:$F218,$D219,I$1:I218)+SUMIF($F221:$F$490,$D219,I221:I$490),0))*'[1]Processer - data'!I219,"")*IF($C219&lt;&gt;"",IF($F219="Halm",Landbrug!D$16*Landbrug!D$17,IF(LEFT($D219,5)="Areal", IF($G219="Ton",Landbrug!D$18,1),1)),1)*IF($F219="Grøntsager",IF($A219="Grøntsager i drivhus",Landbrug!D$51,1-Landbrug!D$51),1)</f>
        <v>#REF!</v>
      </c>
      <c r="J219" s="304" t="e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input'!$A$3:$A$230,$A$1)),IF(VLOOKUP($A219,[1]!Table1[#All],2,FALSE)="Resultat",SUMIF($F$1:$F218,$D219,J$1:J218)+SUMIF($F221:$F$490,$D219,J221:J$490),0))*'[1]Processer - data'!J219,"")*IF($C219&lt;&gt;"",IF($F219="Halm",Landbrug!E$16*Landbrug!E$17,IF(LEFT($D219,5)="Areal", IF($G219="Ton",Landbrug!E$18,1),1)),1)*IF($F219="Grøntsager",IF($A219="Grøntsager i drivhus",Landbrug!E$51,1-Landbrug!E$51),1)</f>
        <v>#REF!</v>
      </c>
    </row>
    <row r="220" spans="1:10" x14ac:dyDescent="0.25">
      <c r="A220" t="str">
        <f>IF('[1]Processer - data'!A220&lt;&gt;"",'[1]Processer - data'!A220,"")</f>
        <v>Bælgsædsmark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Areal-bælgsæd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Bælgsæd</v>
      </c>
      <c r="G220" t="str">
        <f>IF('[1]Processer - data'!G220&lt;&gt;"",'[1]Processer - data'!G220,"")</f>
        <v>Ton</v>
      </c>
      <c r="H220" s="302" t="e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input'!$A$3:$A$230,$A$1)),IF(VLOOKUP($A220,[1]!Table1[#All],2,FALSE)="Resultat",SUMIF($F$1:$F219,$D220,H$1:H219)+SUMIF($F222:$F$490,$D220,H222:H$490),0))*'[1]Processer - data'!H220,"")*IF($C220&lt;&gt;"",IF($F220="Halm",Landbrug!C$16*Landbrug!C$17,IF(LEFT($D220,5)="Areal", IF($G220="Ton",Landbrug!C$18,1),1)),1)*IF($F220="Grøntsager",IF($A220="Grøntsager i drivhus",Landbrug!C$51,1-Landbrug!C$51),1)</f>
        <v>#REF!</v>
      </c>
      <c r="I220" s="303" t="e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input'!$A$3:$A$230,$A$1)),IF(VLOOKUP($A220,[1]!Table1[#All],2,FALSE)="Resultat",SUMIF($F$1:$F219,$D220,I$1:I219)+SUMIF($F222:$F$490,$D220,I222:I$490),0))*'[1]Processer - data'!I220,"")*IF($C220&lt;&gt;"",IF($F220="Halm",Landbrug!D$16*Landbrug!D$17,IF(LEFT($D220,5)="Areal", IF($G220="Ton",Landbrug!D$18,1),1)),1)*IF($F220="Grøntsager",IF($A220="Grøntsager i drivhus",Landbrug!D$51,1-Landbrug!D$51),1)</f>
        <v>#REF!</v>
      </c>
      <c r="J220" s="304" t="e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input'!$A$3:$A$230,$A$1)),IF(VLOOKUP($A220,[1]!Table1[#All],2,FALSE)="Resultat",SUMIF($F$1:$F219,$D220,J$1:J219)+SUMIF($F222:$F$490,$D220,J222:J$490),0))*'[1]Processer - data'!J220,"")*IF($C220&lt;&gt;"",IF($F220="Halm",Landbrug!E$16*Landbrug!E$17,IF(LEFT($D220,5)="Areal", IF($G220="Ton",Landbrug!E$18,1),1)),1)*IF($F220="Grøntsager",IF($A220="Grøntsager i drivhus",Landbrug!E$51,1-Landbrug!E$51),1)</f>
        <v>#REF!</v>
      </c>
    </row>
    <row r="221" spans="1:10" x14ac:dyDescent="0.25">
      <c r="A221" t="str">
        <f>IF('[1]Processer - data'!A221&lt;&gt;"",'[1]Processer - data'!A221,"")</f>
        <v>Bælgsædsmark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Areal-bælgsæd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Halm</v>
      </c>
      <c r="G221" t="str">
        <f>IF('[1]Processer - data'!G221&lt;&gt;"",'[1]Processer - data'!G221,"")</f>
        <v>Ton</v>
      </c>
      <c r="H221" s="302" t="e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input'!$A$3:$A$230,$A$1)),IF(VLOOKUP($A221,[1]!Table1[#All],2,FALSE)="Resultat",SUMIF($F$1:$F220,$D221,H$1:H220)+SUMIF($F223:$F$490,$D221,H223:H$490),0))*'[1]Processer - data'!H221,"")*IF($C221&lt;&gt;"",IF($F221="Halm",Landbrug!C$16*Landbrug!C$17,IF(LEFT($D221,5)="Areal", IF($G221="Ton",Landbrug!C$18,1),1)),1)*IF($F221="Grøntsager",IF($A221="Grøntsager i drivhus",Landbrug!C$51,1-Landbrug!C$51),1)</f>
        <v>#REF!</v>
      </c>
      <c r="I221" s="303" t="e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input'!$A$3:$A$230,$A$1)),IF(VLOOKUP($A221,[1]!Table1[#All],2,FALSE)="Resultat",SUMIF($F$1:$F220,$D221,I$1:I220)+SUMIF($F223:$F$490,$D221,I223:I$490),0))*'[1]Processer - data'!I221,"")*IF($C221&lt;&gt;"",IF($F221="Halm",Landbrug!D$16*Landbrug!D$17,IF(LEFT($D221,5)="Areal", IF($G221="Ton",Landbrug!D$18,1),1)),1)*IF($F221="Grøntsager",IF($A221="Grøntsager i drivhus",Landbrug!D$51,1-Landbrug!D$51),1)</f>
        <v>#REF!</v>
      </c>
      <c r="J221" s="304" t="e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input'!$A$3:$A$230,$A$1)),IF(VLOOKUP($A221,[1]!Table1[#All],2,FALSE)="Resultat",SUMIF($F$1:$F220,$D221,J$1:J220)+SUMIF($F223:$F$490,$D221,J223:J$490),0))*'[1]Processer - data'!J221,"")*IF($C221&lt;&gt;"",IF($F221="Halm",Landbrug!E$16*Landbrug!E$17,IF(LEFT($D221,5)="Areal", IF($G221="Ton",Landbrug!E$18,1),1)),1)*IF($F221="Grøntsager",IF($A221="Grøntsager i drivhus",Landbrug!E$51,1-Landbrug!E$51),1)</f>
        <v>#REF!</v>
      </c>
    </row>
    <row r="222" spans="1:10" x14ac:dyDescent="0.25">
      <c r="A222" t="str">
        <f>IF('[1]Processer - data'!A222&lt;&gt;"",'[1]Processer - data'!A222,"")</f>
        <v>Bælgsædsmark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OC6</v>
      </c>
      <c r="D222" t="str">
        <f>IF('[1]Processer - data'!D222&lt;&gt;"",'[1]Processer - data'!D222,"")</f>
        <v>Areal-bælgsæd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Gødning</v>
      </c>
      <c r="G222" t="str">
        <f>IF('[1]Processer - data'!G222&lt;&gt;"",'[1]Processer - data'!G222,"")</f>
        <v>kg N</v>
      </c>
      <c r="H222" s="302" t="e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input'!$A$3:$A$230,$A$1)),IF(VLOOKUP($A222,[1]!Table1[#All],2,FALSE)="Resultat",SUMIF($F$1:$F221,$D222,H$1:H221)+SUMIF($F224:$F$490,$D222,H224:H$490),0))*'[1]Processer - data'!H222,"")*IF($C222&lt;&gt;"",IF($F222="Halm",Landbrug!C$16*Landbrug!C$17,IF(LEFT($D222,5)="Areal", IF($G222="Ton",Landbrug!C$18,1),1)),1)*IF($F222="Grøntsager",IF($A222="Grøntsager i drivhus",Landbrug!C$51,1-Landbrug!C$51),1)</f>
        <v>#REF!</v>
      </c>
      <c r="I222" s="303" t="e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input'!$A$3:$A$230,$A$1)),IF(VLOOKUP($A222,[1]!Table1[#All],2,FALSE)="Resultat",SUMIF($F$1:$F221,$D222,I$1:I221)+SUMIF($F224:$F$490,$D222,I224:I$490),0))*'[1]Processer - data'!I222,"")*IF($C222&lt;&gt;"",IF($F222="Halm",Landbrug!D$16*Landbrug!D$17,IF(LEFT($D222,5)="Areal", IF($G222="Ton",Landbrug!D$18,1),1)),1)*IF($F222="Grøntsager",IF($A222="Grøntsager i drivhus",Landbrug!D$51,1-Landbrug!D$51),1)</f>
        <v>#REF!</v>
      </c>
      <c r="J222" s="304" t="e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input'!$A$3:$A$230,$A$1)),IF(VLOOKUP($A222,[1]!Table1[#All],2,FALSE)="Resultat",SUMIF($F$1:$F221,$D222,J$1:J221)+SUMIF($F224:$F$490,$D222,J224:J$490),0))*'[1]Processer - data'!J222,"")*IF($C222&lt;&gt;"",IF($F222="Halm",Landbrug!E$16*Landbrug!E$17,IF(LEFT($D222,5)="Areal", IF($G222="Ton",Landbrug!E$18,1),1)),1)*IF($F222="Grøntsager",IF($A222="Grøntsager i drivhus",Landbrug!E$51,1-Landbrug!E$51),1)</f>
        <v>#REF!</v>
      </c>
    </row>
    <row r="223" spans="1:10" x14ac:dyDescent="0.25">
      <c r="A223" t="str">
        <f>IF('[1]Processer - data'!A223&lt;&gt;"",'[1]Processer - data'!A223,"")</f>
        <v>Bælgsædsmark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OC6</v>
      </c>
      <c r="D223" t="str">
        <f>IF('[1]Processer - data'!D223&lt;&gt;"",'[1]Processer - data'!D223,"")</f>
        <v>Areal-bælgsæd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CO2 - atmosfære</v>
      </c>
      <c r="G223" t="str">
        <f>IF('[1]Processer - data'!G223&lt;&gt;"",'[1]Processer - data'!G223,"")</f>
        <v>t CO2-ækvivalenter</v>
      </c>
      <c r="H223" s="302" t="e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input'!$A$3:$A$230,$A$1)),IF(VLOOKUP($A223,[1]!Table1[#All],2,FALSE)="Resultat",SUMIF($F$1:$F222,$D223,H$1:H222)+SUMIF($F225:$F$490,$D223,H225:H$490),0))*'[1]Processer - data'!H223,"")*IF($C223&lt;&gt;"",IF($F223="Halm",Landbrug!C$16*Landbrug!C$17,IF(LEFT($D223,5)="Areal", IF($G223="Ton",Landbrug!C$18,1),1)),1)*IF($F223="Grøntsager",IF($A223="Grøntsager i drivhus",Landbrug!C$51,1-Landbrug!C$51),1)</f>
        <v>#REF!</v>
      </c>
      <c r="I223" s="303" t="e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input'!$A$3:$A$230,$A$1)),IF(VLOOKUP($A223,[1]!Table1[#All],2,FALSE)="Resultat",SUMIF($F$1:$F222,$D223,I$1:I222)+SUMIF($F225:$F$490,$D223,I225:I$490),0))*'[1]Processer - data'!I223,"")*IF($C223&lt;&gt;"",IF($F223="Halm",Landbrug!D$16*Landbrug!D$17,IF(LEFT($D223,5)="Areal", IF($G223="Ton",Landbrug!D$18,1),1)),1)*IF($F223="Grøntsager",IF($A223="Grøntsager i drivhus",Landbrug!D$51,1-Landbrug!D$51),1)</f>
        <v>#REF!</v>
      </c>
      <c r="J223" s="304" t="e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input'!$A$3:$A$230,$A$1)),IF(VLOOKUP($A223,[1]!Table1[#All],2,FALSE)="Resultat",SUMIF($F$1:$F222,$D223,J$1:J222)+SUMIF($F225:$F$490,$D223,J225:J$490),0))*'[1]Processer - data'!J223,"")*IF($C223&lt;&gt;"",IF($F223="Halm",Landbrug!E$16*Landbrug!E$17,IF(LEFT($D223,5)="Areal", IF($G223="Ton",Landbrug!E$18,1),1)),1)*IF($F223="Grøntsager",IF($A223="Grøntsager i drivhus",Landbrug!E$51,1-Landbrug!E$51),1)</f>
        <v>#REF!</v>
      </c>
    </row>
    <row r="224" spans="1:10" x14ac:dyDescent="0.25">
      <c r="A224" t="str">
        <f>IF('[1]Processer - data'!A224&lt;&gt;"",'[1]Processer - data'!A224,"")</f>
        <v>Bælgsædsmark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Areal-bælgsæd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Bælgsæd</v>
      </c>
      <c r="G224" t="str">
        <f>IF('[1]Processer - data'!G224&lt;&gt;"",'[1]Processer - data'!G224,"")</f>
        <v>Ton</v>
      </c>
      <c r="H224" s="302" t="e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input'!$A$3:$A$230,$A$1)),IF(VLOOKUP($A224,[1]!Table1[#All],2,FALSE)="Resultat",SUMIF($F$1:$F223,$D224,H$1:H223)+SUMIF($F226:$F$490,$D224,H226:H$490),0))*'[1]Processer - data'!H224,"")*IF($C224&lt;&gt;"",IF($F224="Halm",Landbrug!C$16*Landbrug!C$17,IF(LEFT($D224,5)="Areal", IF($G224="Ton",Landbrug!C$18,1),1)),1)*IF($F224="Grøntsager",IF($A224="Grøntsager i drivhus",Landbrug!C$51,1-Landbrug!C$51),1)</f>
        <v>#REF!</v>
      </c>
      <c r="I224" s="303" t="e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input'!$A$3:$A$230,$A$1)),IF(VLOOKUP($A224,[1]!Table1[#All],2,FALSE)="Resultat",SUMIF($F$1:$F223,$D224,I$1:I223)+SUMIF($F226:$F$490,$D224,I226:I$490),0))*'[1]Processer - data'!I224,"")*IF($C224&lt;&gt;"",IF($F224="Halm",Landbrug!D$16*Landbrug!D$17,IF(LEFT($D224,5)="Areal", IF($G224="Ton",Landbrug!D$18,1),1)),1)*IF($F224="Grøntsager",IF($A224="Grøntsager i drivhus",Landbrug!D$51,1-Landbrug!D$51),1)</f>
        <v>#REF!</v>
      </c>
      <c r="J224" s="304" t="e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input'!$A$3:$A$230,$A$1)),IF(VLOOKUP($A224,[1]!Table1[#All],2,FALSE)="Resultat",SUMIF($F$1:$F223,$D224,J$1:J223)+SUMIF($F226:$F$490,$D224,J226:J$490),0))*'[1]Processer - data'!J224,"")*IF($C224&lt;&gt;"",IF($F224="Halm",Landbrug!E$16*Landbrug!E$17,IF(LEFT($D224,5)="Areal", IF($G224="Ton",Landbrug!E$18,1),1)),1)*IF($F224="Grøntsager",IF($A224="Grøntsager i drivhus",Landbrug!E$51,1-Landbrug!E$51),1)</f>
        <v>#REF!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Økologisk</v>
      </c>
      <c r="C225" t="str">
        <f>IF('[1]Processer - data'!C225&lt;&gt;"",'[1]Processer - data'!C225,"")</f>
        <v>OC12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Halm</v>
      </c>
      <c r="G225" t="str">
        <f>IF('[1]Processer - data'!G225&lt;&gt;"",'[1]Processer - data'!G225,"")</f>
        <v>Ton</v>
      </c>
      <c r="H225" s="302" t="e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input'!$A$3:$A$230,$A$1)),IF(VLOOKUP($A225,[1]!Table1[#All],2,FALSE)="Resultat",SUMIF($F$1:$F224,$D225,H$1:H224)+SUMIF($F227:$F$490,$D225,H227:H$490),0))*'[1]Processer - data'!H225,"")*IF($C225&lt;&gt;"",IF($F225="Halm",Landbrug!C$16*Landbrug!C$17,IF(LEFT($D225,5)="Areal", IF($G225="Ton",Landbrug!C$18,1),1)),1)*IF($F225="Grøntsager",IF($A225="Grøntsager i drivhus",Landbrug!C$51,1-Landbrug!C$51),1)</f>
        <v>#REF!</v>
      </c>
      <c r="I225" s="303" t="e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input'!$A$3:$A$230,$A$1)),IF(VLOOKUP($A225,[1]!Table1[#All],2,FALSE)="Resultat",SUMIF($F$1:$F224,$D225,I$1:I224)+SUMIF($F227:$F$490,$D225,I227:I$490),0))*'[1]Processer - data'!I225,"")*IF($C225&lt;&gt;"",IF($F225="Halm",Landbrug!D$16*Landbrug!D$17,IF(LEFT($D225,5)="Areal", IF($G225="Ton",Landbrug!D$18,1),1)),1)*IF($F225="Grøntsager",IF($A225="Grøntsager i drivhus",Landbrug!D$51,1-Landbrug!D$51),1)</f>
        <v>#REF!</v>
      </c>
      <c r="J225" s="304" t="e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input'!$A$3:$A$230,$A$1)),IF(VLOOKUP($A225,[1]!Table1[#All],2,FALSE)="Resultat",SUMIF($F$1:$F224,$D225,J$1:J224)+SUMIF($F227:$F$490,$D225,J227:J$490),0))*'[1]Processer - data'!J225,"")*IF($C225&lt;&gt;"",IF($F225="Halm",Landbrug!E$16*Landbrug!E$17,IF(LEFT($D225,5)="Areal", IF($G225="Ton",Landbrug!E$18,1),1)),1)*IF($F225="Grøntsager",IF($A225="Grøntsager i drivhus",Landbrug!E$51,1-Landbrug!E$51),1)</f>
        <v>#REF!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Økologisk</v>
      </c>
      <c r="C226" t="str">
        <f>IF('[1]Processer - data'!C226&lt;&gt;"",'[1]Processer - data'!C226,"")</f>
        <v>OC12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Gødning</v>
      </c>
      <c r="G226" t="str">
        <f>IF('[1]Processer - data'!G226&lt;&gt;"",'[1]Processer - data'!G226,"")</f>
        <v>kg N</v>
      </c>
      <c r="H226" s="302" t="e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input'!$A$3:$A$230,$A$1)),IF(VLOOKUP($A226,[1]!Table1[#All],2,FALSE)="Resultat",SUMIF($F$1:$F224,$D226,H$1:H224)+SUMIF($F227:$F$490,$D226,H227:H$490),0))*'[1]Processer - data'!H226,"")*IF($C226&lt;&gt;"",IF($F226="Halm",Landbrug!C$16*Landbrug!C$17,IF(LEFT($D226,5)="Areal", IF($G226="Ton",Landbrug!C$18,1),1)),1)*IF($F226="Grøntsager",IF($A226="Grøntsager i drivhus",Landbrug!C$51,1-Landbrug!C$51),1)</f>
        <v>#REF!</v>
      </c>
      <c r="I226" s="303" t="e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input'!$A$3:$A$230,$A$1)),IF(VLOOKUP($A226,[1]!Table1[#All],2,FALSE)="Resultat",SUMIF($F$1:$F224,$D226,I$1:I224)+SUMIF($F227:$F$490,$D226,I227:I$490),0))*'[1]Processer - data'!I226,"")*IF($C226&lt;&gt;"",IF($F226="Halm",Landbrug!D$16*Landbrug!D$17,IF(LEFT($D226,5)="Areal", IF($G226="Ton",Landbrug!D$18,1),1)),1)*IF($F226="Grøntsager",IF($A226="Grøntsager i drivhus",Landbrug!D$51,1-Landbrug!D$51),1)</f>
        <v>#REF!</v>
      </c>
      <c r="J226" s="304" t="e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input'!$A$3:$A$230,$A$1)),IF(VLOOKUP($A226,[1]!Table1[#All],2,FALSE)="Resultat",SUMIF($F$1:$F224,$D226,J$1:J224)+SUMIF($F227:$F$490,$D226,J227:J$490),0))*'[1]Processer - data'!J226,"")*IF($C226&lt;&gt;"",IF($F226="Halm",Landbrug!E$16*Landbrug!E$17,IF(LEFT($D226,5)="Areal", IF($G226="Ton",Landbrug!E$18,1),1)),1)*IF($F226="Grøntsager",IF($A226="Grøntsager i drivhus",Landbrug!E$51,1-Landbrug!E$51),1)</f>
        <v>#REF!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Økologisk</v>
      </c>
      <c r="C227" t="str">
        <f>IF('[1]Processer - data'!C227&lt;&gt;"",'[1]Processer - data'!C227,"")</f>
        <v>OC12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CO2 - atmosfære</v>
      </c>
      <c r="G227" t="str">
        <f>IF('[1]Processer - data'!G227&lt;&gt;"",'[1]Processer - data'!G227,"")</f>
        <v>t CO2-ækvivalenter</v>
      </c>
      <c r="H227" s="302" t="e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input'!$A$3:$A$230,$A$1)),IF(VLOOKUP($A227,[1]!Table1[#All],2,FALSE)="Resultat",SUMIF($F$1:$F226,$D227,H$1:H226)+SUMIF($F228:$F$490,$D227,H228:H$490),0))*'[1]Processer - data'!H227,"")*IF($C227&lt;&gt;"",IF($F227="Halm",Landbrug!C$16*Landbrug!C$17,IF(LEFT($D227,5)="Areal", IF($G227="Ton",Landbrug!C$18,1),1)),1)*IF($F227="Grøntsager",IF($A227="Grøntsager i drivhus",Landbrug!C$51,1-Landbrug!C$51),1)</f>
        <v>#REF!</v>
      </c>
      <c r="I227" s="303" t="e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input'!$A$3:$A$230,$A$1)),IF(VLOOKUP($A227,[1]!Table1[#All],2,FALSE)="Resultat",SUMIF($F$1:$F226,$D227,I$1:I226)+SUMIF($F228:$F$490,$D227,I228:I$490),0))*'[1]Processer - data'!I227,"")*IF($C227&lt;&gt;"",IF($F227="Halm",Landbrug!D$16*Landbrug!D$17,IF(LEFT($D227,5)="Areal", IF($G227="Ton",Landbrug!D$18,1),1)),1)*IF($F227="Grøntsager",IF($A227="Grøntsager i drivhus",Landbrug!D$51,1-Landbrug!D$51),1)</f>
        <v>#REF!</v>
      </c>
      <c r="J227" s="304" t="e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input'!$A$3:$A$230,$A$1)),IF(VLOOKUP($A227,[1]!Table1[#All],2,FALSE)="Resultat",SUMIF($F$1:$F226,$D227,J$1:J226)+SUMIF($F228:$F$490,$D227,J228:J$490),0))*'[1]Processer - data'!J227,"")*IF($C227&lt;&gt;"",IF($F227="Halm",Landbrug!E$16*Landbrug!E$17,IF(LEFT($D227,5)="Areal", IF($G227="Ton",Landbrug!E$18,1),1)),1)*IF($F227="Grøntsager",IF($A227="Grøntsager i drivhus",Landbrug!E$51,1-Landbrug!E$51),1)</f>
        <v>#REF!</v>
      </c>
    </row>
    <row r="228" spans="1:10" x14ac:dyDescent="0.25">
      <c r="A228" t="str">
        <f>IF('[1]Processer - data'!A228&lt;&gt;"",'[1]Processer - data'!A228,"")</f>
        <v>Roemark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Areal-roer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Roer</v>
      </c>
      <c r="G228" t="str">
        <f>IF('[1]Processer - data'!G228&lt;&gt;"",'[1]Processer - data'!G228,"")</f>
        <v>Ton</v>
      </c>
      <c r="H228" s="302" t="e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input'!$A$3:$A$230,$A$1)),IF(VLOOKUP($A228,[1]!Table1[#All],2,FALSE)="Resultat",SUMIF($F$1:$F227,$D228,H$1:H227)+SUMIF($F229:$F$490,$D228,H229:H$490),0))*'[1]Processer - data'!H228,"")*IF($C228&lt;&gt;"",IF($F228="Halm",Landbrug!C$16*Landbrug!C$17,IF(LEFT($D228,5)="Areal", IF($G228="Ton",Landbrug!C$18,1),1)),1)*IF($F228="Grøntsager",IF($A228="Grøntsager i drivhus",Landbrug!C$51,1-Landbrug!C$51),1)</f>
        <v>#REF!</v>
      </c>
      <c r="I228" s="303" t="e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input'!$A$3:$A$230,$A$1)),IF(VLOOKUP($A228,[1]!Table1[#All],2,FALSE)="Resultat",SUMIF($F$1:$F227,$D228,I$1:I227)+SUMIF($F229:$F$490,$D228,I229:I$490),0))*'[1]Processer - data'!I228,"")*IF($C228&lt;&gt;"",IF($F228="Halm",Landbrug!D$16*Landbrug!D$17,IF(LEFT($D228,5)="Areal", IF($G228="Ton",Landbrug!D$18,1),1)),1)*IF($F228="Grøntsager",IF($A228="Grøntsager i drivhus",Landbrug!D$51,1-Landbrug!D$51),1)</f>
        <v>#REF!</v>
      </c>
      <c r="J228" s="304" t="e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input'!$A$3:$A$230,$A$1)),IF(VLOOKUP($A228,[1]!Table1[#All],2,FALSE)="Resultat",SUMIF($F$1:$F227,$D228,J$1:J227)+SUMIF($F229:$F$490,$D228,J229:J$490),0))*'[1]Processer - data'!J228,"")*IF($C228&lt;&gt;"",IF($F228="Halm",Landbrug!E$16*Landbrug!E$17,IF(LEFT($D228,5)="Areal", IF($G228="Ton",Landbrug!E$18,1),1)),1)*IF($F228="Grøntsager",IF($A228="Grøntsager i drivhus",Landbrug!E$51,1-Landbrug!E$51),1)</f>
        <v>#REF!</v>
      </c>
    </row>
    <row r="229" spans="1:10" x14ac:dyDescent="0.25">
      <c r="A229" t="str">
        <f>IF('[1]Processer - data'!A229&lt;&gt;"",'[1]Processer - data'!A229,"")</f>
        <v>Roemark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JB1-10</v>
      </c>
      <c r="D229" t="str">
        <f>IF('[1]Processer - data'!D229&lt;&gt;"",'[1]Processer - data'!D229,"")</f>
        <v>Areal-roer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Gødning</v>
      </c>
      <c r="G229" t="str">
        <f>IF('[1]Processer - data'!G229&lt;&gt;"",'[1]Processer - data'!G229,"")</f>
        <v>kg N</v>
      </c>
      <c r="H229" s="302" t="e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input'!$A$3:$A$230,$A$1)),IF(VLOOKUP($A229,[1]!Table1[#All],2,FALSE)="Resultat",SUMIF($F$1:$F228,$D229,H$1:H228)+SUMIF($F230:$F$490,$D229,H230:H$490),0))*'[1]Processer - data'!H229,"")*IF($C229&lt;&gt;"",IF($F229="Halm",Landbrug!C$16*Landbrug!C$17,IF(LEFT($D229,5)="Areal", IF($G229="Ton",Landbrug!C$18,1),1)),1)*IF($F229="Grøntsager",IF($A229="Grøntsager i drivhus",Landbrug!C$51,1-Landbrug!C$51),1)</f>
        <v>#REF!</v>
      </c>
      <c r="I229" s="303" t="e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input'!$A$3:$A$230,$A$1)),IF(VLOOKUP($A229,[1]!Table1[#All],2,FALSE)="Resultat",SUMIF($F$1:$F228,$D229,I$1:I228)+SUMIF($F230:$F$490,$D229,I230:I$490),0))*'[1]Processer - data'!I229,"")*IF($C229&lt;&gt;"",IF($F229="Halm",Landbrug!D$16*Landbrug!D$17,IF(LEFT($D229,5)="Areal", IF($G229="Ton",Landbrug!D$18,1),1)),1)*IF($F229="Grøntsager",IF($A229="Grøntsager i drivhus",Landbrug!D$51,1-Landbrug!D$51),1)</f>
        <v>#REF!</v>
      </c>
      <c r="J229" s="304" t="e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input'!$A$3:$A$230,$A$1)),IF(VLOOKUP($A229,[1]!Table1[#All],2,FALSE)="Resultat",SUMIF($F$1:$F228,$D229,J$1:J228)+SUMIF($F230:$F$490,$D229,J230:J$490),0))*'[1]Processer - data'!J229,"")*IF($C229&lt;&gt;"",IF($F229="Halm",Landbrug!E$16*Landbrug!E$17,IF(LEFT($D229,5)="Areal", IF($G229="Ton",Landbrug!E$18,1),1)),1)*IF($F229="Grøntsager",IF($A229="Grøntsager i drivhus",Landbrug!E$51,1-Landbrug!E$51),1)</f>
        <v>#REF!</v>
      </c>
    </row>
    <row r="230" spans="1:10" x14ac:dyDescent="0.25">
      <c r="A230" t="str">
        <f>IF('[1]Processer - data'!A230&lt;&gt;"",'[1]Processer - data'!A230,"")</f>
        <v>Roemark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JB1-10</v>
      </c>
      <c r="D230" t="str">
        <f>IF('[1]Processer - data'!D230&lt;&gt;"",'[1]Processer - data'!D230,"")</f>
        <v>Areal-roer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CO2 - atmosfære</v>
      </c>
      <c r="G230" t="str">
        <f>IF('[1]Processer - data'!G230&lt;&gt;"",'[1]Processer - data'!G230,"")</f>
        <v>t CO2-ækvivalenter</v>
      </c>
      <c r="H230" s="302" t="e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input'!$A$3:$A$230,$A$1)),IF(VLOOKUP($A230,[1]!Table1[#All],2,FALSE)="Resultat",SUMIF($F$1:$F229,$D230,H$1:H229)+SUMIF($F231:$F$490,$D230,H231:H$490),0))*'[1]Processer - data'!H230,"")*IF($C230&lt;&gt;"",IF($F230="Halm",Landbrug!C$16*Landbrug!C$17,IF(LEFT($D230,5)="Areal", IF($G230="Ton",Landbrug!C$18,1),1)),1)*IF($F230="Grøntsager",IF($A230="Grøntsager i drivhus",Landbrug!C$51,1-Landbrug!C$51),1)</f>
        <v>#REF!</v>
      </c>
      <c r="I230" s="303" t="e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input'!$A$3:$A$230,$A$1)),IF(VLOOKUP($A230,[1]!Table1[#All],2,FALSE)="Resultat",SUMIF($F$1:$F229,$D230,I$1:I229)+SUMIF($F231:$F$490,$D230,I231:I$490),0))*'[1]Processer - data'!I230,"")*IF($C230&lt;&gt;"",IF($F230="Halm",Landbrug!D$16*Landbrug!D$17,IF(LEFT($D230,5)="Areal", IF($G230="Ton",Landbrug!D$18,1),1)),1)*IF($F230="Grøntsager",IF($A230="Grøntsager i drivhus",Landbrug!D$51,1-Landbrug!D$51),1)</f>
        <v>#REF!</v>
      </c>
      <c r="J230" s="304" t="e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input'!$A$3:$A$230,$A$1)),IF(VLOOKUP($A230,[1]!Table1[#All],2,FALSE)="Resultat",SUMIF($F$1:$F229,$D230,J$1:J229)+SUMIF($F231:$F$490,$D230,J231:J$490),0))*'[1]Processer - data'!J230,"")*IF($C230&lt;&gt;"",IF($F230="Halm",Landbrug!E$16*Landbrug!E$17,IF(LEFT($D230,5)="Areal", IF($G230="Ton",Landbrug!E$18,1),1)),1)*IF($F230="Grøntsager",IF($A230="Grøntsager i drivhus",Landbrug!E$51,1-Landbrug!E$51),1)</f>
        <v>#REF!</v>
      </c>
    </row>
    <row r="231" spans="1:10" x14ac:dyDescent="0.25">
      <c r="A231" t="str">
        <f>IF('[1]Processer - data'!A231&lt;&gt;"",'[1]Processer - data'!A231,"")</f>
        <v>Roemark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Areal-roer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Roer</v>
      </c>
      <c r="G231" t="str">
        <f>IF('[1]Processer - data'!G231&lt;&gt;"",'[1]Processer - data'!G231,"")</f>
        <v>Ton</v>
      </c>
      <c r="H231" s="302" t="e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input'!$A$3:$A$230,$A$1)),IF(VLOOKUP($A231,[1]!Table1[#All],2,FALSE)="Resultat",SUMIF($F$1:$F230,$D231,H$1:H230)+SUMIF($F232:$F$490,$D231,H232:H$490),0))*'[1]Processer - data'!H231,"")*IF($C231&lt;&gt;"",IF($F231="Halm",Landbrug!C$16*Landbrug!C$17,IF(LEFT($D231,5)="Areal", IF($G231="Ton",Landbrug!C$18,1),1)),1)*IF($F231="Grøntsager",IF($A231="Grøntsager i drivhus",Landbrug!C$51,1-Landbrug!C$51),1)</f>
        <v>#REF!</v>
      </c>
      <c r="I231" s="303" t="e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input'!$A$3:$A$230,$A$1)),IF(VLOOKUP($A231,[1]!Table1[#All],2,FALSE)="Resultat",SUMIF($F$1:$F230,$D231,I$1:I230)+SUMIF($F232:$F$490,$D231,I232:I$490),0))*'[1]Processer - data'!I231,"")*IF($C231&lt;&gt;"",IF($F231="Halm",Landbrug!D$16*Landbrug!D$17,IF(LEFT($D231,5)="Areal", IF($G231="Ton",Landbrug!D$18,1),1)),1)*IF($F231="Grøntsager",IF($A231="Grøntsager i drivhus",Landbrug!D$51,1-Landbrug!D$51),1)</f>
        <v>#REF!</v>
      </c>
      <c r="J231" s="304" t="e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input'!$A$3:$A$230,$A$1)),IF(VLOOKUP($A231,[1]!Table1[#All],2,FALSE)="Resultat",SUMIF($F$1:$F230,$D231,J$1:J230)+SUMIF($F232:$F$490,$D231,J232:J$490),0))*'[1]Processer - data'!J231,"")*IF($C231&lt;&gt;"",IF($F231="Halm",Landbrug!E$16*Landbrug!E$17,IF(LEFT($D231,5)="Areal", IF($G231="Ton",Landbrug!E$18,1),1)),1)*IF($F231="Grøntsager",IF($A231="Grøntsager i drivhus",Landbrug!E$51,1-Landbrug!E$51),1)</f>
        <v>#REF!</v>
      </c>
    </row>
    <row r="232" spans="1:10" x14ac:dyDescent="0.25">
      <c r="A232" t="str">
        <f>IF('[1]Processer - data'!A232&lt;&gt;"",'[1]Processer - data'!A232,"")</f>
        <v>Roemark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Areal-roer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Gødning</v>
      </c>
      <c r="G232" t="str">
        <f>IF('[1]Processer - data'!G232&lt;&gt;"",'[1]Processer - data'!G232,"")</f>
        <v>kg N</v>
      </c>
      <c r="H232" s="302" t="e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input'!$A$3:$A$230,$A$1)),IF(VLOOKUP($A232,[1]!Table1[#All],2,FALSE)="Resultat",SUMIF($F$1:$F231,$D232,H$1:H231)+SUMIF($F233:$F$490,$D232,H233:H$490),0))*'[1]Processer - data'!H232,"")*IF($C232&lt;&gt;"",IF($F232="Halm",Landbrug!C$16*Landbrug!C$17,IF(LEFT($D232,5)="Areal", IF($G232="Ton",Landbrug!C$18,1),1)),1)*IF($F232="Grøntsager",IF($A232="Grøntsager i drivhus",Landbrug!C$51,1-Landbrug!C$51),1)</f>
        <v>#REF!</v>
      </c>
      <c r="I232" s="303" t="e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input'!$A$3:$A$230,$A$1)),IF(VLOOKUP($A232,[1]!Table1[#All],2,FALSE)="Resultat",SUMIF($F$1:$F231,$D232,I$1:I231)+SUMIF($F233:$F$490,$D232,I233:I$490),0))*'[1]Processer - data'!I232,"")*IF($C232&lt;&gt;"",IF($F232="Halm",Landbrug!D$16*Landbrug!D$17,IF(LEFT($D232,5)="Areal", IF($G232="Ton",Landbrug!D$18,1),1)),1)*IF($F232="Grøntsager",IF($A232="Grøntsager i drivhus",Landbrug!D$51,1-Landbrug!D$51),1)</f>
        <v>#REF!</v>
      </c>
      <c r="J232" s="304" t="e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input'!$A$3:$A$230,$A$1)),IF(VLOOKUP($A232,[1]!Table1[#All],2,FALSE)="Resultat",SUMIF($F$1:$F231,$D232,J$1:J231)+SUMIF($F233:$F$490,$D232,J233:J$490),0))*'[1]Processer - data'!J232,"")*IF($C232&lt;&gt;"",IF($F232="Halm",Landbrug!E$16*Landbrug!E$17,IF(LEFT($D232,5)="Areal", IF($G232="Ton",Landbrug!E$18,1),1)),1)*IF($F232="Grøntsager",IF($A232="Grøntsager i drivhus",Landbrug!E$51,1-Landbrug!E$51),1)</f>
        <v>#REF!</v>
      </c>
    </row>
    <row r="233" spans="1:10" x14ac:dyDescent="0.25">
      <c r="A233" t="str">
        <f>IF('[1]Processer - data'!A233&lt;&gt;"",'[1]Processer - data'!A233,"")</f>
        <v>Roemark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OC6</v>
      </c>
      <c r="D233" t="str">
        <f>IF('[1]Processer - data'!D233&lt;&gt;"",'[1]Processer - data'!D233,"")</f>
        <v>Areal-roer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CO2 - atmosfære</v>
      </c>
      <c r="G233" t="str">
        <f>IF('[1]Processer - data'!G233&lt;&gt;"",'[1]Processer - data'!G233,"")</f>
        <v>t CO2-ækvivalenter</v>
      </c>
      <c r="H233" s="302" t="e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input'!$A$3:$A$230,$A$1)),IF(VLOOKUP($A233,[1]!Table1[#All],2,FALSE)="Resultat",SUMIF($F$1:$F232,$D233,H$1:H232)+SUMIF($F234:$F$490,$D233,H234:H$490),0))*'[1]Processer - data'!H233,"")*IF($C233&lt;&gt;"",IF($F233="Halm",Landbrug!C$16*Landbrug!C$17,IF(LEFT($D233,5)="Areal", IF($G233="Ton",Landbrug!C$18,1),1)),1)*IF($F233="Grøntsager",IF($A233="Grøntsager i drivhus",Landbrug!C$51,1-Landbrug!C$51),1)</f>
        <v>#REF!</v>
      </c>
      <c r="I233" s="303" t="e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input'!$A$3:$A$230,$A$1)),IF(VLOOKUP($A233,[1]!Table1[#All],2,FALSE)="Resultat",SUMIF($F$1:$F232,$D233,I$1:I232)+SUMIF($F234:$F$490,$D233,I234:I$490),0))*'[1]Processer - data'!I233,"")*IF($C233&lt;&gt;"",IF($F233="Halm",Landbrug!D$16*Landbrug!D$17,IF(LEFT($D233,5)="Areal", IF($G233="Ton",Landbrug!D$18,1),1)),1)*IF($F233="Grøntsager",IF($A233="Grøntsager i drivhus",Landbrug!D$51,1-Landbrug!D$51),1)</f>
        <v>#REF!</v>
      </c>
      <c r="J233" s="304" t="e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input'!$A$3:$A$230,$A$1)),IF(VLOOKUP($A233,[1]!Table1[#All],2,FALSE)="Resultat",SUMIF($F$1:$F232,$D233,J$1:J232)+SUMIF($F234:$F$490,$D233,J234:J$490),0))*'[1]Processer - data'!J233,"")*IF($C233&lt;&gt;"",IF($F233="Halm",Landbrug!E$16*Landbrug!E$17,IF(LEFT($D233,5)="Areal", IF($G233="Ton",Landbrug!E$18,1),1)),1)*IF($F233="Grøntsager",IF($A233="Grøntsager i drivhus",Landbrug!E$51,1-Landbrug!E$51),1)</f>
        <v>#REF!</v>
      </c>
    </row>
    <row r="234" spans="1:10" x14ac:dyDescent="0.25">
      <c r="A234" t="str">
        <f>IF('[1]Processer - data'!A234&lt;&gt;"",'[1]Processer - data'!A234,"")</f>
        <v>Roemark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Areal-roer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Roer</v>
      </c>
      <c r="G234" t="str">
        <f>IF('[1]Processer - data'!G234&lt;&gt;"",'[1]Processer - data'!G234,"")</f>
        <v>Ton</v>
      </c>
      <c r="H234" s="302" t="e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input'!$A$3:$A$230,$A$1)),IF(VLOOKUP($A234,[1]!Table1[#All],2,FALSE)="Resultat",SUMIF($F$1:$F233,$D234,H$1:H233)+SUMIF($F235:$F$490,$D234,H235:H$490),0))*'[1]Processer - data'!H234,"")*IF($C234&lt;&gt;"",IF($F234="Halm",Landbrug!C$16*Landbrug!C$17,IF(LEFT($D234,5)="Areal", IF($G234="Ton",Landbrug!C$18,1),1)),1)*IF($F234="Grøntsager",IF($A234="Grøntsager i drivhus",Landbrug!C$51,1-Landbrug!C$51),1)</f>
        <v>#REF!</v>
      </c>
      <c r="I234" s="303" t="e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input'!$A$3:$A$230,$A$1)),IF(VLOOKUP($A234,[1]!Table1[#All],2,FALSE)="Resultat",SUMIF($F$1:$F233,$D234,I$1:I233)+SUMIF($F235:$F$490,$D234,I235:I$490),0))*'[1]Processer - data'!I234,"")*IF($C234&lt;&gt;"",IF($F234="Halm",Landbrug!D$16*Landbrug!D$17,IF(LEFT($D234,5)="Areal", IF($G234="Ton",Landbrug!D$18,1),1)),1)*IF($F234="Grøntsager",IF($A234="Grøntsager i drivhus",Landbrug!D$51,1-Landbrug!D$51),1)</f>
        <v>#REF!</v>
      </c>
      <c r="J234" s="304" t="e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input'!$A$3:$A$230,$A$1)),IF(VLOOKUP($A234,[1]!Table1[#All],2,FALSE)="Resultat",SUMIF($F$1:$F233,$D234,J$1:J233)+SUMIF($F235:$F$490,$D234,J235:J$490),0))*'[1]Processer - data'!J234,"")*IF($C234&lt;&gt;"",IF($F234="Halm",Landbrug!E$16*Landbrug!E$17,IF(LEFT($D234,5)="Areal", IF($G234="Ton",Landbrug!E$18,1),1)),1)*IF($F234="Grøntsager",IF($A234="Grøntsager i drivhus",Landbrug!E$51,1-Landbrug!E$51),1)</f>
        <v>#REF!</v>
      </c>
    </row>
    <row r="235" spans="1:10" x14ac:dyDescent="0.25">
      <c r="A235" t="str">
        <f>IF('[1]Processer - data'!A235&lt;&gt;"",'[1]Processer - data'!A235,"")</f>
        <v>Roemark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Areal-roer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2" t="e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input'!$A$3:$A$230,$A$1)),IF(VLOOKUP($A235,[1]!Table1[#All],2,FALSE)="Resultat",SUMIF($F$1:$F234,$D235,H$1:H234)+SUMIF($F236:$F$490,$D235,H236:H$490),0))*'[1]Processer - data'!H235,"")*IF($C235&lt;&gt;"",IF($F235="Halm",Landbrug!C$16*Landbrug!C$17,IF(LEFT($D235,5)="Areal", IF($G235="Ton",Landbrug!C$18,1),1)),1)*IF($F235="Grøntsager",IF($A235="Grøntsager i drivhus",Landbrug!C$51,1-Landbrug!C$51),1)</f>
        <v>#REF!</v>
      </c>
      <c r="I235" s="303" t="e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input'!$A$3:$A$230,$A$1)),IF(VLOOKUP($A235,[1]!Table1[#All],2,FALSE)="Resultat",SUMIF($F$1:$F234,$D235,I$1:I234)+SUMIF($F236:$F$490,$D235,I236:I$490),0))*'[1]Processer - data'!I235,"")*IF($C235&lt;&gt;"",IF($F235="Halm",Landbrug!D$16*Landbrug!D$17,IF(LEFT($D235,5)="Areal", IF($G235="Ton",Landbrug!D$18,1),1)),1)*IF($F235="Grøntsager",IF($A235="Grøntsager i drivhus",Landbrug!D$51,1-Landbrug!D$51),1)</f>
        <v>#REF!</v>
      </c>
      <c r="J235" s="304" t="e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input'!$A$3:$A$230,$A$1)),IF(VLOOKUP($A235,[1]!Table1[#All],2,FALSE)="Resultat",SUMIF($F$1:$F234,$D235,J$1:J234)+SUMIF($F236:$F$490,$D235,J236:J$490),0))*'[1]Processer - data'!J235,"")*IF($C235&lt;&gt;"",IF($F235="Halm",Landbrug!E$16*Landbrug!E$17,IF(LEFT($D235,5)="Areal", IF($G235="Ton",Landbrug!E$18,1),1)),1)*IF($F235="Grøntsager",IF($A235="Grøntsager i drivhus",Landbrug!E$51,1-Landbrug!E$51),1)</f>
        <v>#REF!</v>
      </c>
    </row>
    <row r="236" spans="1:10" x14ac:dyDescent="0.25">
      <c r="A236" t="str">
        <f>IF('[1]Processer - data'!A236&lt;&gt;"",'[1]Processer - data'!A236,"")</f>
        <v>Roemark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Areal-roer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2" t="e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input'!$A$3:$A$230,$A$1)),IF(VLOOKUP($A236,[1]!Table1[#All],2,FALSE)="Resultat",SUMIF($F$1:$F235,$D236,H$1:H235)+SUMIF($F237:$F$490,$D236,H237:H$490),0))*'[1]Processer - data'!H236,"")*IF($C236&lt;&gt;"",IF($F236="Halm",Landbrug!C$16*Landbrug!C$17,IF(LEFT($D236,5)="Areal", IF($G236="Ton",Landbrug!C$18,1),1)),1)*IF($F236="Grøntsager",IF($A236="Grøntsager i drivhus",Landbrug!C$51,1-Landbrug!C$51),1)</f>
        <v>#REF!</v>
      </c>
      <c r="I236" s="303" t="e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input'!$A$3:$A$230,$A$1)),IF(VLOOKUP($A236,[1]!Table1[#All],2,FALSE)="Resultat",SUMIF($F$1:$F235,$D236,I$1:I235)+SUMIF($F237:$F$490,$D236,I237:I$490),0))*'[1]Processer - data'!I236,"")*IF($C236&lt;&gt;"",IF($F236="Halm",Landbrug!D$16*Landbrug!D$17,IF(LEFT($D236,5)="Areal", IF($G236="Ton",Landbrug!D$18,1),1)),1)*IF($F236="Grøntsager",IF($A236="Grøntsager i drivhus",Landbrug!D$51,1-Landbrug!D$51),1)</f>
        <v>#REF!</v>
      </c>
      <c r="J236" s="304" t="e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input'!$A$3:$A$230,$A$1)),IF(VLOOKUP($A236,[1]!Table1[#All],2,FALSE)="Resultat",SUMIF($F$1:$F235,$D236,J$1:J235)+SUMIF($F237:$F$490,$D236,J237:J$490),0))*'[1]Processer - data'!J236,"")*IF($C236&lt;&gt;"",IF($F236="Halm",Landbrug!E$16*Landbrug!E$17,IF(LEFT($D236,5)="Areal", IF($G236="Ton",Landbrug!E$18,1),1)),1)*IF($F236="Grøntsager",IF($A236="Grøntsager i drivhus",Landbrug!E$51,1-Landbrug!E$51),1)</f>
        <v>#REF!</v>
      </c>
    </row>
    <row r="237" spans="1:10" x14ac:dyDescent="0.25">
      <c r="A237" t="str">
        <f>IF('[1]Processer - data'!A237&lt;&gt;"",'[1]Processer - data'!A237,"")</f>
        <v>Roemark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Areal-roer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Roer</v>
      </c>
      <c r="G237" t="str">
        <f>IF('[1]Processer - data'!G237&lt;&gt;"",'[1]Processer - data'!G237,"")</f>
        <v>Ton</v>
      </c>
      <c r="H237" s="302" t="e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input'!$A$3:$A$230,$A$1)),IF(VLOOKUP($A237,[1]!Table1[#All],2,FALSE)="Resultat",SUMIF($F$1:$F236,$D237,H$1:H236)+SUMIF($F238:$F$490,$D237,H238:H$490),0))*'[1]Processer - data'!H237,"")*IF($C237&lt;&gt;"",IF($F237="Halm",Landbrug!C$16*Landbrug!C$17,IF(LEFT($D237,5)="Areal", IF($G237="Ton",Landbrug!C$18,1),1)),1)*IF($F237="Grøntsager",IF($A237="Grøntsager i drivhus",Landbrug!C$51,1-Landbrug!C$51),1)</f>
        <v>#REF!</v>
      </c>
      <c r="I237" s="303" t="e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input'!$A$3:$A$230,$A$1)),IF(VLOOKUP($A237,[1]!Table1[#All],2,FALSE)="Resultat",SUMIF($F$1:$F236,$D237,I$1:I236)+SUMIF($F238:$F$490,$D237,I238:I$490),0))*'[1]Processer - data'!I237,"")*IF($C237&lt;&gt;"",IF($F237="Halm",Landbrug!D$16*Landbrug!D$17,IF(LEFT($D237,5)="Areal", IF($G237="Ton",Landbrug!D$18,1),1)),1)*IF($F237="Grøntsager",IF($A237="Grøntsager i drivhus",Landbrug!D$51,1-Landbrug!D$51),1)</f>
        <v>#REF!</v>
      </c>
      <c r="J237" s="304" t="e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input'!$A$3:$A$230,$A$1)),IF(VLOOKUP($A237,[1]!Table1[#All],2,FALSE)="Resultat",SUMIF($F$1:$F236,$D237,J$1:J236)+SUMIF($F238:$F$490,$D237,J238:J$490),0))*'[1]Processer - data'!J237,"")*IF($C237&lt;&gt;"",IF($F237="Halm",Landbrug!E$16*Landbrug!E$17,IF(LEFT($D237,5)="Areal", IF($G237="Ton",Landbrug!E$18,1),1)),1)*IF($F237="Grøntsager",IF($A237="Grøntsager i drivhus",Landbrug!E$51,1-Landbrug!E$51),1)</f>
        <v>#REF!</v>
      </c>
    </row>
    <row r="238" spans="1:10" x14ac:dyDescent="0.25">
      <c r="A238" t="str">
        <f>IF('[1]Processer - data'!A238&lt;&gt;"",'[1]Processer - data'!A238,"")</f>
        <v>Roemark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Areal-roer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Gødning</v>
      </c>
      <c r="G238" t="str">
        <f>IF('[1]Processer - data'!G238&lt;&gt;"",'[1]Processer - data'!G238,"")</f>
        <v>kg N</v>
      </c>
      <c r="H238" s="302" t="e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input'!$A$3:$A$230,$A$1)),IF(VLOOKUP($A238,[1]!Table1[#All],2,FALSE)="Resultat",SUMIF($F$1:$F237,$D238,H$1:H237)+SUMIF($F239:$F$490,$D238,H239:H$490),0))*'[1]Processer - data'!H238,"")*IF($C238&lt;&gt;"",IF($F238="Halm",Landbrug!C$16*Landbrug!C$17,IF(LEFT($D238,5)="Areal", IF($G238="Ton",Landbrug!C$18,1),1)),1)*IF($F238="Grøntsager",IF($A238="Grøntsager i drivhus",Landbrug!C$51,1-Landbrug!C$51),1)</f>
        <v>#REF!</v>
      </c>
      <c r="I238" s="303" t="e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input'!$A$3:$A$230,$A$1)),IF(VLOOKUP($A238,[1]!Table1[#All],2,FALSE)="Resultat",SUMIF($F$1:$F237,$D238,I$1:I237)+SUMIF($F239:$F$490,$D238,I239:I$490),0))*'[1]Processer - data'!I238,"")*IF($C238&lt;&gt;"",IF($F238="Halm",Landbrug!D$16*Landbrug!D$17,IF(LEFT($D238,5)="Areal", IF($G238="Ton",Landbrug!D$18,1),1)),1)*IF($F238="Grøntsager",IF($A238="Grøntsager i drivhus",Landbrug!D$51,1-Landbrug!D$51),1)</f>
        <v>#REF!</v>
      </c>
      <c r="J238" s="304" t="e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input'!$A$3:$A$230,$A$1)),IF(VLOOKUP($A238,[1]!Table1[#All],2,FALSE)="Resultat",SUMIF($F$1:$F237,$D238,J$1:J237)+SUMIF($F239:$F$490,$D238,J239:J$490),0))*'[1]Processer - data'!J238,"")*IF($C238&lt;&gt;"",IF($F238="Halm",Landbrug!E$16*Landbrug!E$17,IF(LEFT($D238,5)="Areal", IF($G238="Ton",Landbrug!E$18,1),1)),1)*IF($F238="Grøntsager",IF($A238="Grøntsager i drivhus",Landbrug!E$51,1-Landbrug!E$51),1)</f>
        <v>#REF!</v>
      </c>
    </row>
    <row r="239" spans="1:10" x14ac:dyDescent="0.25">
      <c r="A239" t="str">
        <f>IF('[1]Processer - data'!A239&lt;&gt;"",'[1]Processer - data'!A239,"")</f>
        <v>Roemark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Areal-roer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CO2 - atmosfære</v>
      </c>
      <c r="G239" t="str">
        <f>IF('[1]Processer - data'!G239&lt;&gt;"",'[1]Processer - data'!G239,"")</f>
        <v>t CO2-ækvivalenter</v>
      </c>
      <c r="H239" s="302" t="e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input'!$A$3:$A$230,$A$1)),IF(VLOOKUP($A239,[1]!Table1[#All],2,FALSE)="Resultat",SUMIF($F$1:$F238,$D239,H$1:H238)+SUMIF($F240:$F$490,$D239,H240:H$490),0))*'[1]Processer - data'!H239,"")*IF($C239&lt;&gt;"",IF($F239="Halm",Landbrug!C$16*Landbrug!C$17,IF(LEFT($D239,5)="Areal", IF($G239="Ton",Landbrug!C$18,1),1)),1)*IF($F239="Grøntsager",IF($A239="Grøntsager i drivhus",Landbrug!C$51,1-Landbrug!C$51),1)</f>
        <v>#REF!</v>
      </c>
      <c r="I239" s="303" t="e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input'!$A$3:$A$230,$A$1)),IF(VLOOKUP($A239,[1]!Table1[#All],2,FALSE)="Resultat",SUMIF($F$1:$F238,$D239,I$1:I238)+SUMIF($F240:$F$490,$D239,I240:I$490),0))*'[1]Processer - data'!I239,"")*IF($C239&lt;&gt;"",IF($F239="Halm",Landbrug!D$16*Landbrug!D$17,IF(LEFT($D239,5)="Areal", IF($G239="Ton",Landbrug!D$18,1),1)),1)*IF($F239="Grøntsager",IF($A239="Grøntsager i drivhus",Landbrug!D$51,1-Landbrug!D$51),1)</f>
        <v>#REF!</v>
      </c>
      <c r="J239" s="304" t="e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input'!$A$3:$A$230,$A$1)),IF(VLOOKUP($A239,[1]!Table1[#All],2,FALSE)="Resultat",SUMIF($F$1:$F238,$D239,J$1:J238)+SUMIF($F240:$F$490,$D239,J240:J$490),0))*'[1]Processer - data'!J239,"")*IF($C239&lt;&gt;"",IF($F239="Halm",Landbrug!E$16*Landbrug!E$17,IF(LEFT($D239,5)="Areal", IF($G239="Ton",Landbrug!E$18,1),1)),1)*IF($F239="Grøntsager",IF($A239="Grøntsager i drivhus",Landbrug!E$51,1-Landbrug!E$51),1)</f>
        <v>#REF!</v>
      </c>
    </row>
    <row r="240" spans="1:10" x14ac:dyDescent="0.25">
      <c r="A240" t="str">
        <f>IF('[1]Processer - data'!A240&lt;&gt;"",'[1]Processer - data'!A240,"")</f>
        <v>Roemark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OC6</v>
      </c>
      <c r="D240" t="str">
        <f>IF('[1]Processer - data'!D240&lt;&gt;"",'[1]Processer - data'!D240,"")</f>
        <v>Areal-roer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Roer</v>
      </c>
      <c r="G240" t="str">
        <f>IF('[1]Processer - data'!G240&lt;&gt;"",'[1]Processer - data'!G240,"")</f>
        <v>Ton</v>
      </c>
      <c r="H240" s="302" t="e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input'!$A$3:$A$230,$A$1)),IF(VLOOKUP($A240,[1]!Table1[#All],2,FALSE)="Resultat",SUMIF($F$1:$F239,$D240,H$1:H239)+SUMIF($F241:$F$490,$D240,H241:H$490),0))*'[1]Processer - data'!H240,"")*IF($C240&lt;&gt;"",IF($F240="Halm",Landbrug!C$16*Landbrug!C$17,IF(LEFT($D240,5)="Areal", IF($G240="Ton",Landbrug!C$18,1),1)),1)*IF($F240="Grøntsager",IF($A240="Grøntsager i drivhus",Landbrug!C$51,1-Landbrug!C$51),1)</f>
        <v>#REF!</v>
      </c>
      <c r="I240" s="303" t="e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input'!$A$3:$A$230,$A$1)),IF(VLOOKUP($A240,[1]!Table1[#All],2,FALSE)="Resultat",SUMIF($F$1:$F239,$D240,I$1:I239)+SUMIF($F241:$F$490,$D240,I241:I$490),0))*'[1]Processer - data'!I240,"")*IF($C240&lt;&gt;"",IF($F240="Halm",Landbrug!D$16*Landbrug!D$17,IF(LEFT($D240,5)="Areal", IF($G240="Ton",Landbrug!D$18,1),1)),1)*IF($F240="Grøntsager",IF($A240="Grøntsager i drivhus",Landbrug!D$51,1-Landbrug!D$51),1)</f>
        <v>#REF!</v>
      </c>
      <c r="J240" s="304" t="e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input'!$A$3:$A$230,$A$1)),IF(VLOOKUP($A240,[1]!Table1[#All],2,FALSE)="Resultat",SUMIF($F$1:$F239,$D240,J$1:J239)+SUMIF($F241:$F$490,$D240,J241:J$490),0))*'[1]Processer - data'!J240,"")*IF($C240&lt;&gt;"",IF($F240="Halm",Landbrug!E$16*Landbrug!E$17,IF(LEFT($D240,5)="Areal", IF($G240="Ton",Landbrug!E$18,1),1)),1)*IF($F240="Grøntsager",IF($A240="Grøntsager i drivhus",Landbrug!E$51,1-Landbrug!E$51),1)</f>
        <v>#REF!</v>
      </c>
    </row>
    <row r="241" spans="1:10" x14ac:dyDescent="0.25">
      <c r="A241" t="str">
        <f>IF('[1]Processer - data'!A241&lt;&gt;"",'[1]Processer - data'!A241,"")</f>
        <v>Roemark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Areal-roer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Gødning</v>
      </c>
      <c r="G241" t="str">
        <f>IF('[1]Processer - data'!G241&lt;&gt;"",'[1]Processer - data'!G241,"")</f>
        <v>kg N</v>
      </c>
      <c r="H241" s="302" t="e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input'!$A$3:$A$230,$A$1)),IF(VLOOKUP($A241,[1]!Table1[#All],2,FALSE)="Resultat",SUMIF($F$1:$F240,$D241,H$1:H240)+SUMIF($F242:$F$490,$D241,H242:H$490),0))*'[1]Processer - data'!H241,"")*IF($C241&lt;&gt;"",IF($F241="Halm",Landbrug!C$16*Landbrug!C$17,IF(LEFT($D241,5)="Areal", IF($G241="Ton",Landbrug!C$18,1),1)),1)*IF($F241="Grøntsager",IF($A241="Grøntsager i drivhus",Landbrug!C$51,1-Landbrug!C$51),1)</f>
        <v>#REF!</v>
      </c>
      <c r="I241" s="303" t="e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input'!$A$3:$A$230,$A$1)),IF(VLOOKUP($A241,[1]!Table1[#All],2,FALSE)="Resultat",SUMIF($F$1:$F240,$D241,I$1:I240)+SUMIF($F242:$F$490,$D241,I242:I$490),0))*'[1]Processer - data'!I241,"")*IF($C241&lt;&gt;"",IF($F241="Halm",Landbrug!D$16*Landbrug!D$17,IF(LEFT($D241,5)="Areal", IF($G241="Ton",Landbrug!D$18,1),1)),1)*IF($F241="Grøntsager",IF($A241="Grøntsager i drivhus",Landbrug!D$51,1-Landbrug!D$51),1)</f>
        <v>#REF!</v>
      </c>
      <c r="J241" s="304" t="e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input'!$A$3:$A$230,$A$1)),IF(VLOOKUP($A241,[1]!Table1[#All],2,FALSE)="Resultat",SUMIF($F$1:$F240,$D241,J$1:J240)+SUMIF($F242:$F$490,$D241,J242:J$490),0))*'[1]Processer - data'!J241,"")*IF($C241&lt;&gt;"",IF($F241="Halm",Landbrug!E$16*Landbrug!E$17,IF(LEFT($D241,5)="Areal", IF($G241="Ton",Landbrug!E$18,1),1)),1)*IF($F241="Grøntsager",IF($A241="Grøntsager i drivhus",Landbrug!E$51,1-Landbrug!E$51),1)</f>
        <v>#REF!</v>
      </c>
    </row>
    <row r="242" spans="1:10" x14ac:dyDescent="0.25">
      <c r="A242" t="str">
        <f>IF('[1]Processer - data'!A242&lt;&gt;"",'[1]Processer - data'!A242,"")</f>
        <v>Roemark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Areal-roer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CO2 - atmosfære</v>
      </c>
      <c r="G242" t="str">
        <f>IF('[1]Processer - data'!G242&lt;&gt;"",'[1]Processer - data'!G242,"")</f>
        <v>t CO2-ækvivalenter</v>
      </c>
      <c r="H242" s="302" t="e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input'!$A$3:$A$230,$A$1)),IF(VLOOKUP($A242,[1]!Table1[#All],2,FALSE)="Resultat",SUMIF($F$1:$F241,$D242,H$1:H241)+SUMIF($F243:$F$490,$D242,H243:H$490),0))*'[1]Processer - data'!H242,"")*IF($C242&lt;&gt;"",IF($F242="Halm",Landbrug!C$16*Landbrug!C$17,IF(LEFT($D242,5)="Areal", IF($G242="Ton",Landbrug!C$18,1),1)),1)*IF($F242="Grøntsager",IF($A242="Grøntsager i drivhus",Landbrug!C$51,1-Landbrug!C$51),1)</f>
        <v>#REF!</v>
      </c>
      <c r="I242" s="303" t="e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input'!$A$3:$A$230,$A$1)),IF(VLOOKUP($A242,[1]!Table1[#All],2,FALSE)="Resultat",SUMIF($F$1:$F241,$D242,I$1:I241)+SUMIF($F243:$F$490,$D242,I243:I$490),0))*'[1]Processer - data'!I242,"")*IF($C242&lt;&gt;"",IF($F242="Halm",Landbrug!D$16*Landbrug!D$17,IF(LEFT($D242,5)="Areal", IF($G242="Ton",Landbrug!D$18,1),1)),1)*IF($F242="Grøntsager",IF($A242="Grøntsager i drivhus",Landbrug!D$51,1-Landbrug!D$51),1)</f>
        <v>#REF!</v>
      </c>
      <c r="J242" s="304" t="e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input'!$A$3:$A$230,$A$1)),IF(VLOOKUP($A242,[1]!Table1[#All],2,FALSE)="Resultat",SUMIF($F$1:$F241,$D242,J$1:J241)+SUMIF($F243:$F$490,$D242,J243:J$490),0))*'[1]Processer - data'!J242,"")*IF($C242&lt;&gt;"",IF($F242="Halm",Landbrug!E$16*Landbrug!E$17,IF(LEFT($D242,5)="Areal", IF($G242="Ton",Landbrug!E$18,1),1)),1)*IF($F242="Grøntsager",IF($A242="Grøntsager i drivhus",Landbrug!E$51,1-Landbrug!E$51),1)</f>
        <v>#REF!</v>
      </c>
    </row>
    <row r="243" spans="1:10" x14ac:dyDescent="0.25">
      <c r="A243" t="str">
        <f>IF('[1]Processer - data'!A243&lt;&gt;"",'[1]Processer - data'!A243,"")</f>
        <v>Roemark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OC12</v>
      </c>
      <c r="D243" t="str">
        <f>IF('[1]Processer - data'!D243&lt;&gt;"",'[1]Processer - data'!D243,"")</f>
        <v>Areal-roer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Roer</v>
      </c>
      <c r="G243" t="str">
        <f>IF('[1]Processer - data'!G243&lt;&gt;"",'[1]Processer - data'!G243,"")</f>
        <v>Ton</v>
      </c>
      <c r="H243" s="302" t="e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input'!$A$3:$A$230,$A$1)),IF(VLOOKUP($A243,[1]!Table1[#All],2,FALSE)="Resultat",SUMIF($F$1:$F242,$D243,H$1:H242)+SUMIF($F244:$F$490,$D243,H244:H$490),0))*'[1]Processer - data'!H243,"")*IF($C243&lt;&gt;"",IF($F243="Halm",Landbrug!C$16*Landbrug!C$17,IF(LEFT($D243,5)="Areal", IF($G243="Ton",Landbrug!C$18,1),1)),1)*IF($F243="Grøntsager",IF($A243="Grøntsager i drivhus",Landbrug!C$51,1-Landbrug!C$51),1)</f>
        <v>#REF!</v>
      </c>
      <c r="I243" s="303" t="e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input'!$A$3:$A$230,$A$1)),IF(VLOOKUP($A243,[1]!Table1[#All],2,FALSE)="Resultat",SUMIF($F$1:$F242,$D243,I$1:I242)+SUMIF($F244:$F$490,$D243,I244:I$490),0))*'[1]Processer - data'!I243,"")*IF($C243&lt;&gt;"",IF($F243="Halm",Landbrug!D$16*Landbrug!D$17,IF(LEFT($D243,5)="Areal", IF($G243="Ton",Landbrug!D$18,1),1)),1)*IF($F243="Grøntsager",IF($A243="Grøntsager i drivhus",Landbrug!D$51,1-Landbrug!D$51),1)</f>
        <v>#REF!</v>
      </c>
      <c r="J243" s="304" t="e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input'!$A$3:$A$230,$A$1)),IF(VLOOKUP($A243,[1]!Table1[#All],2,FALSE)="Resultat",SUMIF($F$1:$F242,$D243,J$1:J242)+SUMIF($F244:$F$490,$D243,J244:J$490),0))*'[1]Processer - data'!J243,"")*IF($C243&lt;&gt;"",IF($F243="Halm",Landbrug!E$16*Landbrug!E$17,IF(LEFT($D243,5)="Areal", IF($G243="Ton",Landbrug!E$18,1),1)),1)*IF($F243="Grøntsager",IF($A243="Grøntsager i drivhus",Landbrug!E$51,1-Landbrug!E$51),1)</f>
        <v>#REF!</v>
      </c>
    </row>
    <row r="244" spans="1:10" x14ac:dyDescent="0.25">
      <c r="A244" t="str">
        <f>IF('[1]Processer - data'!A244&lt;&gt;"",'[1]Processer - data'!A244,"")</f>
        <v>Roemark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OC12</v>
      </c>
      <c r="D244" t="str">
        <f>IF('[1]Processer - data'!D244&lt;&gt;"",'[1]Processer - data'!D244,"")</f>
        <v>Areal-roer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Gødning</v>
      </c>
      <c r="G244" t="str">
        <f>IF('[1]Processer - data'!G244&lt;&gt;"",'[1]Processer - data'!G244,"")</f>
        <v>kg N</v>
      </c>
      <c r="H244" s="302" t="e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input'!$A$3:$A$230,$A$1)),IF(VLOOKUP($A244,[1]!Table1[#All],2,FALSE)="Resultat",SUMIF($F$1:$F243,$D244,H$1:H243)+SUMIF($F245:$F$490,$D244,H245:H$490),0))*'[1]Processer - data'!H244,"")*IF($C244&lt;&gt;"",IF($F244="Halm",Landbrug!C$16*Landbrug!C$17,IF(LEFT($D244,5)="Areal", IF($G244="Ton",Landbrug!C$18,1),1)),1)*IF($F244="Grøntsager",IF($A244="Grøntsager i drivhus",Landbrug!C$51,1-Landbrug!C$51),1)</f>
        <v>#REF!</v>
      </c>
      <c r="I244" s="303" t="e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input'!$A$3:$A$230,$A$1)),IF(VLOOKUP($A244,[1]!Table1[#All],2,FALSE)="Resultat",SUMIF($F$1:$F243,$D244,I$1:I243)+SUMIF($F245:$F$490,$D244,I245:I$490),0))*'[1]Processer - data'!I244,"")*IF($C244&lt;&gt;"",IF($F244="Halm",Landbrug!D$16*Landbrug!D$17,IF(LEFT($D244,5)="Areal", IF($G244="Ton",Landbrug!D$18,1),1)),1)*IF($F244="Grøntsager",IF($A244="Grøntsager i drivhus",Landbrug!D$51,1-Landbrug!D$51),1)</f>
        <v>#REF!</v>
      </c>
      <c r="J244" s="304" t="e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input'!$A$3:$A$230,$A$1)),IF(VLOOKUP($A244,[1]!Table1[#All],2,FALSE)="Resultat",SUMIF($F$1:$F243,$D244,J$1:J243)+SUMIF($F245:$F$490,$D244,J245:J$490),0))*'[1]Processer - data'!J244,"")*IF($C244&lt;&gt;"",IF($F244="Halm",Landbrug!E$16*Landbrug!E$17,IF(LEFT($D244,5)="Areal", IF($G244="Ton",Landbrug!E$18,1),1)),1)*IF($F244="Grøntsager",IF($A244="Grøntsager i drivhus",Landbrug!E$51,1-Landbrug!E$51),1)</f>
        <v>#REF!</v>
      </c>
    </row>
    <row r="245" spans="1:10" x14ac:dyDescent="0.25">
      <c r="A245" t="str">
        <f>IF('[1]Processer - data'!A245&lt;&gt;"",'[1]Processer - data'!A245,"")</f>
        <v>Roemark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Areal-roer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CO2 - atmosfære</v>
      </c>
      <c r="G245" t="str">
        <f>IF('[1]Processer - data'!G245&lt;&gt;"",'[1]Processer - data'!G245,"")</f>
        <v>t CO2-ækvivalenter</v>
      </c>
      <c r="H245" s="302" t="e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input'!$A$3:$A$230,$A$1)),IF(VLOOKUP($A245,[1]!Table1[#All],2,FALSE)="Resultat",SUMIF($F$1:$F244,$D245,H$1:H244)+SUMIF($F246:$F$490,$D245,H246:H$490),0))*'[1]Processer - data'!H245,"")*IF($C245&lt;&gt;"",IF($F245="Halm",Landbrug!C$16*Landbrug!C$17,IF(LEFT($D245,5)="Areal", IF($G245="Ton",Landbrug!C$18,1),1)),1)*IF($F245="Grøntsager",IF($A245="Grøntsager i drivhus",Landbrug!C$51,1-Landbrug!C$51),1)</f>
        <v>#REF!</v>
      </c>
      <c r="I245" s="303" t="e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input'!$A$3:$A$230,$A$1)),IF(VLOOKUP($A245,[1]!Table1[#All],2,FALSE)="Resultat",SUMIF($F$1:$F244,$D245,I$1:I244)+SUMIF($F246:$F$490,$D245,I246:I$490),0))*'[1]Processer - data'!I245,"")*IF($C245&lt;&gt;"",IF($F245="Halm",Landbrug!D$16*Landbrug!D$17,IF(LEFT($D245,5)="Areal", IF($G245="Ton",Landbrug!D$18,1),1)),1)*IF($F245="Grøntsager",IF($A245="Grøntsager i drivhus",Landbrug!D$51,1-Landbrug!D$51),1)</f>
        <v>#REF!</v>
      </c>
      <c r="J245" s="304" t="e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input'!$A$3:$A$230,$A$1)),IF(VLOOKUP($A245,[1]!Table1[#All],2,FALSE)="Resultat",SUMIF($F$1:$F244,$D245,J$1:J244)+SUMIF($F246:$F$490,$D245,J246:J$490),0))*'[1]Processer - data'!J245,"")*IF($C245&lt;&gt;"",IF($F245="Halm",Landbrug!E$16*Landbrug!E$17,IF(LEFT($D245,5)="Areal", IF($G245="Ton",Landbrug!E$18,1),1)),1)*IF($F245="Grøntsager",IF($A245="Grøntsager i drivhus",Landbrug!E$51,1-Landbrug!E$51),1)</f>
        <v>#REF!</v>
      </c>
    </row>
    <row r="246" spans="1:10" x14ac:dyDescent="0.25">
      <c r="A246" t="str">
        <f>IF('[1]Processer - data'!A246&lt;&gt;"",'[1]Processer - data'!A246,"")</f>
        <v>Frugtmark</v>
      </c>
      <c r="B246" t="str">
        <f>IF('[1]Processer - data'!B246&lt;&gt;"",'[1]Processer - data'!B246,"")</f>
        <v>Konventionel</v>
      </c>
      <c r="C246" t="str">
        <f>IF('[1]Processer - data'!C246&lt;&gt;"",'[1]Processer - data'!C246,"")</f>
        <v>JB1-10</v>
      </c>
      <c r="D246" t="str">
        <f>IF('[1]Processer - data'!D246&lt;&gt;"",'[1]Processer - data'!D246,"")</f>
        <v>Areal-frugt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Frugt</v>
      </c>
      <c r="G246" t="str">
        <f>IF('[1]Processer - data'!G246&lt;&gt;"",'[1]Processer - data'!G246,"")</f>
        <v>Ton</v>
      </c>
      <c r="H246" s="302" t="e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input'!$A$3:$A$230,$A$1)),IF(VLOOKUP($A246,[1]!Table1[#All],2,FALSE)="Resultat",SUMIF($F$1:$F245,$D246,H$1:H245)+SUMIF($F247:$F$490,$D246,H247:H$490),0))*'[1]Processer - data'!H246,"")*IF($C246&lt;&gt;"",IF($F246="Halm",Landbrug!C$16*Landbrug!C$17,IF(LEFT($D246,5)="Areal", IF($G246="Ton",Landbrug!C$18,1),1)),1)*IF($F246="Grøntsager",IF($A246="Grøntsager i drivhus",Landbrug!C$51,1-Landbrug!C$51),1)</f>
        <v>#REF!</v>
      </c>
      <c r="I246" s="303" t="e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input'!$A$3:$A$230,$A$1)),IF(VLOOKUP($A246,[1]!Table1[#All],2,FALSE)="Resultat",SUMIF($F$1:$F245,$D246,I$1:I245)+SUMIF($F247:$F$490,$D246,I247:I$490),0))*'[1]Processer - data'!I246,"")*IF($C246&lt;&gt;"",IF($F246="Halm",Landbrug!D$16*Landbrug!D$17,IF(LEFT($D246,5)="Areal", IF($G246="Ton",Landbrug!D$18,1),1)),1)*IF($F246="Grøntsager",IF($A246="Grøntsager i drivhus",Landbrug!D$51,1-Landbrug!D$51),1)</f>
        <v>#REF!</v>
      </c>
      <c r="J246" s="304" t="e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input'!$A$3:$A$230,$A$1)),IF(VLOOKUP($A246,[1]!Table1[#All],2,FALSE)="Resultat",SUMIF($F$1:$F245,$D246,J$1:J245)+SUMIF($F247:$F$490,$D246,J247:J$490),0))*'[1]Processer - data'!J246,"")*IF($C246&lt;&gt;"",IF($F246="Halm",Landbrug!E$16*Landbrug!E$17,IF(LEFT($D246,5)="Areal", IF($G246="Ton",Landbrug!E$18,1),1)),1)*IF($F246="Grøntsager",IF($A246="Grøntsager i drivhus",Landbrug!E$51,1-Landbrug!E$51),1)</f>
        <v>#REF!</v>
      </c>
    </row>
    <row r="247" spans="1:10" x14ac:dyDescent="0.25">
      <c r="A247" t="str">
        <f>IF('[1]Processer - data'!A247&lt;&gt;"",'[1]Processer - data'!A247,"")</f>
        <v>Frugtmark</v>
      </c>
      <c r="B247" t="str">
        <f>IF('[1]Processer - data'!B247&lt;&gt;"",'[1]Processer - data'!B247,"")</f>
        <v>Konventionel</v>
      </c>
      <c r="C247" t="str">
        <f>IF('[1]Processer - data'!C247&lt;&gt;"",'[1]Processer - data'!C247,"")</f>
        <v>JB1-10</v>
      </c>
      <c r="D247" t="str">
        <f>IF('[1]Processer - data'!D247&lt;&gt;"",'[1]Processer - data'!D247,"")</f>
        <v>Areal-frugt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2" t="e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input'!$A$3:$A$230,$A$1)),IF(VLOOKUP($A247,[1]!Table1[#All],2,FALSE)="Resultat",SUMIF($F$1:$F246,$D247,H$1:H246)+SUMIF($F248:$F$490,$D247,H248:H$490),0))*'[1]Processer - data'!H247,"")*IF($C247&lt;&gt;"",IF($F247="Halm",Landbrug!C$16*Landbrug!C$17,IF(LEFT($D247,5)="Areal", IF($G247="Ton",Landbrug!C$18,1),1)),1)*IF($F247="Grøntsager",IF($A247="Grøntsager i drivhus",Landbrug!C$51,1-Landbrug!C$51),1)</f>
        <v>#REF!</v>
      </c>
      <c r="I247" s="303" t="e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input'!$A$3:$A$230,$A$1)),IF(VLOOKUP($A247,[1]!Table1[#All],2,FALSE)="Resultat",SUMIF($F$1:$F246,$D247,I$1:I246)+SUMIF($F248:$F$490,$D247,I248:I$490),0))*'[1]Processer - data'!I247,"")*IF($C247&lt;&gt;"",IF($F247="Halm",Landbrug!D$16*Landbrug!D$17,IF(LEFT($D247,5)="Areal", IF($G247="Ton",Landbrug!D$18,1),1)),1)*IF($F247="Grøntsager",IF($A247="Grøntsager i drivhus",Landbrug!D$51,1-Landbrug!D$51),1)</f>
        <v>#REF!</v>
      </c>
      <c r="J247" s="304" t="e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input'!$A$3:$A$230,$A$1)),IF(VLOOKUP($A247,[1]!Table1[#All],2,FALSE)="Resultat",SUMIF($F$1:$F246,$D247,J$1:J246)+SUMIF($F248:$F$490,$D247,J248:J$490),0))*'[1]Processer - data'!J247,"")*IF($C247&lt;&gt;"",IF($F247="Halm",Landbrug!E$16*Landbrug!E$17,IF(LEFT($D247,5)="Areal", IF($G247="Ton",Landbrug!E$18,1),1)),1)*IF($F247="Grøntsager",IF($A247="Grøntsager i drivhus",Landbrug!E$51,1-Landbrug!E$51),1)</f>
        <v>#REF!</v>
      </c>
    </row>
    <row r="248" spans="1:10" x14ac:dyDescent="0.25">
      <c r="A248" t="str">
        <f>IF('[1]Processer - data'!A248&lt;&gt;"",'[1]Processer - data'!A248,"")</f>
        <v>Frugtmark</v>
      </c>
      <c r="B248" t="str">
        <f>IF('[1]Processer - data'!B248&lt;&gt;"",'[1]Processer - data'!B248,"")</f>
        <v>Konventionel</v>
      </c>
      <c r="C248" t="str">
        <f>IF('[1]Processer - data'!C248&lt;&gt;"",'[1]Processer - data'!C248,"")</f>
        <v>JB1-10</v>
      </c>
      <c r="D248" t="str">
        <f>IF('[1]Processer - data'!D248&lt;&gt;"",'[1]Processer - data'!D248,"")</f>
        <v>Areal-frugt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2" t="e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input'!$A$3:$A$230,$A$1)),IF(VLOOKUP($A248,[1]!Table1[#All],2,FALSE)="Resultat",SUMIF($F$1:$F247,$D248,H$1:H247)+SUMIF($F249:$F$490,$D248,H249:H$490),0))*'[1]Processer - data'!H248,"")*IF($C248&lt;&gt;"",IF($F248="Halm",Landbrug!C$16*Landbrug!C$17,IF(LEFT($D248,5)="Areal", IF($G248="Ton",Landbrug!C$18,1),1)),1)*IF($F248="Grøntsager",IF($A248="Grøntsager i drivhus",Landbrug!C$51,1-Landbrug!C$51),1)</f>
        <v>#REF!</v>
      </c>
      <c r="I248" s="303" t="e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input'!$A$3:$A$230,$A$1)),IF(VLOOKUP($A248,[1]!Table1[#All],2,FALSE)="Resultat",SUMIF($F$1:$F247,$D248,I$1:I247)+SUMIF($F249:$F$490,$D248,I249:I$490),0))*'[1]Processer - data'!I248,"")*IF($C248&lt;&gt;"",IF($F248="Halm",Landbrug!D$16*Landbrug!D$17,IF(LEFT($D248,5)="Areal", IF($G248="Ton",Landbrug!D$18,1),1)),1)*IF($F248="Grøntsager",IF($A248="Grøntsager i drivhus",Landbrug!D$51,1-Landbrug!D$51),1)</f>
        <v>#REF!</v>
      </c>
      <c r="J248" s="304" t="e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input'!$A$3:$A$230,$A$1)),IF(VLOOKUP($A248,[1]!Table1[#All],2,FALSE)="Resultat",SUMIF($F$1:$F247,$D248,J$1:J247)+SUMIF($F249:$F$490,$D248,J249:J$490),0))*'[1]Processer - data'!J248,"")*IF($C248&lt;&gt;"",IF($F248="Halm",Landbrug!E$16*Landbrug!E$17,IF(LEFT($D248,5)="Areal", IF($G248="Ton",Landbrug!E$18,1),1)),1)*IF($F248="Grøntsager",IF($A248="Grøntsager i drivhus",Landbrug!E$51,1-Landbrug!E$51),1)</f>
        <v>#REF!</v>
      </c>
    </row>
    <row r="249" spans="1:10" x14ac:dyDescent="0.25">
      <c r="A249" t="str">
        <f>IF('[1]Processer - data'!A249&lt;&gt;"",'[1]Processer - data'!A249,"")</f>
        <v>Frugtmark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OC6</v>
      </c>
      <c r="D249" t="str">
        <f>IF('[1]Processer - data'!D249&lt;&gt;"",'[1]Processer - data'!D249,"")</f>
        <v>Areal-frugt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Frugt</v>
      </c>
      <c r="G249" t="str">
        <f>IF('[1]Processer - data'!G249&lt;&gt;"",'[1]Processer - data'!G249,"")</f>
        <v>Ton</v>
      </c>
      <c r="H249" s="302" t="e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input'!$A$3:$A$230,$A$1)),IF(VLOOKUP($A249,[1]!Table1[#All],2,FALSE)="Resultat",SUMIF($F$1:$F248,$D249,H$1:H248)+SUMIF($F250:$F$490,$D249,H250:H$490),0))*'[1]Processer - data'!H249,"")*IF($C249&lt;&gt;"",IF($F249="Halm",Landbrug!C$16*Landbrug!C$17,IF(LEFT($D249,5)="Areal", IF($G249="Ton",Landbrug!C$18,1),1)),1)*IF($F249="Grøntsager",IF($A249="Grøntsager i drivhus",Landbrug!C$51,1-Landbrug!C$51),1)</f>
        <v>#REF!</v>
      </c>
      <c r="I249" s="303" t="e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input'!$A$3:$A$230,$A$1)),IF(VLOOKUP($A249,[1]!Table1[#All],2,FALSE)="Resultat",SUMIF($F$1:$F248,$D249,I$1:I248)+SUMIF($F250:$F$490,$D249,I250:I$490),0))*'[1]Processer - data'!I249,"")*IF($C249&lt;&gt;"",IF($F249="Halm",Landbrug!D$16*Landbrug!D$17,IF(LEFT($D249,5)="Areal", IF($G249="Ton",Landbrug!D$18,1),1)),1)*IF($F249="Grøntsager",IF($A249="Grøntsager i drivhus",Landbrug!D$51,1-Landbrug!D$51),1)</f>
        <v>#REF!</v>
      </c>
      <c r="J249" s="304" t="e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input'!$A$3:$A$230,$A$1)),IF(VLOOKUP($A249,[1]!Table1[#All],2,FALSE)="Resultat",SUMIF($F$1:$F248,$D249,J$1:J248)+SUMIF($F250:$F$490,$D249,J250:J$490),0))*'[1]Processer - data'!J249,"")*IF($C249&lt;&gt;"",IF($F249="Halm",Landbrug!E$16*Landbrug!E$17,IF(LEFT($D249,5)="Areal", IF($G249="Ton",Landbrug!E$18,1),1)),1)*IF($F249="Grøntsager",IF($A249="Grøntsager i drivhus",Landbrug!E$51,1-Landbrug!E$51),1)</f>
        <v>#REF!</v>
      </c>
    </row>
    <row r="250" spans="1:10" x14ac:dyDescent="0.25">
      <c r="A250" t="str">
        <f>IF('[1]Processer - data'!A250&lt;&gt;"",'[1]Processer - data'!A250,"")</f>
        <v>Frugtmark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OC6</v>
      </c>
      <c r="D250" t="str">
        <f>IF('[1]Processer - data'!D250&lt;&gt;"",'[1]Processer - data'!D250,"")</f>
        <v>Areal-frugt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2" t="e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input'!$A$3:$A$230,$A$1)),IF(VLOOKUP($A250,[1]!Table1[#All],2,FALSE)="Resultat",SUMIF($F$1:$F249,$D250,H$1:H249)+SUMIF($F251:$F$490,$D250,H251:H$490),0))*'[1]Processer - data'!H250,"")*IF($C250&lt;&gt;"",IF($F250="Halm",Landbrug!C$16*Landbrug!C$17,IF(LEFT($D250,5)="Areal", IF($G250="Ton",Landbrug!C$18,1),1)),1)*IF($F250="Grøntsager",IF($A250="Grøntsager i drivhus",Landbrug!C$51,1-Landbrug!C$51),1)</f>
        <v>#REF!</v>
      </c>
      <c r="I250" s="303" t="e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input'!$A$3:$A$230,$A$1)),IF(VLOOKUP($A250,[1]!Table1[#All],2,FALSE)="Resultat",SUMIF($F$1:$F249,$D250,I$1:I249)+SUMIF($F251:$F$490,$D250,I251:I$490),0))*'[1]Processer - data'!I250,"")*IF($C250&lt;&gt;"",IF($F250="Halm",Landbrug!D$16*Landbrug!D$17,IF(LEFT($D250,5)="Areal", IF($G250="Ton",Landbrug!D$18,1),1)),1)*IF($F250="Grøntsager",IF($A250="Grøntsager i drivhus",Landbrug!D$51,1-Landbrug!D$51),1)</f>
        <v>#REF!</v>
      </c>
      <c r="J250" s="304" t="e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input'!$A$3:$A$230,$A$1)),IF(VLOOKUP($A250,[1]!Table1[#All],2,FALSE)="Resultat",SUMIF($F$1:$F249,$D250,J$1:J249)+SUMIF($F251:$F$490,$D250,J251:J$490),0))*'[1]Processer - data'!J250,"")*IF($C250&lt;&gt;"",IF($F250="Halm",Landbrug!E$16*Landbrug!E$17,IF(LEFT($D250,5)="Areal", IF($G250="Ton",Landbrug!E$18,1),1)),1)*IF($F250="Grøntsager",IF($A250="Grøntsager i drivhus",Landbrug!E$51,1-Landbrug!E$51),1)</f>
        <v>#REF!</v>
      </c>
    </row>
    <row r="251" spans="1:10" x14ac:dyDescent="0.25">
      <c r="A251" t="str">
        <f>IF('[1]Processer - data'!A251&lt;&gt;"",'[1]Processer - data'!A251,"")</f>
        <v>Frugtmark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OC6</v>
      </c>
      <c r="D251" t="str">
        <f>IF('[1]Processer - data'!D251&lt;&gt;"",'[1]Processer - data'!D251,"")</f>
        <v>Areal-frugt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2" t="e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input'!$A$3:$A$230,$A$1)),IF(VLOOKUP($A251,[1]!Table1[#All],2,FALSE)="Resultat",SUMIF($F$1:$F250,$D251,H$1:H250)+SUMIF($F252:$F$490,$D251,H252:H$490),0))*'[1]Processer - data'!H251,"")*IF($C251&lt;&gt;"",IF($F251="Halm",Landbrug!C$16*Landbrug!C$17,IF(LEFT($D251,5)="Areal", IF($G251="Ton",Landbrug!C$18,1),1)),1)*IF($F251="Grøntsager",IF($A251="Grøntsager i drivhus",Landbrug!C$51,1-Landbrug!C$51),1)</f>
        <v>#REF!</v>
      </c>
      <c r="I251" s="303" t="e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input'!$A$3:$A$230,$A$1)),IF(VLOOKUP($A251,[1]!Table1[#All],2,FALSE)="Resultat",SUMIF($F$1:$F250,$D251,I$1:I250)+SUMIF($F252:$F$490,$D251,I252:I$490),0))*'[1]Processer - data'!I251,"")*IF($C251&lt;&gt;"",IF($F251="Halm",Landbrug!D$16*Landbrug!D$17,IF(LEFT($D251,5)="Areal", IF($G251="Ton",Landbrug!D$18,1),1)),1)*IF($F251="Grøntsager",IF($A251="Grøntsager i drivhus",Landbrug!D$51,1-Landbrug!D$51),1)</f>
        <v>#REF!</v>
      </c>
      <c r="J251" s="304" t="e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input'!$A$3:$A$230,$A$1)),IF(VLOOKUP($A251,[1]!Table1[#All],2,FALSE)="Resultat",SUMIF($F$1:$F250,$D251,J$1:J250)+SUMIF($F252:$F$490,$D251,J252:J$490),0))*'[1]Processer - data'!J251,"")*IF($C251&lt;&gt;"",IF($F251="Halm",Landbrug!E$16*Landbrug!E$17,IF(LEFT($D251,5)="Areal", IF($G251="Ton",Landbrug!E$18,1),1)),1)*IF($F251="Grøntsager",IF($A251="Grøntsager i drivhus",Landbrug!E$51,1-Landbrug!E$51),1)</f>
        <v>#REF!</v>
      </c>
    </row>
    <row r="252" spans="1:10" x14ac:dyDescent="0.25">
      <c r="A252" t="str">
        <f>IF('[1]Processer - data'!A252&lt;&gt;"",'[1]Processer - data'!A252,"")</f>
        <v>Frugtmark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OC12</v>
      </c>
      <c r="D252" t="str">
        <f>IF('[1]Processer - data'!D252&lt;&gt;"",'[1]Processer - data'!D252,"")</f>
        <v>Areal-frugt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Frugt</v>
      </c>
      <c r="G252" t="str">
        <f>IF('[1]Processer - data'!G252&lt;&gt;"",'[1]Processer - data'!G252,"")</f>
        <v>Ton</v>
      </c>
      <c r="H252" s="302" t="e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input'!$A$3:$A$230,$A$1)),IF(VLOOKUP($A252,[1]!Table1[#All],2,FALSE)="Resultat",SUMIF($F$1:$F251,$D252,H$1:H251)+SUMIF($F253:$F$490,$D252,H253:H$490),0))*'[1]Processer - data'!H252,"")*IF($C252&lt;&gt;"",IF($F252="Halm",Landbrug!C$16*Landbrug!C$17,IF(LEFT($D252,5)="Areal", IF($G252="Ton",Landbrug!C$18,1),1)),1)*IF($F252="Grøntsager",IF($A252="Grøntsager i drivhus",Landbrug!C$51,1-Landbrug!C$51),1)</f>
        <v>#REF!</v>
      </c>
      <c r="I252" s="303" t="e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input'!$A$3:$A$230,$A$1)),IF(VLOOKUP($A252,[1]!Table1[#All],2,FALSE)="Resultat",SUMIF($F$1:$F251,$D252,I$1:I251)+SUMIF($F253:$F$490,$D252,I253:I$490),0))*'[1]Processer - data'!I252,"")*IF($C252&lt;&gt;"",IF($F252="Halm",Landbrug!D$16*Landbrug!D$17,IF(LEFT($D252,5)="Areal", IF($G252="Ton",Landbrug!D$18,1),1)),1)*IF($F252="Grøntsager",IF($A252="Grøntsager i drivhus",Landbrug!D$51,1-Landbrug!D$51),1)</f>
        <v>#REF!</v>
      </c>
      <c r="J252" s="304" t="e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input'!$A$3:$A$230,$A$1)),IF(VLOOKUP($A252,[1]!Table1[#All],2,FALSE)="Resultat",SUMIF($F$1:$F251,$D252,J$1:J251)+SUMIF($F253:$F$490,$D252,J253:J$490),0))*'[1]Processer - data'!J252,"")*IF($C252&lt;&gt;"",IF($F252="Halm",Landbrug!E$16*Landbrug!E$17,IF(LEFT($D252,5)="Areal", IF($G252="Ton",Landbrug!E$18,1),1)),1)*IF($F252="Grøntsager",IF($A252="Grøntsager i drivhus",Landbrug!E$51,1-Landbrug!E$51),1)</f>
        <v>#REF!</v>
      </c>
    </row>
    <row r="253" spans="1:10" x14ac:dyDescent="0.25">
      <c r="A253" t="str">
        <f>IF('[1]Processer - data'!A253&lt;&gt;"",'[1]Processer - data'!A253,"")</f>
        <v>Frugtmark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OC12</v>
      </c>
      <c r="D253" t="str">
        <f>IF('[1]Processer - data'!D253&lt;&gt;"",'[1]Processer - data'!D253,"")</f>
        <v>Areal-frugt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2" t="e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input'!$A$3:$A$230,$A$1)),IF(VLOOKUP($A253,[1]!Table1[#All],2,FALSE)="Resultat",SUMIF($F$1:$F252,$D253,H$1:H252)+SUMIF($F254:$F$490,$D253,H254:H$490),0))*'[1]Processer - data'!H253,"")*IF($C253&lt;&gt;"",IF($F253="Halm",Landbrug!C$16*Landbrug!C$17,IF(LEFT($D253,5)="Areal", IF($G253="Ton",Landbrug!C$18,1),1)),1)*IF($F253="Grøntsager",IF($A253="Grøntsager i drivhus",Landbrug!C$51,1-Landbrug!C$51),1)</f>
        <v>#REF!</v>
      </c>
      <c r="I253" s="303" t="e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input'!$A$3:$A$230,$A$1)),IF(VLOOKUP($A253,[1]!Table1[#All],2,FALSE)="Resultat",SUMIF($F$1:$F252,$D253,I$1:I252)+SUMIF($F254:$F$490,$D253,I254:I$490),0))*'[1]Processer - data'!I253,"")*IF($C253&lt;&gt;"",IF($F253="Halm",Landbrug!D$16*Landbrug!D$17,IF(LEFT($D253,5)="Areal", IF($G253="Ton",Landbrug!D$18,1),1)),1)*IF($F253="Grøntsager",IF($A253="Grøntsager i drivhus",Landbrug!D$51,1-Landbrug!D$51),1)</f>
        <v>#REF!</v>
      </c>
      <c r="J253" s="304" t="e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input'!$A$3:$A$230,$A$1)),IF(VLOOKUP($A253,[1]!Table1[#All],2,FALSE)="Resultat",SUMIF($F$1:$F252,$D253,J$1:J252)+SUMIF($F254:$F$490,$D253,J254:J$490),0))*'[1]Processer - data'!J253,"")*IF($C253&lt;&gt;"",IF($F253="Halm",Landbrug!E$16*Landbrug!E$17,IF(LEFT($D253,5)="Areal", IF($G253="Ton",Landbrug!E$18,1),1)),1)*IF($F253="Grøntsager",IF($A253="Grøntsager i drivhus",Landbrug!E$51,1-Landbrug!E$51),1)</f>
        <v>#REF!</v>
      </c>
    </row>
    <row r="254" spans="1:10" x14ac:dyDescent="0.25">
      <c r="A254" t="str">
        <f>IF('[1]Processer - data'!A254&lt;&gt;"",'[1]Processer - data'!A254,"")</f>
        <v>Frugtmark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OC12</v>
      </c>
      <c r="D254" t="str">
        <f>IF('[1]Processer - data'!D254&lt;&gt;"",'[1]Processer - data'!D254,"")</f>
        <v>Areal-frugt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2" t="e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input'!$A$3:$A$230,$A$1)),IF(VLOOKUP($A254,[1]!Table1[#All],2,FALSE)="Resultat",SUMIF($F$1:$F253,$D254,H$1:H253)+SUMIF($F255:$F$490,$D254,H255:H$490),0))*'[1]Processer - data'!H254,"")*IF($C254&lt;&gt;"",IF($F254="Halm",Landbrug!C$16*Landbrug!C$17,IF(LEFT($D254,5)="Areal", IF($G254="Ton",Landbrug!C$18,1),1)),1)*IF($F254="Grøntsager",IF($A254="Grøntsager i drivhus",Landbrug!C$51,1-Landbrug!C$51),1)</f>
        <v>#REF!</v>
      </c>
      <c r="I254" s="303" t="e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input'!$A$3:$A$230,$A$1)),IF(VLOOKUP($A254,[1]!Table1[#All],2,FALSE)="Resultat",SUMIF($F$1:$F253,$D254,I$1:I253)+SUMIF($F255:$F$490,$D254,I255:I$490),0))*'[1]Processer - data'!I254,"")*IF($C254&lt;&gt;"",IF($F254="Halm",Landbrug!D$16*Landbrug!D$17,IF(LEFT($D254,5)="Areal", IF($G254="Ton",Landbrug!D$18,1),1)),1)*IF($F254="Grøntsager",IF($A254="Grøntsager i drivhus",Landbrug!D$51,1-Landbrug!D$51),1)</f>
        <v>#REF!</v>
      </c>
      <c r="J254" s="304" t="e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input'!$A$3:$A$230,$A$1)),IF(VLOOKUP($A254,[1]!Table1[#All],2,FALSE)="Resultat",SUMIF($F$1:$F253,$D254,J$1:J253)+SUMIF($F255:$F$490,$D254,J255:J$490),0))*'[1]Processer - data'!J254,"")*IF($C254&lt;&gt;"",IF($F254="Halm",Landbrug!E$16*Landbrug!E$17,IF(LEFT($D254,5)="Areal", IF($G254="Ton",Landbrug!E$18,1),1)),1)*IF($F254="Grøntsager",IF($A254="Grøntsager i drivhus",Landbrug!E$51,1-Landbrug!E$51),1)</f>
        <v>#REF!</v>
      </c>
    </row>
    <row r="255" spans="1:10" x14ac:dyDescent="0.25">
      <c r="A255" t="str">
        <f>IF('[1]Processer - data'!A255&lt;&gt;"",'[1]Processer - data'!A255,"")</f>
        <v>Frugtmark</v>
      </c>
      <c r="B255" t="str">
        <f>IF('[1]Processer - data'!B255&lt;&gt;"",'[1]Processer - data'!B255,"")</f>
        <v>Økologisk</v>
      </c>
      <c r="C255" t="str">
        <f>IF('[1]Processer - data'!C255&lt;&gt;"",'[1]Processer - data'!C255,"")</f>
        <v>JB1-10</v>
      </c>
      <c r="D255" t="str">
        <f>IF('[1]Processer - data'!D255&lt;&gt;"",'[1]Processer - data'!D255,"")</f>
        <v>Areal-frugt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Frugt</v>
      </c>
      <c r="G255" t="str">
        <f>IF('[1]Processer - data'!G255&lt;&gt;"",'[1]Processer - data'!G255,"")</f>
        <v>Ton</v>
      </c>
      <c r="H255" s="302" t="e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input'!$A$3:$A$230,$A$1)),IF(VLOOKUP($A255,[1]!Table1[#All],2,FALSE)="Resultat",SUMIF($F$1:$F254,$D255,H$1:H254)+SUMIF($F256:$F$490,$D255,H256:H$490),0))*'[1]Processer - data'!H255,"")*IF($C255&lt;&gt;"",IF($F255="Halm",Landbrug!C$16*Landbrug!C$17,IF(LEFT($D255,5)="Areal", IF($G255="Ton",Landbrug!C$18,1),1)),1)*IF($F255="Grøntsager",IF($A255="Grøntsager i drivhus",Landbrug!C$51,1-Landbrug!C$51),1)</f>
        <v>#REF!</v>
      </c>
      <c r="I255" s="303" t="e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input'!$A$3:$A$230,$A$1)),IF(VLOOKUP($A255,[1]!Table1[#All],2,FALSE)="Resultat",SUMIF($F$1:$F254,$D255,I$1:I254)+SUMIF($F256:$F$490,$D255,I256:I$490),0))*'[1]Processer - data'!I255,"")*IF($C255&lt;&gt;"",IF($F255="Halm",Landbrug!D$16*Landbrug!D$17,IF(LEFT($D255,5)="Areal", IF($G255="Ton",Landbrug!D$18,1),1)),1)*IF($F255="Grøntsager",IF($A255="Grøntsager i drivhus",Landbrug!D$51,1-Landbrug!D$51),1)</f>
        <v>#REF!</v>
      </c>
      <c r="J255" s="304" t="e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input'!$A$3:$A$230,$A$1)),IF(VLOOKUP($A255,[1]!Table1[#All],2,FALSE)="Resultat",SUMIF($F$1:$F254,$D255,J$1:J254)+SUMIF($F256:$F$490,$D255,J256:J$490),0))*'[1]Processer - data'!J255,"")*IF($C255&lt;&gt;"",IF($F255="Halm",Landbrug!E$16*Landbrug!E$17,IF(LEFT($D255,5)="Areal", IF($G255="Ton",Landbrug!E$18,1),1)),1)*IF($F255="Grøntsager",IF($A255="Grøntsager i drivhus",Landbrug!E$51,1-Landbrug!E$51),1)</f>
        <v>#REF!</v>
      </c>
    </row>
    <row r="256" spans="1:10" x14ac:dyDescent="0.25">
      <c r="A256" t="str">
        <f>IF('[1]Processer - data'!A256&lt;&gt;"",'[1]Processer - data'!A256,"")</f>
        <v>Frugtmark</v>
      </c>
      <c r="B256" t="str">
        <f>IF('[1]Processer - data'!B256&lt;&gt;"",'[1]Processer - data'!B256,"")</f>
        <v>Økologisk</v>
      </c>
      <c r="C256" t="str">
        <f>IF('[1]Processer - data'!C256&lt;&gt;"",'[1]Processer - data'!C256,"")</f>
        <v>JB1-10</v>
      </c>
      <c r="D256" t="str">
        <f>IF('[1]Processer - data'!D256&lt;&gt;"",'[1]Processer - data'!D256,"")</f>
        <v>Areal-frugt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2" t="e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input'!$A$3:$A$230,$A$1)),IF(VLOOKUP($A256,[1]!Table1[#All],2,FALSE)="Resultat",SUMIF($F$1:$F255,$D256,H$1:H255)+SUMIF($F257:$F$490,$D256,H257:H$490),0))*'[1]Processer - data'!H256,"")*IF($C256&lt;&gt;"",IF($F256="Halm",Landbrug!C$16*Landbrug!C$17,IF(LEFT($D256,5)="Areal", IF($G256="Ton",Landbrug!C$18,1),1)),1)*IF($F256="Grøntsager",IF($A256="Grøntsager i drivhus",Landbrug!C$51,1-Landbrug!C$51),1)</f>
        <v>#REF!</v>
      </c>
      <c r="I256" s="303" t="e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input'!$A$3:$A$230,$A$1)),IF(VLOOKUP($A256,[1]!Table1[#All],2,FALSE)="Resultat",SUMIF($F$1:$F255,$D256,I$1:I255)+SUMIF($F257:$F$490,$D256,I257:I$490),0))*'[1]Processer - data'!I256,"")*IF($C256&lt;&gt;"",IF($F256="Halm",Landbrug!D$16*Landbrug!D$17,IF(LEFT($D256,5)="Areal", IF($G256="Ton",Landbrug!D$18,1),1)),1)*IF($F256="Grøntsager",IF($A256="Grøntsager i drivhus",Landbrug!D$51,1-Landbrug!D$51),1)</f>
        <v>#REF!</v>
      </c>
      <c r="J256" s="304" t="e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input'!$A$3:$A$230,$A$1)),IF(VLOOKUP($A256,[1]!Table1[#All],2,FALSE)="Resultat",SUMIF($F$1:$F255,$D256,J$1:J255)+SUMIF($F257:$F$490,$D256,J257:J$490),0))*'[1]Processer - data'!J256,"")*IF($C256&lt;&gt;"",IF($F256="Halm",Landbrug!E$16*Landbrug!E$17,IF(LEFT($D256,5)="Areal", IF($G256="Ton",Landbrug!E$18,1),1)),1)*IF($F256="Grøntsager",IF($A256="Grøntsager i drivhus",Landbrug!E$51,1-Landbrug!E$51),1)</f>
        <v>#REF!</v>
      </c>
    </row>
    <row r="257" spans="1:10" x14ac:dyDescent="0.25">
      <c r="A257" t="str">
        <f>IF('[1]Processer - data'!A257&lt;&gt;"",'[1]Processer - data'!A257,"")</f>
        <v>Frugtmark</v>
      </c>
      <c r="B257" t="str">
        <f>IF('[1]Processer - data'!B257&lt;&gt;"",'[1]Processer - data'!B257,"")</f>
        <v>Økologisk</v>
      </c>
      <c r="C257" t="str">
        <f>IF('[1]Processer - data'!C257&lt;&gt;"",'[1]Processer - data'!C257,"")</f>
        <v>JB1-10</v>
      </c>
      <c r="D257" t="str">
        <f>IF('[1]Processer - data'!D257&lt;&gt;"",'[1]Processer - data'!D257,"")</f>
        <v>Areal-frugt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2" t="e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input'!$A$3:$A$230,$A$1)),IF(VLOOKUP($A257,[1]!Table1[#All],2,FALSE)="Resultat",SUMIF($F$1:$F256,$D257,H$1:H256)+SUMIF($F258:$F$490,$D257,H258:H$490),0))*'[1]Processer - data'!H257,"")*IF($C257&lt;&gt;"",IF($F257="Halm",Landbrug!C$16*Landbrug!C$17,IF(LEFT($D257,5)="Areal", IF($G257="Ton",Landbrug!C$18,1),1)),1)*IF($F257="Grøntsager",IF($A257="Grøntsager i drivhus",Landbrug!C$51,1-Landbrug!C$51),1)</f>
        <v>#REF!</v>
      </c>
      <c r="I257" s="303" t="e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input'!$A$3:$A$230,$A$1)),IF(VLOOKUP($A257,[1]!Table1[#All],2,FALSE)="Resultat",SUMIF($F$1:$F256,$D257,I$1:I256)+SUMIF($F258:$F$490,$D257,I258:I$490),0))*'[1]Processer - data'!I257,"")*IF($C257&lt;&gt;"",IF($F257="Halm",Landbrug!D$16*Landbrug!D$17,IF(LEFT($D257,5)="Areal", IF($G257="Ton",Landbrug!D$18,1),1)),1)*IF($F257="Grøntsager",IF($A257="Grøntsager i drivhus",Landbrug!D$51,1-Landbrug!D$51),1)</f>
        <v>#REF!</v>
      </c>
      <c r="J257" s="304" t="e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input'!$A$3:$A$230,$A$1)),IF(VLOOKUP($A257,[1]!Table1[#All],2,FALSE)="Resultat",SUMIF($F$1:$F256,$D257,J$1:J256)+SUMIF($F258:$F$490,$D257,J258:J$490),0))*'[1]Processer - data'!J257,"")*IF($C257&lt;&gt;"",IF($F257="Halm",Landbrug!E$16*Landbrug!E$17,IF(LEFT($D257,5)="Areal", IF($G257="Ton",Landbrug!E$18,1),1)),1)*IF($F257="Grøntsager",IF($A257="Grøntsager i drivhus",Landbrug!E$51,1-Landbrug!E$51),1)</f>
        <v>#REF!</v>
      </c>
    </row>
    <row r="258" spans="1:10" x14ac:dyDescent="0.25">
      <c r="A258" t="str">
        <f>IF('[1]Processer - data'!A258&lt;&gt;"",'[1]Processer - data'!A258,"")</f>
        <v>Frugtmark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OC6</v>
      </c>
      <c r="D258" t="str">
        <f>IF('[1]Processer - data'!D258&lt;&gt;"",'[1]Processer - data'!D258,"")</f>
        <v>Areal-frugt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Frugt</v>
      </c>
      <c r="G258" t="str">
        <f>IF('[1]Processer - data'!G258&lt;&gt;"",'[1]Processer - data'!G258,"")</f>
        <v>Ton</v>
      </c>
      <c r="H258" s="302" t="e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input'!$A$3:$A$230,$A$1)),IF(VLOOKUP($A258,[1]!Table1[#All],2,FALSE)="Resultat",SUMIF($F$1:$F257,$D258,H$1:H257)+SUMIF($F259:$F$490,$D258,H259:H$490),0))*'[1]Processer - data'!H258,"")*IF($C258&lt;&gt;"",IF($F258="Halm",Landbrug!C$16*Landbrug!C$17,IF(LEFT($D258,5)="Areal", IF($G258="Ton",Landbrug!C$18,1),1)),1)*IF($F258="Grøntsager",IF($A258="Grøntsager i drivhus",Landbrug!C$51,1-Landbrug!C$51),1)</f>
        <v>#REF!</v>
      </c>
      <c r="I258" s="303" t="e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input'!$A$3:$A$230,$A$1)),IF(VLOOKUP($A258,[1]!Table1[#All],2,FALSE)="Resultat",SUMIF($F$1:$F257,$D258,I$1:I257)+SUMIF($F259:$F$490,$D258,I259:I$490),0))*'[1]Processer - data'!I258,"")*IF($C258&lt;&gt;"",IF($F258="Halm",Landbrug!D$16*Landbrug!D$17,IF(LEFT($D258,5)="Areal", IF($G258="Ton",Landbrug!D$18,1),1)),1)*IF($F258="Grøntsager",IF($A258="Grøntsager i drivhus",Landbrug!D$51,1-Landbrug!D$51),1)</f>
        <v>#REF!</v>
      </c>
      <c r="J258" s="304" t="e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input'!$A$3:$A$230,$A$1)),IF(VLOOKUP($A258,[1]!Table1[#All],2,FALSE)="Resultat",SUMIF($F$1:$F257,$D258,J$1:J257)+SUMIF($F259:$F$490,$D258,J259:J$490),0))*'[1]Processer - data'!J258,"")*IF($C258&lt;&gt;"",IF($F258="Halm",Landbrug!E$16*Landbrug!E$17,IF(LEFT($D258,5)="Areal", IF($G258="Ton",Landbrug!E$18,1),1)),1)*IF($F258="Grøntsager",IF($A258="Grøntsager i drivhus",Landbrug!E$51,1-Landbrug!E$51),1)</f>
        <v>#REF!</v>
      </c>
    </row>
    <row r="259" spans="1:10" x14ac:dyDescent="0.25">
      <c r="A259" t="str">
        <f>IF('[1]Processer - data'!A259&lt;&gt;"",'[1]Processer - data'!A259,"")</f>
        <v>Frugtmark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OC6</v>
      </c>
      <c r="D259" t="str">
        <f>IF('[1]Processer - data'!D259&lt;&gt;"",'[1]Processer - data'!D259,"")</f>
        <v>Areal-frugt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2" t="e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input'!$A$3:$A$230,$A$1)),IF(VLOOKUP($A259,[1]!Table1[#All],2,FALSE)="Resultat",SUMIF($F$1:$F258,$D259,H$1:H258)+SUMIF($F260:$F$490,$D259,H260:H$490),0))*'[1]Processer - data'!H259,"")*IF($C259&lt;&gt;"",IF($F259="Halm",Landbrug!C$16*Landbrug!C$17,IF(LEFT($D259,5)="Areal", IF($G259="Ton",Landbrug!C$18,1),1)),1)*IF($F259="Grøntsager",IF($A259="Grøntsager i drivhus",Landbrug!C$51,1-Landbrug!C$51),1)</f>
        <v>#REF!</v>
      </c>
      <c r="I259" s="303" t="e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input'!$A$3:$A$230,$A$1)),IF(VLOOKUP($A259,[1]!Table1[#All],2,FALSE)="Resultat",SUMIF($F$1:$F258,$D259,I$1:I258)+SUMIF($F260:$F$490,$D259,I260:I$490),0))*'[1]Processer - data'!I259,"")*IF($C259&lt;&gt;"",IF($F259="Halm",Landbrug!D$16*Landbrug!D$17,IF(LEFT($D259,5)="Areal", IF($G259="Ton",Landbrug!D$18,1),1)),1)*IF($F259="Grøntsager",IF($A259="Grøntsager i drivhus",Landbrug!D$51,1-Landbrug!D$51),1)</f>
        <v>#REF!</v>
      </c>
      <c r="J259" s="304" t="e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input'!$A$3:$A$230,$A$1)),IF(VLOOKUP($A259,[1]!Table1[#All],2,FALSE)="Resultat",SUMIF($F$1:$F258,$D259,J$1:J258)+SUMIF($F260:$F$490,$D259,J260:J$490),0))*'[1]Processer - data'!J259,"")*IF($C259&lt;&gt;"",IF($F259="Halm",Landbrug!E$16*Landbrug!E$17,IF(LEFT($D259,5)="Areal", IF($G259="Ton",Landbrug!E$18,1),1)),1)*IF($F259="Grøntsager",IF($A259="Grøntsager i drivhus",Landbrug!E$51,1-Landbrug!E$51),1)</f>
        <v>#REF!</v>
      </c>
    </row>
    <row r="260" spans="1:10" x14ac:dyDescent="0.25">
      <c r="A260" t="str">
        <f>IF('[1]Processer - data'!A260&lt;&gt;"",'[1]Processer - data'!A260,"")</f>
        <v>Frugtmark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OC6</v>
      </c>
      <c r="D260" t="str">
        <f>IF('[1]Processer - data'!D260&lt;&gt;"",'[1]Processer - data'!D260,"")</f>
        <v>Areal-frugt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2" t="e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input'!$A$3:$A$230,$A$1)),IF(VLOOKUP($A260,[1]!Table1[#All],2,FALSE)="Resultat",SUMIF($F$1:$F259,$D260,H$1:H259)+SUMIF($F261:$F$490,$D260,H261:H$490),0))*'[1]Processer - data'!H260,"")*IF($C260&lt;&gt;"",IF($F260="Halm",Landbrug!C$16*Landbrug!C$17,IF(LEFT($D260,5)="Areal", IF($G260="Ton",Landbrug!C$18,1),1)),1)*IF($F260="Grøntsager",IF($A260="Grøntsager i drivhus",Landbrug!C$51,1-Landbrug!C$51),1)</f>
        <v>#REF!</v>
      </c>
      <c r="I260" s="303" t="e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input'!$A$3:$A$230,$A$1)),IF(VLOOKUP($A260,[1]!Table1[#All],2,FALSE)="Resultat",SUMIF($F$1:$F259,$D260,I$1:I259)+SUMIF($F261:$F$490,$D260,I261:I$490),0))*'[1]Processer - data'!I260,"")*IF($C260&lt;&gt;"",IF($F260="Halm",Landbrug!D$16*Landbrug!D$17,IF(LEFT($D260,5)="Areal", IF($G260="Ton",Landbrug!D$18,1),1)),1)*IF($F260="Grøntsager",IF($A260="Grøntsager i drivhus",Landbrug!D$51,1-Landbrug!D$51),1)</f>
        <v>#REF!</v>
      </c>
      <c r="J260" s="304" t="e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input'!$A$3:$A$230,$A$1)),IF(VLOOKUP($A260,[1]!Table1[#All],2,FALSE)="Resultat",SUMIF($F$1:$F259,$D260,J$1:J259)+SUMIF($F261:$F$490,$D260,J261:J$490),0))*'[1]Processer - data'!J260,"")*IF($C260&lt;&gt;"",IF($F260="Halm",Landbrug!E$16*Landbrug!E$17,IF(LEFT($D260,5)="Areal", IF($G260="Ton",Landbrug!E$18,1),1)),1)*IF($F260="Grøntsager",IF($A260="Grøntsager i drivhus",Landbrug!E$51,1-Landbrug!E$51),1)</f>
        <v>#REF!</v>
      </c>
    </row>
    <row r="261" spans="1:10" x14ac:dyDescent="0.25">
      <c r="A261" t="str">
        <f>IF('[1]Processer - data'!A261&lt;&gt;"",'[1]Processer - data'!A261,"")</f>
        <v>Frugtmark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OC12</v>
      </c>
      <c r="D261" t="str">
        <f>IF('[1]Processer - data'!D261&lt;&gt;"",'[1]Processer - data'!D261,"")</f>
        <v>Areal-frugt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Frugt</v>
      </c>
      <c r="G261" t="str">
        <f>IF('[1]Processer - data'!G261&lt;&gt;"",'[1]Processer - data'!G261,"")</f>
        <v>Ton</v>
      </c>
      <c r="H261" s="302" t="e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input'!$A$3:$A$230,$A$1)),IF(VLOOKUP($A261,[1]!Table1[#All],2,FALSE)="Resultat",SUMIF($F$1:$F260,$D261,H$1:H260)+SUMIF($F262:$F$490,$D261,H262:H$490),0))*'[1]Processer - data'!H261,"")*IF($C261&lt;&gt;"",IF($F261="Halm",Landbrug!C$16*Landbrug!C$17,IF(LEFT($D261,5)="Areal", IF($G261="Ton",Landbrug!C$18,1),1)),1)*IF($F261="Grøntsager",IF($A261="Grøntsager i drivhus",Landbrug!C$51,1-Landbrug!C$51),1)</f>
        <v>#REF!</v>
      </c>
      <c r="I261" s="303" t="e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input'!$A$3:$A$230,$A$1)),IF(VLOOKUP($A261,[1]!Table1[#All],2,FALSE)="Resultat",SUMIF($F$1:$F260,$D261,I$1:I260)+SUMIF($F262:$F$490,$D261,I262:I$490),0))*'[1]Processer - data'!I261,"")*IF($C261&lt;&gt;"",IF($F261="Halm",Landbrug!D$16*Landbrug!D$17,IF(LEFT($D261,5)="Areal", IF($G261="Ton",Landbrug!D$18,1),1)),1)*IF($F261="Grøntsager",IF($A261="Grøntsager i drivhus",Landbrug!D$51,1-Landbrug!D$51),1)</f>
        <v>#REF!</v>
      </c>
      <c r="J261" s="304" t="e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input'!$A$3:$A$230,$A$1)),IF(VLOOKUP($A261,[1]!Table1[#All],2,FALSE)="Resultat",SUMIF($F$1:$F260,$D261,J$1:J260)+SUMIF($F262:$F$490,$D261,J262:J$490),0))*'[1]Processer - data'!J261,"")*IF($C261&lt;&gt;"",IF($F261="Halm",Landbrug!E$16*Landbrug!E$17,IF(LEFT($D261,5)="Areal", IF($G261="Ton",Landbrug!E$18,1),1)),1)*IF($F261="Grøntsager",IF($A261="Grøntsager i drivhus",Landbrug!E$51,1-Landbrug!E$51),1)</f>
        <v>#REF!</v>
      </c>
    </row>
    <row r="262" spans="1:10" x14ac:dyDescent="0.25">
      <c r="A262" t="str">
        <f>IF('[1]Processer - data'!A262&lt;&gt;"",'[1]Processer - data'!A262,"")</f>
        <v>Frugtmark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OC12</v>
      </c>
      <c r="D262" t="str">
        <f>IF('[1]Processer - data'!D262&lt;&gt;"",'[1]Processer - data'!D262,"")</f>
        <v>Areal-frugt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2" t="e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input'!$A$3:$A$230,$A$1)),IF(VLOOKUP($A262,[1]!Table1[#All],2,FALSE)="Resultat",SUMIF($F$1:$F261,$D262,H$1:H261)+SUMIF($F263:$F$490,$D262,H263:H$490),0))*'[1]Processer - data'!H262,"")*IF($C262&lt;&gt;"",IF($F262="Halm",Landbrug!C$16*Landbrug!C$17,IF(LEFT($D262,5)="Areal", IF($G262="Ton",Landbrug!C$18,1),1)),1)*IF($F262="Grøntsager",IF($A262="Grøntsager i drivhus",Landbrug!C$51,1-Landbrug!C$51),1)</f>
        <v>#REF!</v>
      </c>
      <c r="I262" s="303" t="e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input'!$A$3:$A$230,$A$1)),IF(VLOOKUP($A262,[1]!Table1[#All],2,FALSE)="Resultat",SUMIF($F$1:$F261,$D262,I$1:I261)+SUMIF($F263:$F$490,$D262,I263:I$490),0))*'[1]Processer - data'!I262,"")*IF($C262&lt;&gt;"",IF($F262="Halm",Landbrug!D$16*Landbrug!D$17,IF(LEFT($D262,5)="Areal", IF($G262="Ton",Landbrug!D$18,1),1)),1)*IF($F262="Grøntsager",IF($A262="Grøntsager i drivhus",Landbrug!D$51,1-Landbrug!D$51),1)</f>
        <v>#REF!</v>
      </c>
      <c r="J262" s="304" t="e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input'!$A$3:$A$230,$A$1)),IF(VLOOKUP($A262,[1]!Table1[#All],2,FALSE)="Resultat",SUMIF($F$1:$F261,$D262,J$1:J261)+SUMIF($F263:$F$490,$D262,J263:J$490),0))*'[1]Processer - data'!J262,"")*IF($C262&lt;&gt;"",IF($F262="Halm",Landbrug!E$16*Landbrug!E$17,IF(LEFT($D262,5)="Areal", IF($G262="Ton",Landbrug!E$18,1),1)),1)*IF($F262="Grøntsager",IF($A262="Grøntsager i drivhus",Landbrug!E$51,1-Landbrug!E$51),1)</f>
        <v>#REF!</v>
      </c>
    </row>
    <row r="263" spans="1:10" x14ac:dyDescent="0.25">
      <c r="A263" t="str">
        <f>IF('[1]Processer - data'!A263&lt;&gt;"",'[1]Processer - data'!A263,"")</f>
        <v>Frugtmark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OC12</v>
      </c>
      <c r="D263" t="str">
        <f>IF('[1]Processer - data'!D263&lt;&gt;"",'[1]Processer - data'!D263,"")</f>
        <v>Areal-frugt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2" t="e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input'!$A$3:$A$230,$A$1)),IF(VLOOKUP($A263,[1]!Table1[#All],2,FALSE)="Resultat",SUMIF($F$1:$F262,$D263,H$1:H262)+SUMIF($F264:$F$490,$D263,H264:H$490),0))*'[1]Processer - data'!H263,"")*IF($C263&lt;&gt;"",IF($F263="Halm",Landbrug!C$16*Landbrug!C$17,IF(LEFT($D263,5)="Areal", IF($G263="Ton",Landbrug!C$18,1),1)),1)*IF($F263="Grøntsager",IF($A263="Grøntsager i drivhus",Landbrug!C$51,1-Landbrug!C$51),1)</f>
        <v>#REF!</v>
      </c>
      <c r="I263" s="303" t="e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input'!$A$3:$A$230,$A$1)),IF(VLOOKUP($A263,[1]!Table1[#All],2,FALSE)="Resultat",SUMIF($F$1:$F262,$D263,I$1:I262)+SUMIF($F264:$F$490,$D263,I264:I$490),0))*'[1]Processer - data'!I263,"")*IF($C263&lt;&gt;"",IF($F263="Halm",Landbrug!D$16*Landbrug!D$17,IF(LEFT($D263,5)="Areal", IF($G263="Ton",Landbrug!D$18,1),1)),1)*IF($F263="Grøntsager",IF($A263="Grøntsager i drivhus",Landbrug!D$51,1-Landbrug!D$51),1)</f>
        <v>#REF!</v>
      </c>
      <c r="J263" s="304" t="e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input'!$A$3:$A$230,$A$1)),IF(VLOOKUP($A263,[1]!Table1[#All],2,FALSE)="Resultat",SUMIF($F$1:$F262,$D263,J$1:J262)+SUMIF($F264:$F$490,$D263,J264:J$490),0))*'[1]Processer - data'!J263,"")*IF($C263&lt;&gt;"",IF($F263="Halm",Landbrug!E$16*Landbrug!E$17,IF(LEFT($D263,5)="Areal", IF($G263="Ton",Landbrug!E$18,1),1)),1)*IF($F263="Grøntsager",IF($A263="Grøntsager i drivhus",Landbrug!E$51,1-Landbrug!E$51),1)</f>
        <v>#REF!</v>
      </c>
    </row>
    <row r="264" spans="1:10" x14ac:dyDescent="0.25">
      <c r="A264" t="str">
        <f>IF('[1]Processer - data'!A264&lt;&gt;"",'[1]Processer - data'!A264,"")</f>
        <v>Øvrig mark</v>
      </c>
      <c r="B264" t="str">
        <f>IF('[1]Processer - data'!B264&lt;&gt;"",'[1]Processer - data'!B264,"")</f>
        <v>Konventionel</v>
      </c>
      <c r="C264" t="str">
        <f>IF('[1]Processer - data'!C264&lt;&gt;"",'[1]Processer - data'!C264,"")</f>
        <v>JB1-10</v>
      </c>
      <c r="D264" t="str">
        <f>IF('[1]Processer - data'!D264&lt;&gt;"",'[1]Processer - data'!D264,"")</f>
        <v>Areal-øvrige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Øvrige</v>
      </c>
      <c r="G264" t="str">
        <f>IF('[1]Processer - data'!G264&lt;&gt;"",'[1]Processer - data'!G264,"")</f>
        <v>Ton</v>
      </c>
      <c r="H264" s="302" t="e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input'!$A$3:$A$230,$A$1)),IF(VLOOKUP($A264,[1]!Table1[#All],2,FALSE)="Resultat",SUMIF($F$1:$F263,$D264,H$1:H263)+SUMIF($F265:$F$490,$D264,H265:H$490),0))*'[1]Processer - data'!H264,"")*IF($C264&lt;&gt;"",IF($F264="Halm",Landbrug!C$16*Landbrug!C$17,IF(LEFT($D264,5)="Areal", IF($G264="Ton",Landbrug!C$18,1),1)),1)*IF($F264="Grøntsager",IF($A264="Grøntsager i drivhus",Landbrug!C$51,1-Landbrug!C$51),1)</f>
        <v>#REF!</v>
      </c>
      <c r="I264" s="303" t="e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input'!$A$3:$A$230,$A$1)),IF(VLOOKUP($A264,[1]!Table1[#All],2,FALSE)="Resultat",SUMIF($F$1:$F263,$D264,I$1:I263)+SUMIF($F265:$F$490,$D264,I265:I$490),0))*'[1]Processer - data'!I264,"")*IF($C264&lt;&gt;"",IF($F264="Halm",Landbrug!D$16*Landbrug!D$17,IF(LEFT($D264,5)="Areal", IF($G264="Ton",Landbrug!D$18,1),1)),1)*IF($F264="Grøntsager",IF($A264="Grøntsager i drivhus",Landbrug!D$51,1-Landbrug!D$51),1)</f>
        <v>#REF!</v>
      </c>
      <c r="J264" s="304" t="e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input'!$A$3:$A$230,$A$1)),IF(VLOOKUP($A264,[1]!Table1[#All],2,FALSE)="Resultat",SUMIF($F$1:$F263,$D264,J$1:J263)+SUMIF($F265:$F$490,$D264,J265:J$490),0))*'[1]Processer - data'!J264,"")*IF($C264&lt;&gt;"",IF($F264="Halm",Landbrug!E$16*Landbrug!E$17,IF(LEFT($D264,5)="Areal", IF($G264="Ton",Landbrug!E$18,1),1)),1)*IF($F264="Grøntsager",IF($A264="Grøntsager i drivhus",Landbrug!E$51,1-Landbrug!E$51),1)</f>
        <v>#REF!</v>
      </c>
    </row>
    <row r="265" spans="1:10" x14ac:dyDescent="0.25">
      <c r="A265" t="str">
        <f>IF('[1]Processer - data'!A265&lt;&gt;"",'[1]Processer - data'!A265,"")</f>
        <v>Øvrig mark</v>
      </c>
      <c r="B265" t="str">
        <f>IF('[1]Processer - data'!B265&lt;&gt;"",'[1]Processer - data'!B265,"")</f>
        <v>Konventionel</v>
      </c>
      <c r="C265" t="str">
        <f>IF('[1]Processer - data'!C265&lt;&gt;"",'[1]Processer - data'!C265,"")</f>
        <v>JB1-10</v>
      </c>
      <c r="D265" t="str">
        <f>IF('[1]Processer - data'!D265&lt;&gt;"",'[1]Processer - data'!D265,"")</f>
        <v>Areal-øvrige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2" t="e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input'!$A$3:$A$230,$A$1)),IF(VLOOKUP($A265,[1]!Table1[#All],2,FALSE)="Resultat",SUMIF($F$1:$F264,$D265,H$1:H264)+SUMIF($F266:$F$490,$D265,H266:H$490),0))*'[1]Processer - data'!H265,"")*IF($C265&lt;&gt;"",IF($F265="Halm",Landbrug!C$16*Landbrug!C$17,IF(LEFT($D265,5)="Areal", IF($G265="Ton",Landbrug!C$18,1),1)),1)*IF($F265="Grøntsager",IF($A265="Grøntsager i drivhus",Landbrug!C$51,1-Landbrug!C$51),1)</f>
        <v>#REF!</v>
      </c>
      <c r="I265" s="303" t="e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input'!$A$3:$A$230,$A$1)),IF(VLOOKUP($A265,[1]!Table1[#All],2,FALSE)="Resultat",SUMIF($F$1:$F264,$D265,I$1:I264)+SUMIF($F266:$F$490,$D265,I266:I$490),0))*'[1]Processer - data'!I265,"")*IF($C265&lt;&gt;"",IF($F265="Halm",Landbrug!D$16*Landbrug!D$17,IF(LEFT($D265,5)="Areal", IF($G265="Ton",Landbrug!D$18,1),1)),1)*IF($F265="Grøntsager",IF($A265="Grøntsager i drivhus",Landbrug!D$51,1-Landbrug!D$51),1)</f>
        <v>#REF!</v>
      </c>
      <c r="J265" s="304" t="e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input'!$A$3:$A$230,$A$1)),IF(VLOOKUP($A265,[1]!Table1[#All],2,FALSE)="Resultat",SUMIF($F$1:$F264,$D265,J$1:J264)+SUMIF($F266:$F$490,$D265,J266:J$490),0))*'[1]Processer - data'!J265,"")*IF($C265&lt;&gt;"",IF($F265="Halm",Landbrug!E$16*Landbrug!E$17,IF(LEFT($D265,5)="Areal", IF($G265="Ton",Landbrug!E$18,1),1)),1)*IF($F265="Grøntsager",IF($A265="Grøntsager i drivhus",Landbrug!E$51,1-Landbrug!E$51),1)</f>
        <v>#REF!</v>
      </c>
    </row>
    <row r="266" spans="1:10" x14ac:dyDescent="0.25">
      <c r="A266" t="str">
        <f>IF('[1]Processer - data'!A266&lt;&gt;"",'[1]Processer - data'!A266,"")</f>
        <v>Øvrig mark</v>
      </c>
      <c r="B266" t="str">
        <f>IF('[1]Processer - data'!B266&lt;&gt;"",'[1]Processer - data'!B266,"")</f>
        <v>Konventionel</v>
      </c>
      <c r="C266" t="str">
        <f>IF('[1]Processer - data'!C266&lt;&gt;"",'[1]Processer - data'!C266,"")</f>
        <v>JB1-10</v>
      </c>
      <c r="D266" t="str">
        <f>IF('[1]Processer - data'!D266&lt;&gt;"",'[1]Processer - data'!D266,"")</f>
        <v>Areal-øvrige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2" t="e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input'!$A$3:$A$230,$A$1)),IF(VLOOKUP($A266,[1]!Table1[#All],2,FALSE)="Resultat",SUMIF($F$1:$F265,$D266,H$1:H265)+SUMIF($F267:$F$490,$D266,H267:H$490),0))*'[1]Processer - data'!H266,"")*IF($C266&lt;&gt;"",IF($F266="Halm",Landbrug!C$16*Landbrug!C$17,IF(LEFT($D266,5)="Areal", IF($G266="Ton",Landbrug!C$18,1),1)),1)*IF($F266="Grøntsager",IF($A266="Grøntsager i drivhus",Landbrug!C$51,1-Landbrug!C$51),1)</f>
        <v>#REF!</v>
      </c>
      <c r="I266" s="303" t="e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input'!$A$3:$A$230,$A$1)),IF(VLOOKUP($A266,[1]!Table1[#All],2,FALSE)="Resultat",SUMIF($F$1:$F265,$D266,I$1:I265)+SUMIF($F267:$F$490,$D266,I267:I$490),0))*'[1]Processer - data'!I266,"")*IF($C266&lt;&gt;"",IF($F266="Halm",Landbrug!D$16*Landbrug!D$17,IF(LEFT($D266,5)="Areal", IF($G266="Ton",Landbrug!D$18,1),1)),1)*IF($F266="Grøntsager",IF($A266="Grøntsager i drivhus",Landbrug!D$51,1-Landbrug!D$51),1)</f>
        <v>#REF!</v>
      </c>
      <c r="J266" s="304" t="e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input'!$A$3:$A$230,$A$1)),IF(VLOOKUP($A266,[1]!Table1[#All],2,FALSE)="Resultat",SUMIF($F$1:$F265,$D266,J$1:J265)+SUMIF($F267:$F$490,$D266,J267:J$490),0))*'[1]Processer - data'!J266,"")*IF($C266&lt;&gt;"",IF($F266="Halm",Landbrug!E$16*Landbrug!E$17,IF(LEFT($D266,5)="Areal", IF($G266="Ton",Landbrug!E$18,1),1)),1)*IF($F266="Grøntsager",IF($A266="Grøntsager i drivhus",Landbrug!E$51,1-Landbrug!E$51),1)</f>
        <v>#REF!</v>
      </c>
    </row>
    <row r="267" spans="1:10" x14ac:dyDescent="0.25">
      <c r="A267" t="str">
        <f>IF('[1]Processer - data'!A267&lt;&gt;"",'[1]Processer - data'!A267,"")</f>
        <v>Øvrig 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OC6</v>
      </c>
      <c r="D267" t="str">
        <f>IF('[1]Processer - data'!D267&lt;&gt;"",'[1]Processer - data'!D267,"")</f>
        <v>Areal-øvrige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Øvrige</v>
      </c>
      <c r="G267" t="str">
        <f>IF('[1]Processer - data'!G267&lt;&gt;"",'[1]Processer - data'!G267,"")</f>
        <v>Ton</v>
      </c>
      <c r="H267" s="302" t="e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input'!$A$3:$A$230,$A$1)),IF(VLOOKUP($A267,[1]!Table1[#All],2,FALSE)="Resultat",SUMIF($F$1:$F266,$D267,H$1:H266)+SUMIF($F268:$F$490,$D267,H268:H$490),0))*'[1]Processer - data'!H267,"")*IF($C267&lt;&gt;"",IF($F267="Halm",Landbrug!C$16*Landbrug!C$17,IF(LEFT($D267,5)="Areal", IF($G267="Ton",Landbrug!C$18,1),1)),1)*IF($F267="Grøntsager",IF($A267="Grøntsager i drivhus",Landbrug!C$51,1-Landbrug!C$51),1)</f>
        <v>#REF!</v>
      </c>
      <c r="I267" s="303" t="e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input'!$A$3:$A$230,$A$1)),IF(VLOOKUP($A267,[1]!Table1[#All],2,FALSE)="Resultat",SUMIF($F$1:$F266,$D267,I$1:I266)+SUMIF($F268:$F$490,$D267,I268:I$490),0))*'[1]Processer - data'!I267,"")*IF($C267&lt;&gt;"",IF($F267="Halm",Landbrug!D$16*Landbrug!D$17,IF(LEFT($D267,5)="Areal", IF($G267="Ton",Landbrug!D$18,1),1)),1)*IF($F267="Grøntsager",IF($A267="Grøntsager i drivhus",Landbrug!D$51,1-Landbrug!D$51),1)</f>
        <v>#REF!</v>
      </c>
      <c r="J267" s="304" t="e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input'!$A$3:$A$230,$A$1)),IF(VLOOKUP($A267,[1]!Table1[#All],2,FALSE)="Resultat",SUMIF($F$1:$F266,$D267,J$1:J266)+SUMIF($F268:$F$490,$D267,J268:J$490),0))*'[1]Processer - data'!J267,"")*IF($C267&lt;&gt;"",IF($F267="Halm",Landbrug!E$16*Landbrug!E$17,IF(LEFT($D267,5)="Areal", IF($G267="Ton",Landbrug!E$18,1),1)),1)*IF($F267="Grøntsager",IF($A267="Grøntsager i drivhus",Landbrug!E$51,1-Landbrug!E$51),1)</f>
        <v>#REF!</v>
      </c>
    </row>
    <row r="268" spans="1:10" x14ac:dyDescent="0.25">
      <c r="A268" t="str">
        <f>IF('[1]Processer - data'!A268&lt;&gt;"",'[1]Processer - data'!A268,"")</f>
        <v>Øvrig 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OC6</v>
      </c>
      <c r="D268" t="str">
        <f>IF('[1]Processer - data'!D268&lt;&gt;"",'[1]Processer - data'!D268,"")</f>
        <v>Areal-øvrige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2" t="e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input'!$A$3:$A$230,$A$1)),IF(VLOOKUP($A268,[1]!Table1[#All],2,FALSE)="Resultat",SUMIF($F$1:$F267,$D268,H$1:H267)+SUMIF($F269:$F$490,$D268,H269:H$490),0))*'[1]Processer - data'!H268,"")*IF($C268&lt;&gt;"",IF($F268="Halm",Landbrug!C$16*Landbrug!C$17,IF(LEFT($D268,5)="Areal", IF($G268="Ton",Landbrug!C$18,1),1)),1)*IF($F268="Grøntsager",IF($A268="Grøntsager i drivhus",Landbrug!C$51,1-Landbrug!C$51),1)</f>
        <v>#REF!</v>
      </c>
      <c r="I268" s="303" t="e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input'!$A$3:$A$230,$A$1)),IF(VLOOKUP($A268,[1]!Table1[#All],2,FALSE)="Resultat",SUMIF($F$1:$F267,$D268,I$1:I267)+SUMIF($F269:$F$490,$D268,I269:I$490),0))*'[1]Processer - data'!I268,"")*IF($C268&lt;&gt;"",IF($F268="Halm",Landbrug!D$16*Landbrug!D$17,IF(LEFT($D268,5)="Areal", IF($G268="Ton",Landbrug!D$18,1),1)),1)*IF($F268="Grøntsager",IF($A268="Grøntsager i drivhus",Landbrug!D$51,1-Landbrug!D$51),1)</f>
        <v>#REF!</v>
      </c>
      <c r="J268" s="304" t="e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input'!$A$3:$A$230,$A$1)),IF(VLOOKUP($A268,[1]!Table1[#All],2,FALSE)="Resultat",SUMIF($F$1:$F267,$D268,J$1:J267)+SUMIF($F269:$F$490,$D268,J269:J$490),0))*'[1]Processer - data'!J268,"")*IF($C268&lt;&gt;"",IF($F268="Halm",Landbrug!E$16*Landbrug!E$17,IF(LEFT($D268,5)="Areal", IF($G268="Ton",Landbrug!E$18,1),1)),1)*IF($F268="Grøntsager",IF($A268="Grøntsager i drivhus",Landbrug!E$51,1-Landbrug!E$51),1)</f>
        <v>#REF!</v>
      </c>
    </row>
    <row r="269" spans="1:10" x14ac:dyDescent="0.25">
      <c r="A269" t="str">
        <f>IF('[1]Processer - data'!A269&lt;&gt;"",'[1]Processer - data'!A269,"")</f>
        <v>Øvrig 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OC6</v>
      </c>
      <c r="D269" t="str">
        <f>IF('[1]Processer - data'!D269&lt;&gt;"",'[1]Processer - data'!D269,"")</f>
        <v>Areal-øvrige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2" t="e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input'!$A$3:$A$230,$A$1)),IF(VLOOKUP($A269,[1]!Table1[#All],2,FALSE)="Resultat",SUMIF($F$1:$F268,$D269,H$1:H268)+SUMIF($F270:$F$490,$D269,H270:H$490),0))*'[1]Processer - data'!H269,"")*IF($C269&lt;&gt;"",IF($F269="Halm",Landbrug!C$16*Landbrug!C$17,IF(LEFT($D269,5)="Areal", IF($G269="Ton",Landbrug!C$18,1),1)),1)*IF($F269="Grøntsager",IF($A269="Grøntsager i drivhus",Landbrug!C$51,1-Landbrug!C$51),1)</f>
        <v>#REF!</v>
      </c>
      <c r="I269" s="303" t="e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input'!$A$3:$A$230,$A$1)),IF(VLOOKUP($A269,[1]!Table1[#All],2,FALSE)="Resultat",SUMIF($F$1:$F268,$D269,I$1:I268)+SUMIF($F270:$F$490,$D269,I270:I$490),0))*'[1]Processer - data'!I269,"")*IF($C269&lt;&gt;"",IF($F269="Halm",Landbrug!D$16*Landbrug!D$17,IF(LEFT($D269,5)="Areal", IF($G269="Ton",Landbrug!D$18,1),1)),1)*IF($F269="Grøntsager",IF($A269="Grøntsager i drivhus",Landbrug!D$51,1-Landbrug!D$51),1)</f>
        <v>#REF!</v>
      </c>
      <c r="J269" s="304" t="e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input'!$A$3:$A$230,$A$1)),IF(VLOOKUP($A269,[1]!Table1[#All],2,FALSE)="Resultat",SUMIF($F$1:$F268,$D269,J$1:J268)+SUMIF($F270:$F$490,$D269,J270:J$490),0))*'[1]Processer - data'!J269,"")*IF($C269&lt;&gt;"",IF($F269="Halm",Landbrug!E$16*Landbrug!E$17,IF(LEFT($D269,5)="Areal", IF($G269="Ton",Landbrug!E$18,1),1)),1)*IF($F269="Grøntsager",IF($A269="Grøntsager i drivhus",Landbrug!E$51,1-Landbrug!E$51),1)</f>
        <v>#REF!</v>
      </c>
    </row>
    <row r="270" spans="1:10" x14ac:dyDescent="0.25">
      <c r="A270" t="str">
        <f>IF('[1]Processer - data'!A270&lt;&gt;"",'[1]Processer - data'!A270,"")</f>
        <v>Øvrig 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OC12</v>
      </c>
      <c r="D270" t="str">
        <f>IF('[1]Processer - data'!D270&lt;&gt;"",'[1]Processer - data'!D270,"")</f>
        <v>Areal-øvrige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Øvrige</v>
      </c>
      <c r="G270" t="str">
        <f>IF('[1]Processer - data'!G270&lt;&gt;"",'[1]Processer - data'!G270,"")</f>
        <v>Ton</v>
      </c>
      <c r="H270" s="302" t="e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input'!$A$3:$A$230,$A$1)),IF(VLOOKUP($A270,[1]!Table1[#All],2,FALSE)="Resultat",SUMIF($F$1:$F269,$D270,H$1:H269)+SUMIF($F271:$F$490,$D270,H271:H$490),0))*'[1]Processer - data'!H270,"")*IF($C270&lt;&gt;"",IF($F270="Halm",Landbrug!C$16*Landbrug!C$17,IF(LEFT($D270,5)="Areal", IF($G270="Ton",Landbrug!C$18,1),1)),1)*IF($F270="Grøntsager",IF($A270="Grøntsager i drivhus",Landbrug!C$51,1-Landbrug!C$51),1)</f>
        <v>#REF!</v>
      </c>
      <c r="I270" s="303" t="e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input'!$A$3:$A$230,$A$1)),IF(VLOOKUP($A270,[1]!Table1[#All],2,FALSE)="Resultat",SUMIF($F$1:$F269,$D270,I$1:I269)+SUMIF($F271:$F$490,$D270,I271:I$490),0))*'[1]Processer - data'!I270,"")*IF($C270&lt;&gt;"",IF($F270="Halm",Landbrug!D$16*Landbrug!D$17,IF(LEFT($D270,5)="Areal", IF($G270="Ton",Landbrug!D$18,1),1)),1)*IF($F270="Grøntsager",IF($A270="Grøntsager i drivhus",Landbrug!D$51,1-Landbrug!D$51),1)</f>
        <v>#REF!</v>
      </c>
      <c r="J270" s="304" t="e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input'!$A$3:$A$230,$A$1)),IF(VLOOKUP($A270,[1]!Table1[#All],2,FALSE)="Resultat",SUMIF($F$1:$F269,$D270,J$1:J269)+SUMIF($F271:$F$490,$D270,J271:J$490),0))*'[1]Processer - data'!J270,"")*IF($C270&lt;&gt;"",IF($F270="Halm",Landbrug!E$16*Landbrug!E$17,IF(LEFT($D270,5)="Areal", IF($G270="Ton",Landbrug!E$18,1),1)),1)*IF($F270="Grøntsager",IF($A270="Grøntsager i drivhus",Landbrug!E$51,1-Landbrug!E$51),1)</f>
        <v>#REF!</v>
      </c>
    </row>
    <row r="271" spans="1:10" x14ac:dyDescent="0.25">
      <c r="A271" t="str">
        <f>IF('[1]Processer - data'!A271&lt;&gt;"",'[1]Processer - data'!A271,"")</f>
        <v>Øvrig 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OC12</v>
      </c>
      <c r="D271" t="str">
        <f>IF('[1]Processer - data'!D271&lt;&gt;"",'[1]Processer - data'!D271,"")</f>
        <v>Areal-øvrige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2" t="e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input'!$A$3:$A$230,$A$1)),IF(VLOOKUP($A271,[1]!Table1[#All],2,FALSE)="Resultat",SUMIF($F$1:$F270,$D271,H$1:H270)+SUMIF($F272:$F$490,$D271,H272:H$490),0))*'[1]Processer - data'!H271,"")*IF($C271&lt;&gt;"",IF($F271="Halm",Landbrug!C$16*Landbrug!C$17,IF(LEFT($D271,5)="Areal", IF($G271="Ton",Landbrug!C$18,1),1)),1)*IF($F271="Grøntsager",IF($A271="Grøntsager i drivhus",Landbrug!C$51,1-Landbrug!C$51),1)</f>
        <v>#REF!</v>
      </c>
      <c r="I271" s="303" t="e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input'!$A$3:$A$230,$A$1)),IF(VLOOKUP($A271,[1]!Table1[#All],2,FALSE)="Resultat",SUMIF($F$1:$F270,$D271,I$1:I270)+SUMIF($F272:$F$490,$D271,I272:I$490),0))*'[1]Processer - data'!I271,"")*IF($C271&lt;&gt;"",IF($F271="Halm",Landbrug!D$16*Landbrug!D$17,IF(LEFT($D271,5)="Areal", IF($G271="Ton",Landbrug!D$18,1),1)),1)*IF($F271="Grøntsager",IF($A271="Grøntsager i drivhus",Landbrug!D$51,1-Landbrug!D$51),1)</f>
        <v>#REF!</v>
      </c>
      <c r="J271" s="304" t="e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input'!$A$3:$A$230,$A$1)),IF(VLOOKUP($A271,[1]!Table1[#All],2,FALSE)="Resultat",SUMIF($F$1:$F270,$D271,J$1:J270)+SUMIF($F272:$F$490,$D271,J272:J$490),0))*'[1]Processer - data'!J271,"")*IF($C271&lt;&gt;"",IF($F271="Halm",Landbrug!E$16*Landbrug!E$17,IF(LEFT($D271,5)="Areal", IF($G271="Ton",Landbrug!E$18,1),1)),1)*IF($F271="Grøntsager",IF($A271="Grøntsager i drivhus",Landbrug!E$51,1-Landbrug!E$51),1)</f>
        <v>#REF!</v>
      </c>
    </row>
    <row r="272" spans="1:10" x14ac:dyDescent="0.25">
      <c r="A272" t="str">
        <f>IF('[1]Processer - data'!A272&lt;&gt;"",'[1]Processer - data'!A272,"")</f>
        <v>Øvrig 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OC12</v>
      </c>
      <c r="D272" t="str">
        <f>IF('[1]Processer - data'!D272&lt;&gt;"",'[1]Processer - data'!D272,"")</f>
        <v>Areal-øvrige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2" t="e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input'!$A$3:$A$230,$A$1)),IF(VLOOKUP($A272,[1]!Table1[#All],2,FALSE)="Resultat",SUMIF($F$1:$F271,$D272,H$1:H271)+SUMIF($F273:$F$490,$D272,H273:H$490),0))*'[1]Processer - data'!H272,"")*IF($C272&lt;&gt;"",IF($F272="Halm",Landbrug!C$16*Landbrug!C$17,IF(LEFT($D272,5)="Areal", IF($G272="Ton",Landbrug!C$18,1),1)),1)*IF($F272="Grøntsager",IF($A272="Grøntsager i drivhus",Landbrug!C$51,1-Landbrug!C$51),1)</f>
        <v>#REF!</v>
      </c>
      <c r="I272" s="303" t="e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input'!$A$3:$A$230,$A$1)),IF(VLOOKUP($A272,[1]!Table1[#All],2,FALSE)="Resultat",SUMIF($F$1:$F271,$D272,I$1:I271)+SUMIF($F273:$F$490,$D272,I273:I$490),0))*'[1]Processer - data'!I272,"")*IF($C272&lt;&gt;"",IF($F272="Halm",Landbrug!D$16*Landbrug!D$17,IF(LEFT($D272,5)="Areal", IF($G272="Ton",Landbrug!D$18,1),1)),1)*IF($F272="Grøntsager",IF($A272="Grøntsager i drivhus",Landbrug!D$51,1-Landbrug!D$51),1)</f>
        <v>#REF!</v>
      </c>
      <c r="J272" s="304" t="e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input'!$A$3:$A$230,$A$1)),IF(VLOOKUP($A272,[1]!Table1[#All],2,FALSE)="Resultat",SUMIF($F$1:$F271,$D272,J$1:J271)+SUMIF($F273:$F$490,$D272,J273:J$490),0))*'[1]Processer - data'!J272,"")*IF($C272&lt;&gt;"",IF($F272="Halm",Landbrug!E$16*Landbrug!E$17,IF(LEFT($D272,5)="Areal", IF($G272="Ton",Landbrug!E$18,1),1)),1)*IF($F272="Grøntsager",IF($A272="Grøntsager i drivhus",Landbrug!E$51,1-Landbrug!E$51),1)</f>
        <v>#REF!</v>
      </c>
    </row>
    <row r="273" spans="1:10" x14ac:dyDescent="0.25">
      <c r="A273" t="str">
        <f>IF('[1]Processer - data'!A273&lt;&gt;"",'[1]Processer - data'!A273,"")</f>
        <v>Øvrig mark</v>
      </c>
      <c r="B273" t="str">
        <f>IF('[1]Processer - data'!B273&lt;&gt;"",'[1]Processer - data'!B273,"")</f>
        <v>Økologisk</v>
      </c>
      <c r="C273" t="str">
        <f>IF('[1]Processer - data'!C273&lt;&gt;"",'[1]Processer - data'!C273,"")</f>
        <v>JB1-10</v>
      </c>
      <c r="D273" t="str">
        <f>IF('[1]Processer - data'!D273&lt;&gt;"",'[1]Processer - data'!D273,"")</f>
        <v>Areal-øvrige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Øvrige</v>
      </c>
      <c r="G273" t="str">
        <f>IF('[1]Processer - data'!G273&lt;&gt;"",'[1]Processer - data'!G273,"")</f>
        <v>Ton</v>
      </c>
      <c r="H273" s="302" t="e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input'!$A$3:$A$230,$A$1)),IF(VLOOKUP($A273,[1]!Table1[#All],2,FALSE)="Resultat",SUMIF($F$1:$F272,$D273,H$1:H272)+SUMIF($F274:$F$490,$D273,H274:H$490),0))*'[1]Processer - data'!H273,"")*IF($C273&lt;&gt;"",IF($F273="Halm",Landbrug!C$16*Landbrug!C$17,IF(LEFT($D273,5)="Areal", IF($G273="Ton",Landbrug!C$18,1),1)),1)*IF($F273="Grøntsager",IF($A273="Grøntsager i drivhus",Landbrug!C$51,1-Landbrug!C$51),1)</f>
        <v>#REF!</v>
      </c>
      <c r="I273" s="303" t="e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input'!$A$3:$A$230,$A$1)),IF(VLOOKUP($A273,[1]!Table1[#All],2,FALSE)="Resultat",SUMIF($F$1:$F272,$D273,I$1:I272)+SUMIF($F274:$F$490,$D273,I274:I$490),0))*'[1]Processer - data'!I273,"")*IF($C273&lt;&gt;"",IF($F273="Halm",Landbrug!D$16*Landbrug!D$17,IF(LEFT($D273,5)="Areal", IF($G273="Ton",Landbrug!D$18,1),1)),1)*IF($F273="Grøntsager",IF($A273="Grøntsager i drivhus",Landbrug!D$51,1-Landbrug!D$51),1)</f>
        <v>#REF!</v>
      </c>
      <c r="J273" s="304" t="e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input'!$A$3:$A$230,$A$1)),IF(VLOOKUP($A273,[1]!Table1[#All],2,FALSE)="Resultat",SUMIF($F$1:$F272,$D273,J$1:J272)+SUMIF($F274:$F$490,$D273,J274:J$490),0))*'[1]Processer - data'!J273,"")*IF($C273&lt;&gt;"",IF($F273="Halm",Landbrug!E$16*Landbrug!E$17,IF(LEFT($D273,5)="Areal", IF($G273="Ton",Landbrug!E$18,1),1)),1)*IF($F273="Grøntsager",IF($A273="Grøntsager i drivhus",Landbrug!E$51,1-Landbrug!E$51),1)</f>
        <v>#REF!</v>
      </c>
    </row>
    <row r="274" spans="1:10" x14ac:dyDescent="0.25">
      <c r="A274" t="str">
        <f>IF('[1]Processer - data'!A274&lt;&gt;"",'[1]Processer - data'!A274,"")</f>
        <v>Øvrig mark</v>
      </c>
      <c r="B274" t="str">
        <f>IF('[1]Processer - data'!B274&lt;&gt;"",'[1]Processer - data'!B274,"")</f>
        <v>Økologisk</v>
      </c>
      <c r="C274" t="str">
        <f>IF('[1]Processer - data'!C274&lt;&gt;"",'[1]Processer - data'!C274,"")</f>
        <v>JB1-10</v>
      </c>
      <c r="D274" t="str">
        <f>IF('[1]Processer - data'!D274&lt;&gt;"",'[1]Processer - data'!D274,"")</f>
        <v>Areal-øvrige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2" t="e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input'!$A$3:$A$230,$A$1)),IF(VLOOKUP($A274,[1]!Table1[#All],2,FALSE)="Resultat",SUMIF($F$1:$F273,$D274,H$1:H273)+SUMIF($F275:$F$490,$D274,H275:H$490),0))*'[1]Processer - data'!H274,"")*IF($C274&lt;&gt;"",IF($F274="Halm",Landbrug!C$16*Landbrug!C$17,IF(LEFT($D274,5)="Areal", IF($G274="Ton",Landbrug!C$18,1),1)),1)*IF($F274="Grøntsager",IF($A274="Grøntsager i drivhus",Landbrug!C$51,1-Landbrug!C$51),1)</f>
        <v>#REF!</v>
      </c>
      <c r="I274" s="303" t="e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input'!$A$3:$A$230,$A$1)),IF(VLOOKUP($A274,[1]!Table1[#All],2,FALSE)="Resultat",SUMIF($F$1:$F273,$D274,I$1:I273)+SUMIF($F275:$F$490,$D274,I275:I$490),0))*'[1]Processer - data'!I274,"")*IF($C274&lt;&gt;"",IF($F274="Halm",Landbrug!D$16*Landbrug!D$17,IF(LEFT($D274,5)="Areal", IF($G274="Ton",Landbrug!D$18,1),1)),1)*IF($F274="Grøntsager",IF($A274="Grøntsager i drivhus",Landbrug!D$51,1-Landbrug!D$51),1)</f>
        <v>#REF!</v>
      </c>
      <c r="J274" s="304" t="e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input'!$A$3:$A$230,$A$1)),IF(VLOOKUP($A274,[1]!Table1[#All],2,FALSE)="Resultat",SUMIF($F$1:$F273,$D274,J$1:J273)+SUMIF($F275:$F$490,$D274,J275:J$490),0))*'[1]Processer - data'!J274,"")*IF($C274&lt;&gt;"",IF($F274="Halm",Landbrug!E$16*Landbrug!E$17,IF(LEFT($D274,5)="Areal", IF($G274="Ton",Landbrug!E$18,1),1)),1)*IF($F274="Grøntsager",IF($A274="Grøntsager i drivhus",Landbrug!E$51,1-Landbrug!E$51),1)</f>
        <v>#REF!</v>
      </c>
    </row>
    <row r="275" spans="1:10" x14ac:dyDescent="0.25">
      <c r="A275" t="str">
        <f>IF('[1]Processer - data'!A275&lt;&gt;"",'[1]Processer - data'!A275,"")</f>
        <v>Øvrig mark</v>
      </c>
      <c r="B275" t="str">
        <f>IF('[1]Processer - data'!B275&lt;&gt;"",'[1]Processer - data'!B275,"")</f>
        <v>Økologisk</v>
      </c>
      <c r="C275" t="str">
        <f>IF('[1]Processer - data'!C275&lt;&gt;"",'[1]Processer - data'!C275,"")</f>
        <v>JB1-10</v>
      </c>
      <c r="D275" t="str">
        <f>IF('[1]Processer - data'!D275&lt;&gt;"",'[1]Processer - data'!D275,"")</f>
        <v>Areal-øvrige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2" t="e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input'!$A$3:$A$230,$A$1)),IF(VLOOKUP($A275,[1]!Table1[#All],2,FALSE)="Resultat",SUMIF($F$1:$F274,$D275,H$1:H274)+SUMIF($F276:$F$490,$D275,H276:H$490),0))*'[1]Processer - data'!H275,"")*IF($C275&lt;&gt;"",IF($F275="Halm",Landbrug!C$16*Landbrug!C$17,IF(LEFT($D275,5)="Areal", IF($G275="Ton",Landbrug!C$18,1),1)),1)*IF($F275="Grøntsager",IF($A275="Grøntsager i drivhus",Landbrug!C$51,1-Landbrug!C$51),1)</f>
        <v>#REF!</v>
      </c>
      <c r="I275" s="303" t="e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input'!$A$3:$A$230,$A$1)),IF(VLOOKUP($A275,[1]!Table1[#All],2,FALSE)="Resultat",SUMIF($F$1:$F274,$D275,I$1:I274)+SUMIF($F276:$F$490,$D275,I276:I$490),0))*'[1]Processer - data'!I275,"")*IF($C275&lt;&gt;"",IF($F275="Halm",Landbrug!D$16*Landbrug!D$17,IF(LEFT($D275,5)="Areal", IF($G275="Ton",Landbrug!D$18,1),1)),1)*IF($F275="Grøntsager",IF($A275="Grøntsager i drivhus",Landbrug!D$51,1-Landbrug!D$51),1)</f>
        <v>#REF!</v>
      </c>
      <c r="J275" s="304" t="e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input'!$A$3:$A$230,$A$1)),IF(VLOOKUP($A275,[1]!Table1[#All],2,FALSE)="Resultat",SUMIF($F$1:$F274,$D275,J$1:J274)+SUMIF($F276:$F$490,$D275,J276:J$490),0))*'[1]Processer - data'!J275,"")*IF($C275&lt;&gt;"",IF($F275="Halm",Landbrug!E$16*Landbrug!E$17,IF(LEFT($D275,5)="Areal", IF($G275="Ton",Landbrug!E$18,1),1)),1)*IF($F275="Grøntsager",IF($A275="Grøntsager i drivhus",Landbrug!E$51,1-Landbrug!E$51),1)</f>
        <v>#REF!</v>
      </c>
    </row>
    <row r="276" spans="1:10" x14ac:dyDescent="0.25">
      <c r="A276" t="str">
        <f>IF('[1]Processer - data'!A276&lt;&gt;"",'[1]Processer - data'!A276,"")</f>
        <v>Øvrig 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OC6</v>
      </c>
      <c r="D276" t="str">
        <f>IF('[1]Processer - data'!D276&lt;&gt;"",'[1]Processer - data'!D276,"")</f>
        <v>Areal-øvrige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Øvrige</v>
      </c>
      <c r="G276" t="str">
        <f>IF('[1]Processer - data'!G276&lt;&gt;"",'[1]Processer - data'!G276,"")</f>
        <v>Ton</v>
      </c>
      <c r="H276" s="302" t="e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input'!$A$3:$A$230,$A$1)),IF(VLOOKUP($A276,[1]!Table1[#All],2,FALSE)="Resultat",SUMIF($F$1:$F275,$D276,H$1:H275)+SUMIF($F277:$F$490,$D276,H277:H$490),0))*'[1]Processer - data'!H276,"")*IF($C276&lt;&gt;"",IF($F276="Halm",Landbrug!C$16*Landbrug!C$17,IF(LEFT($D276,5)="Areal", IF($G276="Ton",Landbrug!C$18,1),1)),1)*IF($F276="Grøntsager",IF($A276="Grøntsager i drivhus",Landbrug!C$51,1-Landbrug!C$51),1)</f>
        <v>#REF!</v>
      </c>
      <c r="I276" s="303" t="e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input'!$A$3:$A$230,$A$1)),IF(VLOOKUP($A276,[1]!Table1[#All],2,FALSE)="Resultat",SUMIF($F$1:$F275,$D276,I$1:I275)+SUMIF($F277:$F$490,$D276,I277:I$490),0))*'[1]Processer - data'!I276,"")*IF($C276&lt;&gt;"",IF($F276="Halm",Landbrug!D$16*Landbrug!D$17,IF(LEFT($D276,5)="Areal", IF($G276="Ton",Landbrug!D$18,1),1)),1)*IF($F276="Grøntsager",IF($A276="Grøntsager i drivhus",Landbrug!D$51,1-Landbrug!D$51),1)</f>
        <v>#REF!</v>
      </c>
      <c r="J276" s="304" t="e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input'!$A$3:$A$230,$A$1)),IF(VLOOKUP($A276,[1]!Table1[#All],2,FALSE)="Resultat",SUMIF($F$1:$F275,$D276,J$1:J275)+SUMIF($F277:$F$490,$D276,J277:J$490),0))*'[1]Processer - data'!J276,"")*IF($C276&lt;&gt;"",IF($F276="Halm",Landbrug!E$16*Landbrug!E$17,IF(LEFT($D276,5)="Areal", IF($G276="Ton",Landbrug!E$18,1),1)),1)*IF($F276="Grøntsager",IF($A276="Grøntsager i drivhus",Landbrug!E$51,1-Landbrug!E$51),1)</f>
        <v>#REF!</v>
      </c>
    </row>
    <row r="277" spans="1:10" x14ac:dyDescent="0.25">
      <c r="A277" t="str">
        <f>IF('[1]Processer - data'!A277&lt;&gt;"",'[1]Processer - data'!A277,"")</f>
        <v>Øvrig 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OC6</v>
      </c>
      <c r="D277" t="str">
        <f>IF('[1]Processer - data'!D277&lt;&gt;"",'[1]Processer - data'!D277,"")</f>
        <v>Areal-øvrige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2" t="e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input'!$A$3:$A$230,$A$1)),IF(VLOOKUP($A277,[1]!Table1[#All],2,FALSE)="Resultat",SUMIF($F$1:$F276,$D277,H$1:H276)+SUMIF($F278:$F$490,$D277,H278:H$490),0))*'[1]Processer - data'!H277,"")*IF($C277&lt;&gt;"",IF($F277="Halm",Landbrug!C$16*Landbrug!C$17,IF(LEFT($D277,5)="Areal", IF($G277="Ton",Landbrug!C$18,1),1)),1)*IF($F277="Grøntsager",IF($A277="Grøntsager i drivhus",Landbrug!C$51,1-Landbrug!C$51),1)</f>
        <v>#REF!</v>
      </c>
      <c r="I277" s="303" t="e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input'!$A$3:$A$230,$A$1)),IF(VLOOKUP($A277,[1]!Table1[#All],2,FALSE)="Resultat",SUMIF($F$1:$F276,$D277,I$1:I276)+SUMIF($F278:$F$490,$D277,I278:I$490),0))*'[1]Processer - data'!I277,"")*IF($C277&lt;&gt;"",IF($F277="Halm",Landbrug!D$16*Landbrug!D$17,IF(LEFT($D277,5)="Areal", IF($G277="Ton",Landbrug!D$18,1),1)),1)*IF($F277="Grøntsager",IF($A277="Grøntsager i drivhus",Landbrug!D$51,1-Landbrug!D$51),1)</f>
        <v>#REF!</v>
      </c>
      <c r="J277" s="304" t="e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input'!$A$3:$A$230,$A$1)),IF(VLOOKUP($A277,[1]!Table1[#All],2,FALSE)="Resultat",SUMIF($F$1:$F276,$D277,J$1:J276)+SUMIF($F278:$F$490,$D277,J278:J$490),0))*'[1]Processer - data'!J277,"")*IF($C277&lt;&gt;"",IF($F277="Halm",Landbrug!E$16*Landbrug!E$17,IF(LEFT($D277,5)="Areal", IF($G277="Ton",Landbrug!E$18,1),1)),1)*IF($F277="Grøntsager",IF($A277="Grøntsager i drivhus",Landbrug!E$51,1-Landbrug!E$51),1)</f>
        <v>#REF!</v>
      </c>
    </row>
    <row r="278" spans="1:10" x14ac:dyDescent="0.25">
      <c r="A278" t="str">
        <f>IF('[1]Processer - data'!A278&lt;&gt;"",'[1]Processer - data'!A278,"")</f>
        <v>Øvrig 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OC6</v>
      </c>
      <c r="D278" t="str">
        <f>IF('[1]Processer - data'!D278&lt;&gt;"",'[1]Processer - data'!D278,"")</f>
        <v>Areal-øvrige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2" t="e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input'!$A$3:$A$230,$A$1)),IF(VLOOKUP($A278,[1]!Table1[#All],2,FALSE)="Resultat",SUMIF($F$1:$F277,$D278,H$1:H277)+SUMIF($F279:$F$490,$D278,H279:H$490),0))*'[1]Processer - data'!H278,"")*IF($C278&lt;&gt;"",IF($F278="Halm",Landbrug!C$16*Landbrug!C$17,IF(LEFT($D278,5)="Areal", IF($G278="Ton",Landbrug!C$18,1),1)),1)*IF($F278="Grøntsager",IF($A278="Grøntsager i drivhus",Landbrug!C$51,1-Landbrug!C$51),1)</f>
        <v>#REF!</v>
      </c>
      <c r="I278" s="303" t="e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input'!$A$3:$A$230,$A$1)),IF(VLOOKUP($A278,[1]!Table1[#All],2,FALSE)="Resultat",SUMIF($F$1:$F277,$D278,I$1:I277)+SUMIF($F279:$F$490,$D278,I279:I$490),0))*'[1]Processer - data'!I278,"")*IF($C278&lt;&gt;"",IF($F278="Halm",Landbrug!D$16*Landbrug!D$17,IF(LEFT($D278,5)="Areal", IF($G278="Ton",Landbrug!D$18,1),1)),1)*IF($F278="Grøntsager",IF($A278="Grøntsager i drivhus",Landbrug!D$51,1-Landbrug!D$51),1)</f>
        <v>#REF!</v>
      </c>
      <c r="J278" s="304" t="e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input'!$A$3:$A$230,$A$1)),IF(VLOOKUP($A278,[1]!Table1[#All],2,FALSE)="Resultat",SUMIF($F$1:$F277,$D278,J$1:J277)+SUMIF($F279:$F$490,$D278,J279:J$490),0))*'[1]Processer - data'!J278,"")*IF($C278&lt;&gt;"",IF($F278="Halm",Landbrug!E$16*Landbrug!E$17,IF(LEFT($D278,5)="Areal", IF($G278="Ton",Landbrug!E$18,1),1)),1)*IF($F278="Grøntsager",IF($A278="Grøntsager i drivhus",Landbrug!E$51,1-Landbrug!E$51),1)</f>
        <v>#REF!</v>
      </c>
    </row>
    <row r="279" spans="1:10" x14ac:dyDescent="0.25">
      <c r="A279" t="str">
        <f>IF('[1]Processer - data'!A279&lt;&gt;"",'[1]Processer - data'!A279,"")</f>
        <v>Øvrig 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OC12</v>
      </c>
      <c r="D279" t="str">
        <f>IF('[1]Processer - data'!D279&lt;&gt;"",'[1]Processer - data'!D279,"")</f>
        <v>Areal-øvrige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Øvrige</v>
      </c>
      <c r="G279" t="str">
        <f>IF('[1]Processer - data'!G279&lt;&gt;"",'[1]Processer - data'!G279,"")</f>
        <v>Ton</v>
      </c>
      <c r="H279" s="302" t="e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input'!$A$3:$A$230,$A$1)),IF(VLOOKUP($A279,[1]!Table1[#All],2,FALSE)="Resultat",SUMIF($F$1:$F278,$D279,H$1:H278)+SUMIF($F280:$F$490,$D279,H280:H$490),0))*'[1]Processer - data'!H279,"")*IF($C279&lt;&gt;"",IF($F279="Halm",Landbrug!C$16*Landbrug!C$17,IF(LEFT($D279,5)="Areal", IF($G279="Ton",Landbrug!C$18,1),1)),1)*IF($F279="Grøntsager",IF($A279="Grøntsager i drivhus",Landbrug!C$51,1-Landbrug!C$51),1)</f>
        <v>#REF!</v>
      </c>
      <c r="I279" s="303" t="e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input'!$A$3:$A$230,$A$1)),IF(VLOOKUP($A279,[1]!Table1[#All],2,FALSE)="Resultat",SUMIF($F$1:$F278,$D279,I$1:I278)+SUMIF($F280:$F$490,$D279,I280:I$490),0))*'[1]Processer - data'!I279,"")*IF($C279&lt;&gt;"",IF($F279="Halm",Landbrug!D$16*Landbrug!D$17,IF(LEFT($D279,5)="Areal", IF($G279="Ton",Landbrug!D$18,1),1)),1)*IF($F279="Grøntsager",IF($A279="Grøntsager i drivhus",Landbrug!D$51,1-Landbrug!D$51),1)</f>
        <v>#REF!</v>
      </c>
      <c r="J279" s="304" t="e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input'!$A$3:$A$230,$A$1)),IF(VLOOKUP($A279,[1]!Table1[#All],2,FALSE)="Resultat",SUMIF($F$1:$F278,$D279,J$1:J278)+SUMIF($F280:$F$490,$D279,J280:J$490),0))*'[1]Processer - data'!J279,"")*IF($C279&lt;&gt;"",IF($F279="Halm",Landbrug!E$16*Landbrug!E$17,IF(LEFT($D279,5)="Areal", IF($G279="Ton",Landbrug!E$18,1),1)),1)*IF($F279="Grøntsager",IF($A279="Grøntsager i drivhus",Landbrug!E$51,1-Landbrug!E$51),1)</f>
        <v>#REF!</v>
      </c>
    </row>
    <row r="280" spans="1:10" x14ac:dyDescent="0.25">
      <c r="A280" t="str">
        <f>IF('[1]Processer - data'!A280&lt;&gt;"",'[1]Processer - data'!A280,"")</f>
        <v>Øvrig 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OC12</v>
      </c>
      <c r="D280" t="str">
        <f>IF('[1]Processer - data'!D280&lt;&gt;"",'[1]Processer - data'!D280,"")</f>
        <v>Areal-øvrige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2" t="e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input'!$A$3:$A$230,$A$1)),IF(VLOOKUP($A280,[1]!Table1[#All],2,FALSE)="Resultat",SUMIF($F$1:$F279,$D280,H$1:H279)+SUMIF($F281:$F$490,$D280,H281:H$490),0))*'[1]Processer - data'!H280,"")*IF($C280&lt;&gt;"",IF($F280="Halm",Landbrug!C$16*Landbrug!C$17,IF(LEFT($D280,5)="Areal", IF($G280="Ton",Landbrug!C$18,1),1)),1)*IF($F280="Grøntsager",IF($A280="Grøntsager i drivhus",Landbrug!C$51,1-Landbrug!C$51),1)</f>
        <v>#REF!</v>
      </c>
      <c r="I280" s="303" t="e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input'!$A$3:$A$230,$A$1)),IF(VLOOKUP($A280,[1]!Table1[#All],2,FALSE)="Resultat",SUMIF($F$1:$F279,$D280,I$1:I279)+SUMIF($F281:$F$490,$D280,I281:I$490),0))*'[1]Processer - data'!I280,"")*IF($C280&lt;&gt;"",IF($F280="Halm",Landbrug!D$16*Landbrug!D$17,IF(LEFT($D280,5)="Areal", IF($G280="Ton",Landbrug!D$18,1),1)),1)*IF($F280="Grøntsager",IF($A280="Grøntsager i drivhus",Landbrug!D$51,1-Landbrug!D$51),1)</f>
        <v>#REF!</v>
      </c>
      <c r="J280" s="304" t="e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input'!$A$3:$A$230,$A$1)),IF(VLOOKUP($A280,[1]!Table1[#All],2,FALSE)="Resultat",SUMIF($F$1:$F279,$D280,J$1:J279)+SUMIF($F281:$F$490,$D280,J281:J$490),0))*'[1]Processer - data'!J280,"")*IF($C280&lt;&gt;"",IF($F280="Halm",Landbrug!E$16*Landbrug!E$17,IF(LEFT($D280,5)="Areal", IF($G280="Ton",Landbrug!E$18,1),1)),1)*IF($F280="Grøntsager",IF($A280="Grøntsager i drivhus",Landbrug!E$51,1-Landbrug!E$51),1)</f>
        <v>#REF!</v>
      </c>
    </row>
    <row r="281" spans="1:10" x14ac:dyDescent="0.25">
      <c r="A281" t="str">
        <f>IF('[1]Processer - data'!A281&lt;&gt;"",'[1]Processer - data'!A281,"")</f>
        <v>Øvrig 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OC12</v>
      </c>
      <c r="D281" t="str">
        <f>IF('[1]Processer - data'!D281&lt;&gt;"",'[1]Processer - data'!D281,"")</f>
        <v>Areal-øvrige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2" t="e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input'!$A$3:$A$230,$A$1)),IF(VLOOKUP($A281,[1]!Table1[#All],2,FALSE)="Resultat",SUMIF($F$1:$F280,$D281,H$1:H280)+SUMIF($F282:$F$490,$D281,H282:H$490),0))*'[1]Processer - data'!H281,"")*IF($C281&lt;&gt;"",IF($F281="Halm",Landbrug!C$16*Landbrug!C$17,IF(LEFT($D281,5)="Areal", IF($G281="Ton",Landbrug!C$18,1),1)),1)*IF($F281="Grøntsager",IF($A281="Grøntsager i drivhus",Landbrug!C$51,1-Landbrug!C$51),1)</f>
        <v>#REF!</v>
      </c>
      <c r="I281" s="303" t="e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input'!$A$3:$A$230,$A$1)),IF(VLOOKUP($A281,[1]!Table1[#All],2,FALSE)="Resultat",SUMIF($F$1:$F280,$D281,I$1:I280)+SUMIF($F282:$F$490,$D281,I282:I$490),0))*'[1]Processer - data'!I281,"")*IF($C281&lt;&gt;"",IF($F281="Halm",Landbrug!D$16*Landbrug!D$17,IF(LEFT($D281,5)="Areal", IF($G281="Ton",Landbrug!D$18,1),1)),1)*IF($F281="Grøntsager",IF($A281="Grøntsager i drivhus",Landbrug!D$51,1-Landbrug!D$51),1)</f>
        <v>#REF!</v>
      </c>
      <c r="J281" s="304" t="e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input'!$A$3:$A$230,$A$1)),IF(VLOOKUP($A281,[1]!Table1[#All],2,FALSE)="Resultat",SUMIF($F$1:$F280,$D281,J$1:J280)+SUMIF($F282:$F$490,$D281,J282:J$490),0))*'[1]Processer - data'!J281,"")*IF($C281&lt;&gt;"",IF($F281="Halm",Landbrug!E$16*Landbrug!E$17,IF(LEFT($D281,5)="Areal", IF($G281="Ton",Landbrug!E$18,1),1)),1)*IF($F281="Grøntsager",IF($A281="Grøntsager i drivhus",Landbrug!E$51,1-Landbrug!E$51),1)</f>
        <v>#REF!</v>
      </c>
    </row>
    <row r="282" spans="1:10" x14ac:dyDescent="0.25">
      <c r="A282" t="str">
        <f>IF('[1]Processer - data'!A282&lt;&gt;"",'[1]Processer - data'!A282,"")</f>
        <v>Majsmark</v>
      </c>
      <c r="B282" t="str">
        <f>IF('[1]Processer - data'!B282&lt;&gt;"",'[1]Processer - data'!B282,"")</f>
        <v>Konventionel</v>
      </c>
      <c r="C282" t="str">
        <f>IF('[1]Processer - data'!C282&lt;&gt;"",'[1]Processer - data'!C282,"")</f>
        <v>JB1-10</v>
      </c>
      <c r="D282" t="str">
        <f>IF('[1]Processer - data'!D282&lt;&gt;"",'[1]Processer - data'!D282,"")</f>
        <v>Areal-majs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Majs</v>
      </c>
      <c r="G282" t="str">
        <f>IF('[1]Processer - data'!G282&lt;&gt;"",'[1]Processer - data'!G282,"")</f>
        <v>Ton</v>
      </c>
      <c r="H282" s="302" t="e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input'!$A$3:$A$230,$A$1)),IF(VLOOKUP($A282,[1]!Table1[#All],2,FALSE)="Resultat",SUMIF($F$1:$F281,$D282,H$1:H281)+SUMIF($F283:$F$490,$D282,H283:H$490),0))*'[1]Processer - data'!H282,"")*IF($C282&lt;&gt;"",IF($F282="Halm",Landbrug!C$16*Landbrug!C$17,IF(LEFT($D282,5)="Areal", IF($G282="Ton",Landbrug!C$18,1),1)),1)*IF($F282="Grøntsager",IF($A282="Grøntsager i drivhus",Landbrug!C$51,1-Landbrug!C$51),1)</f>
        <v>#REF!</v>
      </c>
      <c r="I282" s="303" t="e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input'!$A$3:$A$230,$A$1)),IF(VLOOKUP($A282,[1]!Table1[#All],2,FALSE)="Resultat",SUMIF($F$1:$F281,$D282,I$1:I281)+SUMIF($F283:$F$490,$D282,I283:I$490),0))*'[1]Processer - data'!I282,"")*IF($C282&lt;&gt;"",IF($F282="Halm",Landbrug!D$16*Landbrug!D$17,IF(LEFT($D282,5)="Areal", IF($G282="Ton",Landbrug!D$18,1),1)),1)*IF($F282="Grøntsager",IF($A282="Grøntsager i drivhus",Landbrug!D$51,1-Landbrug!D$51),1)</f>
        <v>#REF!</v>
      </c>
      <c r="J282" s="304" t="e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input'!$A$3:$A$230,$A$1)),IF(VLOOKUP($A282,[1]!Table1[#All],2,FALSE)="Resultat",SUMIF($F$1:$F281,$D282,J$1:J281)+SUMIF($F283:$F$490,$D282,J283:J$490),0))*'[1]Processer - data'!J282,"")*IF($C282&lt;&gt;"",IF($F282="Halm",Landbrug!E$16*Landbrug!E$17,IF(LEFT($D282,5)="Areal", IF($G282="Ton",Landbrug!E$18,1),1)),1)*IF($F282="Grøntsager",IF($A282="Grøntsager i drivhus",Landbrug!E$51,1-Landbrug!E$51),1)</f>
        <v>#REF!</v>
      </c>
    </row>
    <row r="283" spans="1:10" x14ac:dyDescent="0.25">
      <c r="A283" t="str">
        <f>IF('[1]Processer - data'!A283&lt;&gt;"",'[1]Processer - data'!A283,"")</f>
        <v>Majsmark</v>
      </c>
      <c r="B283" t="str">
        <f>IF('[1]Processer - data'!B283&lt;&gt;"",'[1]Processer - data'!B283,"")</f>
        <v>Konventionel</v>
      </c>
      <c r="C283" t="str">
        <f>IF('[1]Processer - data'!C283&lt;&gt;"",'[1]Processer - data'!C283,"")</f>
        <v>JB1-10</v>
      </c>
      <c r="D283" t="str">
        <f>IF('[1]Processer - data'!D283&lt;&gt;"",'[1]Processer - data'!D283,"")</f>
        <v>Areal-majs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2" t="e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input'!$A$3:$A$230,$A$1)),IF(VLOOKUP($A283,[1]!Table1[#All],2,FALSE)="Resultat",SUMIF($F$1:$F282,$D283,H$1:H282)+SUMIF($F284:$F$490,$D283,H284:H$490),0))*'[1]Processer - data'!H283,"")*IF($C283&lt;&gt;"",IF($F283="Halm",Landbrug!C$16*Landbrug!C$17,IF(LEFT($D283,5)="Areal", IF($G283="Ton",Landbrug!C$18,1),1)),1)*IF($F283="Grøntsager",IF($A283="Grøntsager i drivhus",Landbrug!C$51,1-Landbrug!C$51),1)</f>
        <v>#REF!</v>
      </c>
      <c r="I283" s="303" t="e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input'!$A$3:$A$230,$A$1)),IF(VLOOKUP($A283,[1]!Table1[#All],2,FALSE)="Resultat",SUMIF($F$1:$F282,$D283,I$1:I282)+SUMIF($F284:$F$490,$D283,I284:I$490),0))*'[1]Processer - data'!I283,"")*IF($C283&lt;&gt;"",IF($F283="Halm",Landbrug!D$16*Landbrug!D$17,IF(LEFT($D283,5)="Areal", IF($G283="Ton",Landbrug!D$18,1),1)),1)*IF($F283="Grøntsager",IF($A283="Grøntsager i drivhus",Landbrug!D$51,1-Landbrug!D$51),1)</f>
        <v>#REF!</v>
      </c>
      <c r="J283" s="304" t="e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input'!$A$3:$A$230,$A$1)),IF(VLOOKUP($A283,[1]!Table1[#All],2,FALSE)="Resultat",SUMIF($F$1:$F282,$D283,J$1:J282)+SUMIF($F284:$F$490,$D283,J284:J$490),0))*'[1]Processer - data'!J283,"")*IF($C283&lt;&gt;"",IF($F283="Halm",Landbrug!E$16*Landbrug!E$17,IF(LEFT($D283,5)="Areal", IF($G283="Ton",Landbrug!E$18,1),1)),1)*IF($F283="Grøntsager",IF($A283="Grøntsager i drivhus",Landbrug!E$51,1-Landbrug!E$51),1)</f>
        <v>#REF!</v>
      </c>
    </row>
    <row r="284" spans="1:10" x14ac:dyDescent="0.25">
      <c r="A284" t="str">
        <f>IF('[1]Processer - data'!A284&lt;&gt;"",'[1]Processer - data'!A284,"")</f>
        <v>Majsmark</v>
      </c>
      <c r="B284" t="str">
        <f>IF('[1]Processer - data'!B284&lt;&gt;"",'[1]Processer - data'!B284,"")</f>
        <v>Konventionel</v>
      </c>
      <c r="C284" t="str">
        <f>IF('[1]Processer - data'!C284&lt;&gt;"",'[1]Processer - data'!C284,"")</f>
        <v>JB1-10</v>
      </c>
      <c r="D284" t="str">
        <f>IF('[1]Processer - data'!D284&lt;&gt;"",'[1]Processer - data'!D284,"")</f>
        <v>Areal-majs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2" t="e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input'!$A$3:$A$230,$A$1)),IF(VLOOKUP($A284,[1]!Table1[#All],2,FALSE)="Resultat",SUMIF($F$1:$F283,$D284,H$1:H283)+SUMIF($F285:$F$490,$D284,H285:H$490),0))*'[1]Processer - data'!H284,"")*IF($C284&lt;&gt;"",IF($F284="Halm",Landbrug!C$16*Landbrug!C$17,IF(LEFT($D284,5)="Areal", IF($G284="Ton",Landbrug!C$18,1),1)),1)*IF($F284="Grøntsager",IF($A284="Grøntsager i drivhus",Landbrug!C$51,1-Landbrug!C$51),1)</f>
        <v>#REF!</v>
      </c>
      <c r="I284" s="303" t="e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input'!$A$3:$A$230,$A$1)),IF(VLOOKUP($A284,[1]!Table1[#All],2,FALSE)="Resultat",SUMIF($F$1:$F283,$D284,I$1:I283)+SUMIF($F285:$F$490,$D284,I285:I$490),0))*'[1]Processer - data'!I284,"")*IF($C284&lt;&gt;"",IF($F284="Halm",Landbrug!D$16*Landbrug!D$17,IF(LEFT($D284,5)="Areal", IF($G284="Ton",Landbrug!D$18,1),1)),1)*IF($F284="Grøntsager",IF($A284="Grøntsager i drivhus",Landbrug!D$51,1-Landbrug!D$51),1)</f>
        <v>#REF!</v>
      </c>
      <c r="J284" s="304" t="e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input'!$A$3:$A$230,$A$1)),IF(VLOOKUP($A284,[1]!Table1[#All],2,FALSE)="Resultat",SUMIF($F$1:$F283,$D284,J$1:J283)+SUMIF($F285:$F$490,$D284,J285:J$490),0))*'[1]Processer - data'!J284,"")*IF($C284&lt;&gt;"",IF($F284="Halm",Landbrug!E$16*Landbrug!E$17,IF(LEFT($D284,5)="Areal", IF($G284="Ton",Landbrug!E$18,1),1)),1)*IF($F284="Grøntsager",IF($A284="Grøntsager i drivhus",Landbrug!E$51,1-Landbrug!E$51),1)</f>
        <v>#REF!</v>
      </c>
    </row>
    <row r="285" spans="1:10" x14ac:dyDescent="0.25">
      <c r="A285" t="str">
        <f>IF('[1]Processer - data'!A285&lt;&gt;"",'[1]Processer - data'!A285,"")</f>
        <v>Majsmark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OC6</v>
      </c>
      <c r="D285" t="str">
        <f>IF('[1]Processer - data'!D285&lt;&gt;"",'[1]Processer - data'!D285,"")</f>
        <v>Areal-majs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Majs</v>
      </c>
      <c r="G285" t="str">
        <f>IF('[1]Processer - data'!G285&lt;&gt;"",'[1]Processer - data'!G285,"")</f>
        <v>Ton</v>
      </c>
      <c r="H285" s="302" t="e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input'!$A$3:$A$230,$A$1)),IF(VLOOKUP($A285,[1]!Table1[#All],2,FALSE)="Resultat",SUMIF($F$1:$F284,$D285,H$1:H284)+SUMIF($F286:$F$490,$D285,H286:H$490),0))*'[1]Processer - data'!H285,"")*IF($C285&lt;&gt;"",IF($F285="Halm",Landbrug!C$16*Landbrug!C$17,IF(LEFT($D285,5)="Areal", IF($G285="Ton",Landbrug!C$18,1),1)),1)*IF($F285="Grøntsager",IF($A285="Grøntsager i drivhus",Landbrug!C$51,1-Landbrug!C$51),1)</f>
        <v>#REF!</v>
      </c>
      <c r="I285" s="303" t="e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input'!$A$3:$A$230,$A$1)),IF(VLOOKUP($A285,[1]!Table1[#All],2,FALSE)="Resultat",SUMIF($F$1:$F284,$D285,I$1:I284)+SUMIF($F286:$F$490,$D285,I286:I$490),0))*'[1]Processer - data'!I285,"")*IF($C285&lt;&gt;"",IF($F285="Halm",Landbrug!D$16*Landbrug!D$17,IF(LEFT($D285,5)="Areal", IF($G285="Ton",Landbrug!D$18,1),1)),1)*IF($F285="Grøntsager",IF($A285="Grøntsager i drivhus",Landbrug!D$51,1-Landbrug!D$51),1)</f>
        <v>#REF!</v>
      </c>
      <c r="J285" s="304" t="e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input'!$A$3:$A$230,$A$1)),IF(VLOOKUP($A285,[1]!Table1[#All],2,FALSE)="Resultat",SUMIF($F$1:$F284,$D285,J$1:J284)+SUMIF($F286:$F$490,$D285,J286:J$490),0))*'[1]Processer - data'!J285,"")*IF($C285&lt;&gt;"",IF($F285="Halm",Landbrug!E$16*Landbrug!E$17,IF(LEFT($D285,5)="Areal", IF($G285="Ton",Landbrug!E$18,1),1)),1)*IF($F285="Grøntsager",IF($A285="Grøntsager i drivhus",Landbrug!E$51,1-Landbrug!E$51),1)</f>
        <v>#REF!</v>
      </c>
    </row>
    <row r="286" spans="1:10" x14ac:dyDescent="0.25">
      <c r="A286" t="str">
        <f>IF('[1]Processer - data'!A286&lt;&gt;"",'[1]Processer - data'!A286,"")</f>
        <v>Majsmark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OC6</v>
      </c>
      <c r="D286" t="str">
        <f>IF('[1]Processer - data'!D286&lt;&gt;"",'[1]Processer - data'!D286,"")</f>
        <v>Areal-majs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2" t="e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input'!$A$3:$A$230,$A$1)),IF(VLOOKUP($A286,[1]!Table1[#All],2,FALSE)="Resultat",SUMIF($F$1:$F285,$D286,H$1:H285)+SUMIF($F287:$F$490,$D286,H287:H$490),0))*'[1]Processer - data'!H286,"")*IF($C286&lt;&gt;"",IF($F286="Halm",Landbrug!C$16*Landbrug!C$17,IF(LEFT($D286,5)="Areal", IF($G286="Ton",Landbrug!C$18,1),1)),1)*IF($F286="Grøntsager",IF($A286="Grøntsager i drivhus",Landbrug!C$51,1-Landbrug!C$51),1)</f>
        <v>#REF!</v>
      </c>
      <c r="I286" s="303" t="e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input'!$A$3:$A$230,$A$1)),IF(VLOOKUP($A286,[1]!Table1[#All],2,FALSE)="Resultat",SUMIF($F$1:$F285,$D286,I$1:I285)+SUMIF($F287:$F$490,$D286,I287:I$490),0))*'[1]Processer - data'!I286,"")*IF($C286&lt;&gt;"",IF($F286="Halm",Landbrug!D$16*Landbrug!D$17,IF(LEFT($D286,5)="Areal", IF($G286="Ton",Landbrug!D$18,1),1)),1)*IF($F286="Grøntsager",IF($A286="Grøntsager i drivhus",Landbrug!D$51,1-Landbrug!D$51),1)</f>
        <v>#REF!</v>
      </c>
      <c r="J286" s="304" t="e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input'!$A$3:$A$230,$A$1)),IF(VLOOKUP($A286,[1]!Table1[#All],2,FALSE)="Resultat",SUMIF($F$1:$F285,$D286,J$1:J285)+SUMIF($F287:$F$490,$D286,J287:J$490),0))*'[1]Processer - data'!J286,"")*IF($C286&lt;&gt;"",IF($F286="Halm",Landbrug!E$16*Landbrug!E$17,IF(LEFT($D286,5)="Areal", IF($G286="Ton",Landbrug!E$18,1),1)),1)*IF($F286="Grøntsager",IF($A286="Grøntsager i drivhus",Landbrug!E$51,1-Landbrug!E$51),1)</f>
        <v>#REF!</v>
      </c>
    </row>
    <row r="287" spans="1:10" x14ac:dyDescent="0.25">
      <c r="A287" t="str">
        <f>IF('[1]Processer - data'!A287&lt;&gt;"",'[1]Processer - data'!A287,"")</f>
        <v>Majsmark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OC6</v>
      </c>
      <c r="D287" t="str">
        <f>IF('[1]Processer - data'!D287&lt;&gt;"",'[1]Processer - data'!D287,"")</f>
        <v>Areal-majs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2" t="e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input'!$A$3:$A$230,$A$1)),IF(VLOOKUP($A287,[1]!Table1[#All],2,FALSE)="Resultat",SUMIF($F$1:$F286,$D287,H$1:H286)+SUMIF($F288:$F$490,$D287,H288:H$490),0))*'[1]Processer - data'!H287,"")*IF($C287&lt;&gt;"",IF($F287="Halm",Landbrug!C$16*Landbrug!C$17,IF(LEFT($D287,5)="Areal", IF($G287="Ton",Landbrug!C$18,1),1)),1)*IF($F287="Grøntsager",IF($A287="Grøntsager i drivhus",Landbrug!C$51,1-Landbrug!C$51),1)</f>
        <v>#REF!</v>
      </c>
      <c r="I287" s="303" t="e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input'!$A$3:$A$230,$A$1)),IF(VLOOKUP($A287,[1]!Table1[#All],2,FALSE)="Resultat",SUMIF($F$1:$F286,$D287,I$1:I286)+SUMIF($F288:$F$490,$D287,I288:I$490),0))*'[1]Processer - data'!I287,"")*IF($C287&lt;&gt;"",IF($F287="Halm",Landbrug!D$16*Landbrug!D$17,IF(LEFT($D287,5)="Areal", IF($G287="Ton",Landbrug!D$18,1),1)),1)*IF($F287="Grøntsager",IF($A287="Grøntsager i drivhus",Landbrug!D$51,1-Landbrug!D$51),1)</f>
        <v>#REF!</v>
      </c>
      <c r="J287" s="304" t="e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input'!$A$3:$A$230,$A$1)),IF(VLOOKUP($A287,[1]!Table1[#All],2,FALSE)="Resultat",SUMIF($F$1:$F286,$D287,J$1:J286)+SUMIF($F288:$F$490,$D287,J288:J$490),0))*'[1]Processer - data'!J287,"")*IF($C287&lt;&gt;"",IF($F287="Halm",Landbrug!E$16*Landbrug!E$17,IF(LEFT($D287,5)="Areal", IF($G287="Ton",Landbrug!E$18,1),1)),1)*IF($F287="Grøntsager",IF($A287="Grøntsager i drivhus",Landbrug!E$51,1-Landbrug!E$51),1)</f>
        <v>#REF!</v>
      </c>
    </row>
    <row r="288" spans="1:10" x14ac:dyDescent="0.25">
      <c r="A288" t="str">
        <f>IF('[1]Processer - data'!A288&lt;&gt;"",'[1]Processer - data'!A288,"")</f>
        <v>Majsmark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OC12</v>
      </c>
      <c r="D288" t="str">
        <f>IF('[1]Processer - data'!D288&lt;&gt;"",'[1]Processer - data'!D288,"")</f>
        <v>Areal-majs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Majs</v>
      </c>
      <c r="G288" t="str">
        <f>IF('[1]Processer - data'!G288&lt;&gt;"",'[1]Processer - data'!G288,"")</f>
        <v>Ton</v>
      </c>
      <c r="H288" s="302" t="e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input'!$A$3:$A$230,$A$1)),IF(VLOOKUP($A288,[1]!Table1[#All],2,FALSE)="Resultat",SUMIF($F$1:$F287,$D288,H$1:H287)+SUMIF($F289:$F$490,$D288,H289:H$490),0))*'[1]Processer - data'!H288,"")*IF($C288&lt;&gt;"",IF($F288="Halm",Landbrug!C$16*Landbrug!C$17,IF(LEFT($D288,5)="Areal", IF($G288="Ton",Landbrug!C$18,1),1)),1)*IF($F288="Grøntsager",IF($A288="Grøntsager i drivhus",Landbrug!C$51,1-Landbrug!C$51),1)</f>
        <v>#REF!</v>
      </c>
      <c r="I288" s="303" t="e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input'!$A$3:$A$230,$A$1)),IF(VLOOKUP($A288,[1]!Table1[#All],2,FALSE)="Resultat",SUMIF($F$1:$F287,$D288,I$1:I287)+SUMIF($F289:$F$490,$D288,I289:I$490),0))*'[1]Processer - data'!I288,"")*IF($C288&lt;&gt;"",IF($F288="Halm",Landbrug!D$16*Landbrug!D$17,IF(LEFT($D288,5)="Areal", IF($G288="Ton",Landbrug!D$18,1),1)),1)*IF($F288="Grøntsager",IF($A288="Grøntsager i drivhus",Landbrug!D$51,1-Landbrug!D$51),1)</f>
        <v>#REF!</v>
      </c>
      <c r="J288" s="304" t="e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input'!$A$3:$A$230,$A$1)),IF(VLOOKUP($A288,[1]!Table1[#All],2,FALSE)="Resultat",SUMIF($F$1:$F287,$D288,J$1:J287)+SUMIF($F289:$F$490,$D288,J289:J$490),0))*'[1]Processer - data'!J288,"")*IF($C288&lt;&gt;"",IF($F288="Halm",Landbrug!E$16*Landbrug!E$17,IF(LEFT($D288,5)="Areal", IF($G288="Ton",Landbrug!E$18,1),1)),1)*IF($F288="Grøntsager",IF($A288="Grøntsager i drivhus",Landbrug!E$51,1-Landbrug!E$51),1)</f>
        <v>#REF!</v>
      </c>
    </row>
    <row r="289" spans="1:10" x14ac:dyDescent="0.25">
      <c r="A289" t="str">
        <f>IF('[1]Processer - data'!A289&lt;&gt;"",'[1]Processer - data'!A289,"")</f>
        <v>Majsmark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OC12</v>
      </c>
      <c r="D289" t="str">
        <f>IF('[1]Processer - data'!D289&lt;&gt;"",'[1]Processer - data'!D289,"")</f>
        <v>Areal-majs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2" t="e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input'!$A$3:$A$230,$A$1)),IF(VLOOKUP($A289,[1]!Table1[#All],2,FALSE)="Resultat",SUMIF($F$1:$F288,$D289,H$1:H288)+SUMIF($F290:$F$490,$D289,H290:H$490),0))*'[1]Processer - data'!H289,"")*IF($C289&lt;&gt;"",IF($F289="Halm",Landbrug!C$16*Landbrug!C$17,IF(LEFT($D289,5)="Areal", IF($G289="Ton",Landbrug!C$18,1),1)),1)*IF($F289="Grøntsager",IF($A289="Grøntsager i drivhus",Landbrug!C$51,1-Landbrug!C$51),1)</f>
        <v>#REF!</v>
      </c>
      <c r="I289" s="303" t="e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input'!$A$3:$A$230,$A$1)),IF(VLOOKUP($A289,[1]!Table1[#All],2,FALSE)="Resultat",SUMIF($F$1:$F288,$D289,I$1:I288)+SUMIF($F290:$F$490,$D289,I290:I$490),0))*'[1]Processer - data'!I289,"")*IF($C289&lt;&gt;"",IF($F289="Halm",Landbrug!D$16*Landbrug!D$17,IF(LEFT($D289,5)="Areal", IF($G289="Ton",Landbrug!D$18,1),1)),1)*IF($F289="Grøntsager",IF($A289="Grøntsager i drivhus",Landbrug!D$51,1-Landbrug!D$51),1)</f>
        <v>#REF!</v>
      </c>
      <c r="J289" s="304" t="e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input'!$A$3:$A$230,$A$1)),IF(VLOOKUP($A289,[1]!Table1[#All],2,FALSE)="Resultat",SUMIF($F$1:$F288,$D289,J$1:J288)+SUMIF($F290:$F$490,$D289,J290:J$490),0))*'[1]Processer - data'!J289,"")*IF($C289&lt;&gt;"",IF($F289="Halm",Landbrug!E$16*Landbrug!E$17,IF(LEFT($D289,5)="Areal", IF($G289="Ton",Landbrug!E$18,1),1)),1)*IF($F289="Grøntsager",IF($A289="Grøntsager i drivhus",Landbrug!E$51,1-Landbrug!E$51),1)</f>
        <v>#REF!</v>
      </c>
    </row>
    <row r="290" spans="1:10" x14ac:dyDescent="0.25">
      <c r="A290" t="str">
        <f>IF('[1]Processer - data'!A290&lt;&gt;"",'[1]Processer - data'!A290,"")</f>
        <v>Majsmark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OC12</v>
      </c>
      <c r="D290" t="str">
        <f>IF('[1]Processer - data'!D290&lt;&gt;"",'[1]Processer - data'!D290,"")</f>
        <v>Areal-majs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2" t="e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input'!$A$3:$A$230,$A$1)),IF(VLOOKUP($A290,[1]!Table1[#All],2,FALSE)="Resultat",SUMIF($F$1:$F289,$D290,H$1:H289)+SUMIF($F291:$F$490,$D290,H291:H$490),0))*'[1]Processer - data'!H290,"")*IF($C290&lt;&gt;"",IF($F290="Halm",Landbrug!C$16*Landbrug!C$17,IF(LEFT($D290,5)="Areal", IF($G290="Ton",Landbrug!C$18,1),1)),1)*IF($F290="Grøntsager",IF($A290="Grøntsager i drivhus",Landbrug!C$51,1-Landbrug!C$51),1)</f>
        <v>#REF!</v>
      </c>
      <c r="I290" s="303" t="e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input'!$A$3:$A$230,$A$1)),IF(VLOOKUP($A290,[1]!Table1[#All],2,FALSE)="Resultat",SUMIF($F$1:$F289,$D290,I$1:I289)+SUMIF($F291:$F$490,$D290,I291:I$490),0))*'[1]Processer - data'!I290,"")*IF($C290&lt;&gt;"",IF($F290="Halm",Landbrug!D$16*Landbrug!D$17,IF(LEFT($D290,5)="Areal", IF($G290="Ton",Landbrug!D$18,1),1)),1)*IF($F290="Grøntsager",IF($A290="Grøntsager i drivhus",Landbrug!D$51,1-Landbrug!D$51),1)</f>
        <v>#REF!</v>
      </c>
      <c r="J290" s="304" t="e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input'!$A$3:$A$230,$A$1)),IF(VLOOKUP($A290,[1]!Table1[#All],2,FALSE)="Resultat",SUMIF($F$1:$F289,$D290,J$1:J289)+SUMIF($F291:$F$490,$D290,J291:J$490),0))*'[1]Processer - data'!J290,"")*IF($C290&lt;&gt;"",IF($F290="Halm",Landbrug!E$16*Landbrug!E$17,IF(LEFT($D290,5)="Areal", IF($G290="Ton",Landbrug!E$18,1),1)),1)*IF($F290="Grøntsager",IF($A290="Grøntsager i drivhus",Landbrug!E$51,1-Landbrug!E$51),1)</f>
        <v>#REF!</v>
      </c>
    </row>
    <row r="291" spans="1:10" x14ac:dyDescent="0.25">
      <c r="A291" t="str">
        <f>IF('[1]Processer - data'!A291&lt;&gt;"",'[1]Processer - data'!A291,"")</f>
        <v>Majsmark</v>
      </c>
      <c r="B291" t="str">
        <f>IF('[1]Processer - data'!B291&lt;&gt;"",'[1]Processer - data'!B291,"")</f>
        <v>Økologisk</v>
      </c>
      <c r="C291" t="str">
        <f>IF('[1]Processer - data'!C291&lt;&gt;"",'[1]Processer - data'!C291,"")</f>
        <v>JB1-10</v>
      </c>
      <c r="D291" t="str">
        <f>IF('[1]Processer - data'!D291&lt;&gt;"",'[1]Processer - data'!D291,"")</f>
        <v>Areal-majs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Majs</v>
      </c>
      <c r="G291" t="str">
        <f>IF('[1]Processer - data'!G291&lt;&gt;"",'[1]Processer - data'!G291,"")</f>
        <v>Ton</v>
      </c>
      <c r="H291" s="302" t="e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input'!$A$3:$A$230,$A$1)),IF(VLOOKUP($A291,[1]!Table1[#All],2,FALSE)="Resultat",SUMIF($F$1:$F290,$D291,H$1:H290)+SUMIF($F292:$F$490,$D291,H292:H$490),0))*'[1]Processer - data'!H291,"")*IF($C291&lt;&gt;"",IF($F291="Halm",Landbrug!C$16*Landbrug!C$17,IF(LEFT($D291,5)="Areal", IF($G291="Ton",Landbrug!C$18,1),1)),1)*IF($F291="Grøntsager",IF($A291="Grøntsager i drivhus",Landbrug!C$51,1-Landbrug!C$51),1)</f>
        <v>#REF!</v>
      </c>
      <c r="I291" s="303" t="e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input'!$A$3:$A$230,$A$1)),IF(VLOOKUP($A291,[1]!Table1[#All],2,FALSE)="Resultat",SUMIF($F$1:$F290,$D291,I$1:I290)+SUMIF($F292:$F$490,$D291,I292:I$490),0))*'[1]Processer - data'!I291,"")*IF($C291&lt;&gt;"",IF($F291="Halm",Landbrug!D$16*Landbrug!D$17,IF(LEFT($D291,5)="Areal", IF($G291="Ton",Landbrug!D$18,1),1)),1)*IF($F291="Grøntsager",IF($A291="Grøntsager i drivhus",Landbrug!D$51,1-Landbrug!D$51),1)</f>
        <v>#REF!</v>
      </c>
      <c r="J291" s="304" t="e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input'!$A$3:$A$230,$A$1)),IF(VLOOKUP($A291,[1]!Table1[#All],2,FALSE)="Resultat",SUMIF($F$1:$F290,$D291,J$1:J290)+SUMIF($F292:$F$490,$D291,J292:J$490),0))*'[1]Processer - data'!J291,"")*IF($C291&lt;&gt;"",IF($F291="Halm",Landbrug!E$16*Landbrug!E$17,IF(LEFT($D291,5)="Areal", IF($G291="Ton",Landbrug!E$18,1),1)),1)*IF($F291="Grøntsager",IF($A291="Grøntsager i drivhus",Landbrug!E$51,1-Landbrug!E$51),1)</f>
        <v>#REF!</v>
      </c>
    </row>
    <row r="292" spans="1:10" x14ac:dyDescent="0.25">
      <c r="A292" t="str">
        <f>IF('[1]Processer - data'!A292&lt;&gt;"",'[1]Processer - data'!A292,"")</f>
        <v>Majsmark</v>
      </c>
      <c r="B292" t="str">
        <f>IF('[1]Processer - data'!B292&lt;&gt;"",'[1]Processer - data'!B292,"")</f>
        <v>Økologisk</v>
      </c>
      <c r="C292" t="str">
        <f>IF('[1]Processer - data'!C292&lt;&gt;"",'[1]Processer - data'!C292,"")</f>
        <v>JB1-10</v>
      </c>
      <c r="D292" t="str">
        <f>IF('[1]Processer - data'!D292&lt;&gt;"",'[1]Processer - data'!D292,"")</f>
        <v>Areal-majs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2" t="e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input'!$A$3:$A$230,$A$1)),IF(VLOOKUP($A292,[1]!Table1[#All],2,FALSE)="Resultat",SUMIF($F$1:$F291,$D292,H$1:H291)+SUMIF($F293:$F$490,$D292,H293:H$490),0))*'[1]Processer - data'!H292,"")*IF($C292&lt;&gt;"",IF($F292="Halm",Landbrug!C$16*Landbrug!C$17,IF(LEFT($D292,5)="Areal", IF($G292="Ton",Landbrug!C$18,1),1)),1)*IF($F292="Grøntsager",IF($A292="Grøntsager i drivhus",Landbrug!C$51,1-Landbrug!C$51),1)</f>
        <v>#REF!</v>
      </c>
      <c r="I292" s="303" t="e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input'!$A$3:$A$230,$A$1)),IF(VLOOKUP($A292,[1]!Table1[#All],2,FALSE)="Resultat",SUMIF($F$1:$F291,$D292,I$1:I291)+SUMIF($F293:$F$490,$D292,I293:I$490),0))*'[1]Processer - data'!I292,"")*IF($C292&lt;&gt;"",IF($F292="Halm",Landbrug!D$16*Landbrug!D$17,IF(LEFT($D292,5)="Areal", IF($G292="Ton",Landbrug!D$18,1),1)),1)*IF($F292="Grøntsager",IF($A292="Grøntsager i drivhus",Landbrug!D$51,1-Landbrug!D$51),1)</f>
        <v>#REF!</v>
      </c>
      <c r="J292" s="304" t="e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input'!$A$3:$A$230,$A$1)),IF(VLOOKUP($A292,[1]!Table1[#All],2,FALSE)="Resultat",SUMIF($F$1:$F291,$D292,J$1:J291)+SUMIF($F293:$F$490,$D292,J293:J$490),0))*'[1]Processer - data'!J292,"")*IF($C292&lt;&gt;"",IF($F292="Halm",Landbrug!E$16*Landbrug!E$17,IF(LEFT($D292,5)="Areal", IF($G292="Ton",Landbrug!E$18,1),1)),1)*IF($F292="Grøntsager",IF($A292="Grøntsager i drivhus",Landbrug!E$51,1-Landbrug!E$51),1)</f>
        <v>#REF!</v>
      </c>
    </row>
    <row r="293" spans="1:10" x14ac:dyDescent="0.25">
      <c r="A293" t="str">
        <f>IF('[1]Processer - data'!A293&lt;&gt;"",'[1]Processer - data'!A293,"")</f>
        <v>Majsmark</v>
      </c>
      <c r="B293" t="str">
        <f>IF('[1]Processer - data'!B293&lt;&gt;"",'[1]Processer - data'!B293,"")</f>
        <v>Økologisk</v>
      </c>
      <c r="C293" t="str">
        <f>IF('[1]Processer - data'!C293&lt;&gt;"",'[1]Processer - data'!C293,"")</f>
        <v>JB1-10</v>
      </c>
      <c r="D293" t="str">
        <f>IF('[1]Processer - data'!D293&lt;&gt;"",'[1]Processer - data'!D293,"")</f>
        <v>Areal-majs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2" t="e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input'!$A$3:$A$230,$A$1)),IF(VLOOKUP($A293,[1]!Table1[#All],2,FALSE)="Resultat",SUMIF($F$1:$F292,$D293,H$1:H292)+SUMIF($F294:$F$490,$D293,H294:H$490),0))*'[1]Processer - data'!H293,"")*IF($C293&lt;&gt;"",IF($F293="Halm",Landbrug!C$16*Landbrug!C$17,IF(LEFT($D293,5)="Areal", IF($G293="Ton",Landbrug!C$18,1),1)),1)*IF($F293="Grøntsager",IF($A293="Grøntsager i drivhus",Landbrug!C$51,1-Landbrug!C$51),1)</f>
        <v>#REF!</v>
      </c>
      <c r="I293" s="303" t="e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input'!$A$3:$A$230,$A$1)),IF(VLOOKUP($A293,[1]!Table1[#All],2,FALSE)="Resultat",SUMIF($F$1:$F292,$D293,I$1:I292)+SUMIF($F294:$F$490,$D293,I294:I$490),0))*'[1]Processer - data'!I293,"")*IF($C293&lt;&gt;"",IF($F293="Halm",Landbrug!D$16*Landbrug!D$17,IF(LEFT($D293,5)="Areal", IF($G293="Ton",Landbrug!D$18,1),1)),1)*IF($F293="Grøntsager",IF($A293="Grøntsager i drivhus",Landbrug!D$51,1-Landbrug!D$51),1)</f>
        <v>#REF!</v>
      </c>
      <c r="J293" s="304" t="e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input'!$A$3:$A$230,$A$1)),IF(VLOOKUP($A293,[1]!Table1[#All],2,FALSE)="Resultat",SUMIF($F$1:$F292,$D293,J$1:J292)+SUMIF($F294:$F$490,$D293,J294:J$490),0))*'[1]Processer - data'!J293,"")*IF($C293&lt;&gt;"",IF($F293="Halm",Landbrug!E$16*Landbrug!E$17,IF(LEFT($D293,5)="Areal", IF($G293="Ton",Landbrug!E$18,1),1)),1)*IF($F293="Grøntsager",IF($A293="Grøntsager i drivhus",Landbrug!E$51,1-Landbrug!E$51),1)</f>
        <v>#REF!</v>
      </c>
    </row>
    <row r="294" spans="1:10" x14ac:dyDescent="0.25">
      <c r="A294" t="str">
        <f>IF('[1]Processer - data'!A294&lt;&gt;"",'[1]Processer - data'!A294,"")</f>
        <v>Majsmark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OC6</v>
      </c>
      <c r="D294" t="str">
        <f>IF('[1]Processer - data'!D294&lt;&gt;"",'[1]Processer - data'!D294,"")</f>
        <v>Areal-majs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Majs</v>
      </c>
      <c r="G294" t="str">
        <f>IF('[1]Processer - data'!G294&lt;&gt;"",'[1]Processer - data'!G294,"")</f>
        <v>Ton</v>
      </c>
      <c r="H294" s="302" t="e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input'!$A$3:$A$230,$A$1)),IF(VLOOKUP($A294,[1]!Table1[#All],2,FALSE)="Resultat",SUMIF($F$1:$F293,$D294,H$1:H293)+SUMIF($F295:$F$490,$D294,H295:H$490),0))*'[1]Processer - data'!H294,"")*IF($C294&lt;&gt;"",IF($F294="Halm",Landbrug!C$16*Landbrug!C$17,IF(LEFT($D294,5)="Areal", IF($G294="Ton",Landbrug!C$18,1),1)),1)*IF($F294="Grøntsager",IF($A294="Grøntsager i drivhus",Landbrug!C$51,1-Landbrug!C$51),1)</f>
        <v>#REF!</v>
      </c>
      <c r="I294" s="303" t="e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input'!$A$3:$A$230,$A$1)),IF(VLOOKUP($A294,[1]!Table1[#All],2,FALSE)="Resultat",SUMIF($F$1:$F293,$D294,I$1:I293)+SUMIF($F295:$F$490,$D294,I295:I$490),0))*'[1]Processer - data'!I294,"")*IF($C294&lt;&gt;"",IF($F294="Halm",Landbrug!D$16*Landbrug!D$17,IF(LEFT($D294,5)="Areal", IF($G294="Ton",Landbrug!D$18,1),1)),1)*IF($F294="Grøntsager",IF($A294="Grøntsager i drivhus",Landbrug!D$51,1-Landbrug!D$51),1)</f>
        <v>#REF!</v>
      </c>
      <c r="J294" s="304" t="e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input'!$A$3:$A$230,$A$1)),IF(VLOOKUP($A294,[1]!Table1[#All],2,FALSE)="Resultat",SUMIF($F$1:$F293,$D294,J$1:J293)+SUMIF($F295:$F$490,$D294,J295:J$490),0))*'[1]Processer - data'!J294,"")*IF($C294&lt;&gt;"",IF($F294="Halm",Landbrug!E$16*Landbrug!E$17,IF(LEFT($D294,5)="Areal", IF($G294="Ton",Landbrug!E$18,1),1)),1)*IF($F294="Grøntsager",IF($A294="Grøntsager i drivhus",Landbrug!E$51,1-Landbrug!E$51),1)</f>
        <v>#REF!</v>
      </c>
    </row>
    <row r="295" spans="1:10" x14ac:dyDescent="0.25">
      <c r="A295" t="str">
        <f>IF('[1]Processer - data'!A295&lt;&gt;"",'[1]Processer - data'!A295,"")</f>
        <v>Majsmark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OC6</v>
      </c>
      <c r="D295" t="str">
        <f>IF('[1]Processer - data'!D295&lt;&gt;"",'[1]Processer - data'!D295,"")</f>
        <v>Areal-majs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2" t="e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input'!$A$3:$A$230,$A$1)),IF(VLOOKUP($A295,[1]!Table1[#All],2,FALSE)="Resultat",SUMIF($F$1:$F294,$D295,H$1:H294)+SUMIF($F296:$F$490,$D295,H296:H$490),0))*'[1]Processer - data'!H295,"")*IF($C295&lt;&gt;"",IF($F295="Halm",Landbrug!C$16*Landbrug!C$17,IF(LEFT($D295,5)="Areal", IF($G295="Ton",Landbrug!C$18,1),1)),1)*IF($F295="Grøntsager",IF($A295="Grøntsager i drivhus",Landbrug!C$51,1-Landbrug!C$51),1)</f>
        <v>#REF!</v>
      </c>
      <c r="I295" s="303" t="e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input'!$A$3:$A$230,$A$1)),IF(VLOOKUP($A295,[1]!Table1[#All],2,FALSE)="Resultat",SUMIF($F$1:$F294,$D295,I$1:I294)+SUMIF($F296:$F$490,$D295,I296:I$490),0))*'[1]Processer - data'!I295,"")*IF($C295&lt;&gt;"",IF($F295="Halm",Landbrug!D$16*Landbrug!D$17,IF(LEFT($D295,5)="Areal", IF($G295="Ton",Landbrug!D$18,1),1)),1)*IF($F295="Grøntsager",IF($A295="Grøntsager i drivhus",Landbrug!D$51,1-Landbrug!D$51),1)</f>
        <v>#REF!</v>
      </c>
      <c r="J295" s="304" t="e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input'!$A$3:$A$230,$A$1)),IF(VLOOKUP($A295,[1]!Table1[#All],2,FALSE)="Resultat",SUMIF($F$1:$F294,$D295,J$1:J294)+SUMIF($F296:$F$490,$D295,J296:J$490),0))*'[1]Processer - data'!J295,"")*IF($C295&lt;&gt;"",IF($F295="Halm",Landbrug!E$16*Landbrug!E$17,IF(LEFT($D295,5)="Areal", IF($G295="Ton",Landbrug!E$18,1),1)),1)*IF($F295="Grøntsager",IF($A295="Grøntsager i drivhus",Landbrug!E$51,1-Landbrug!E$51),1)</f>
        <v>#REF!</v>
      </c>
    </row>
    <row r="296" spans="1:10" x14ac:dyDescent="0.25">
      <c r="A296" t="str">
        <f>IF('[1]Processer - data'!A296&lt;&gt;"",'[1]Processer - data'!A296,"")</f>
        <v>Majsmark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OC6</v>
      </c>
      <c r="D296" t="str">
        <f>IF('[1]Processer - data'!D296&lt;&gt;"",'[1]Processer - data'!D296,"")</f>
        <v>Areal-majs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2" t="e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input'!$A$3:$A$230,$A$1)),IF(VLOOKUP($A296,[1]!Table1[#All],2,FALSE)="Resultat",SUMIF($F$1:$F295,$D296,H$1:H295)+SUMIF($F297:$F$490,$D296,H297:H$490),0))*'[1]Processer - data'!H296,"")*IF($C296&lt;&gt;"",IF($F296="Halm",Landbrug!C$16*Landbrug!C$17,IF(LEFT($D296,5)="Areal", IF($G296="Ton",Landbrug!C$18,1),1)),1)*IF($F296="Grøntsager",IF($A296="Grøntsager i drivhus",Landbrug!C$51,1-Landbrug!C$51),1)</f>
        <v>#REF!</v>
      </c>
      <c r="I296" s="303" t="e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input'!$A$3:$A$230,$A$1)),IF(VLOOKUP($A296,[1]!Table1[#All],2,FALSE)="Resultat",SUMIF($F$1:$F295,$D296,I$1:I295)+SUMIF($F297:$F$490,$D296,I297:I$490),0))*'[1]Processer - data'!I296,"")*IF($C296&lt;&gt;"",IF($F296="Halm",Landbrug!D$16*Landbrug!D$17,IF(LEFT($D296,5)="Areal", IF($G296="Ton",Landbrug!D$18,1),1)),1)*IF($F296="Grøntsager",IF($A296="Grøntsager i drivhus",Landbrug!D$51,1-Landbrug!D$51),1)</f>
        <v>#REF!</v>
      </c>
      <c r="J296" s="304" t="e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input'!$A$3:$A$230,$A$1)),IF(VLOOKUP($A296,[1]!Table1[#All],2,FALSE)="Resultat",SUMIF($F$1:$F295,$D296,J$1:J295)+SUMIF($F297:$F$490,$D296,J297:J$490),0))*'[1]Processer - data'!J296,"")*IF($C296&lt;&gt;"",IF($F296="Halm",Landbrug!E$16*Landbrug!E$17,IF(LEFT($D296,5)="Areal", IF($G296="Ton",Landbrug!E$18,1),1)),1)*IF($F296="Grøntsager",IF($A296="Grøntsager i drivhus",Landbrug!E$51,1-Landbrug!E$51),1)</f>
        <v>#REF!</v>
      </c>
    </row>
    <row r="297" spans="1:10" x14ac:dyDescent="0.25">
      <c r="A297" t="str">
        <f>IF('[1]Processer - data'!A297&lt;&gt;"",'[1]Processer - data'!A297,"")</f>
        <v>Majsmark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OC12</v>
      </c>
      <c r="D297" t="str">
        <f>IF('[1]Processer - data'!D297&lt;&gt;"",'[1]Processer - data'!D297,"")</f>
        <v>Areal-majs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Majs</v>
      </c>
      <c r="G297" t="str">
        <f>IF('[1]Processer - data'!G297&lt;&gt;"",'[1]Processer - data'!G297,"")</f>
        <v>Ton</v>
      </c>
      <c r="H297" s="302" t="e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input'!$A$3:$A$230,$A$1)),IF(VLOOKUP($A297,[1]!Table1[#All],2,FALSE)="Resultat",SUMIF($F$1:$F296,$D297,H$1:H296)+SUMIF($F298:$F$490,$D297,H298:H$490),0))*'[1]Processer - data'!H297,"")*IF($C297&lt;&gt;"",IF($F297="Halm",Landbrug!C$16*Landbrug!C$17,IF(LEFT($D297,5)="Areal", IF($G297="Ton",Landbrug!C$18,1),1)),1)*IF($F297="Grøntsager",IF($A297="Grøntsager i drivhus",Landbrug!C$51,1-Landbrug!C$51),1)</f>
        <v>#REF!</v>
      </c>
      <c r="I297" s="303" t="e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input'!$A$3:$A$230,$A$1)),IF(VLOOKUP($A297,[1]!Table1[#All],2,FALSE)="Resultat",SUMIF($F$1:$F296,$D297,I$1:I296)+SUMIF($F298:$F$490,$D297,I298:I$490),0))*'[1]Processer - data'!I297,"")*IF($C297&lt;&gt;"",IF($F297="Halm",Landbrug!D$16*Landbrug!D$17,IF(LEFT($D297,5)="Areal", IF($G297="Ton",Landbrug!D$18,1),1)),1)*IF($F297="Grøntsager",IF($A297="Grøntsager i drivhus",Landbrug!D$51,1-Landbrug!D$51),1)</f>
        <v>#REF!</v>
      </c>
      <c r="J297" s="304" t="e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input'!$A$3:$A$230,$A$1)),IF(VLOOKUP($A297,[1]!Table1[#All],2,FALSE)="Resultat",SUMIF($F$1:$F296,$D297,J$1:J296)+SUMIF($F298:$F$490,$D297,J298:J$490),0))*'[1]Processer - data'!J297,"")*IF($C297&lt;&gt;"",IF($F297="Halm",Landbrug!E$16*Landbrug!E$17,IF(LEFT($D297,5)="Areal", IF($G297="Ton",Landbrug!E$18,1),1)),1)*IF($F297="Grøntsager",IF($A297="Grøntsager i drivhus",Landbrug!E$51,1-Landbrug!E$51),1)</f>
        <v>#REF!</v>
      </c>
    </row>
    <row r="298" spans="1:10" x14ac:dyDescent="0.25">
      <c r="A298" t="str">
        <f>IF('[1]Processer - data'!A298&lt;&gt;"",'[1]Processer - data'!A298,"")</f>
        <v>Majsmark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OC12</v>
      </c>
      <c r="D298" t="str">
        <f>IF('[1]Processer - data'!D298&lt;&gt;"",'[1]Processer - data'!D298,"")</f>
        <v>Areal-majs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2" t="e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input'!$A$3:$A$230,$A$1)),IF(VLOOKUP($A298,[1]!Table1[#All],2,FALSE)="Resultat",SUMIF($F$1:$F297,$D298,H$1:H297)+SUMIF($F299:$F$490,$D298,H299:H$490),0))*'[1]Processer - data'!H298,"")*IF($C298&lt;&gt;"",IF($F298="Halm",Landbrug!C$16*Landbrug!C$17,IF(LEFT($D298,5)="Areal", IF($G298="Ton",Landbrug!C$18,1),1)),1)*IF($F298="Grøntsager",IF($A298="Grøntsager i drivhus",Landbrug!C$51,1-Landbrug!C$51),1)</f>
        <v>#REF!</v>
      </c>
      <c r="I298" s="303" t="e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input'!$A$3:$A$230,$A$1)),IF(VLOOKUP($A298,[1]!Table1[#All],2,FALSE)="Resultat",SUMIF($F$1:$F297,$D298,I$1:I297)+SUMIF($F299:$F$490,$D298,I299:I$490),0))*'[1]Processer - data'!I298,"")*IF($C298&lt;&gt;"",IF($F298="Halm",Landbrug!D$16*Landbrug!D$17,IF(LEFT($D298,5)="Areal", IF($G298="Ton",Landbrug!D$18,1),1)),1)*IF($F298="Grøntsager",IF($A298="Grøntsager i drivhus",Landbrug!D$51,1-Landbrug!D$51),1)</f>
        <v>#REF!</v>
      </c>
      <c r="J298" s="304" t="e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input'!$A$3:$A$230,$A$1)),IF(VLOOKUP($A298,[1]!Table1[#All],2,FALSE)="Resultat",SUMIF($F$1:$F297,$D298,J$1:J297)+SUMIF($F299:$F$490,$D298,J299:J$490),0))*'[1]Processer - data'!J298,"")*IF($C298&lt;&gt;"",IF($F298="Halm",Landbrug!E$16*Landbrug!E$17,IF(LEFT($D298,5)="Areal", IF($G298="Ton",Landbrug!E$18,1),1)),1)*IF($F298="Grøntsager",IF($A298="Grøntsager i drivhus",Landbrug!E$51,1-Landbrug!E$51),1)</f>
        <v>#REF!</v>
      </c>
    </row>
    <row r="299" spans="1:10" x14ac:dyDescent="0.25">
      <c r="A299" t="str">
        <f>IF('[1]Processer - data'!A299&lt;&gt;"",'[1]Processer - data'!A299,"")</f>
        <v>Majsmark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OC12</v>
      </c>
      <c r="D299" t="str">
        <f>IF('[1]Processer - data'!D299&lt;&gt;"",'[1]Processer - data'!D299,"")</f>
        <v>Areal-majs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2" t="e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input'!$A$3:$A$230,$A$1)),IF(VLOOKUP($A299,[1]!Table1[#All],2,FALSE)="Resultat",SUMIF($F$1:$F298,$D299,H$1:H298)+SUMIF($F300:$F$490,$D299,H300:H$490),0))*'[1]Processer - data'!H299,"")*IF($C299&lt;&gt;"",IF($F299="Halm",Landbrug!C$16*Landbrug!C$17,IF(LEFT($D299,5)="Areal", IF($G299="Ton",Landbrug!C$18,1),1)),1)*IF($F299="Grøntsager",IF($A299="Grøntsager i drivhus",Landbrug!C$51,1-Landbrug!C$51),1)</f>
        <v>#REF!</v>
      </c>
      <c r="I299" s="303" t="e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input'!$A$3:$A$230,$A$1)),IF(VLOOKUP($A299,[1]!Table1[#All],2,FALSE)="Resultat",SUMIF($F$1:$F298,$D299,I$1:I298)+SUMIF($F300:$F$490,$D299,I300:I$490),0))*'[1]Processer - data'!I299,"")*IF($C299&lt;&gt;"",IF($F299="Halm",Landbrug!D$16*Landbrug!D$17,IF(LEFT($D299,5)="Areal", IF($G299="Ton",Landbrug!D$18,1),1)),1)*IF($F299="Grøntsager",IF($A299="Grøntsager i drivhus",Landbrug!D$51,1-Landbrug!D$51),1)</f>
        <v>#REF!</v>
      </c>
      <c r="J299" s="304" t="e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input'!$A$3:$A$230,$A$1)),IF(VLOOKUP($A299,[1]!Table1[#All],2,FALSE)="Resultat",SUMIF($F$1:$F298,$D299,J$1:J298)+SUMIF($F300:$F$490,$D299,J300:J$490),0))*'[1]Processer - data'!J299,"")*IF($C299&lt;&gt;"",IF($F299="Halm",Landbrug!E$16*Landbrug!E$17,IF(LEFT($D299,5)="Areal", IF($G299="Ton",Landbrug!E$18,1),1)),1)*IF($F299="Grøntsager",IF($A299="Grøntsager i drivhus",Landbrug!E$51,1-Landbrug!E$51),1)</f>
        <v>#REF!</v>
      </c>
    </row>
    <row r="300" spans="1:10" x14ac:dyDescent="0.25">
      <c r="A300" t="str">
        <f>IF('[1]Processer - data'!A300&lt;&gt;"",'[1]Processer - data'!A300,"")</f>
        <v>Rapsmark</v>
      </c>
      <c r="B300" t="str">
        <f>IF('[1]Processer - data'!B300&lt;&gt;"",'[1]Processer - data'!B300,"")</f>
        <v>Konventionel</v>
      </c>
      <c r="C300" t="str">
        <f>IF('[1]Processer - data'!C300&lt;&gt;"",'[1]Processer - data'!C300,"")</f>
        <v>JB1-10</v>
      </c>
      <c r="D300" t="str">
        <f>IF('[1]Processer - data'!D300&lt;&gt;"",'[1]Processer - data'!D300,"")</f>
        <v>Areal-raps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Raps</v>
      </c>
      <c r="G300" t="str">
        <f>IF('[1]Processer - data'!G300&lt;&gt;"",'[1]Processer - data'!G300,"")</f>
        <v>Ton</v>
      </c>
      <c r="H300" s="302" t="e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input'!$A$3:$A$230,$A$1)),IF(VLOOKUP($A300,[1]!Table1[#All],2,FALSE)="Resultat",SUMIF($F$1:$F299,$D300,H$1:H299)+SUMIF($F301:$F$490,$D300,H301:H$490),0))*'[1]Processer - data'!H300,"")*IF($C300&lt;&gt;"",IF($F300="Halm",Landbrug!C$16*Landbrug!C$17,IF(LEFT($D300,5)="Areal", IF($G300="Ton",Landbrug!C$18,1),1)),1)*IF($F300="Grøntsager",IF($A300="Grøntsager i drivhus",Landbrug!C$51,1-Landbrug!C$51),1)</f>
        <v>#REF!</v>
      </c>
      <c r="I300" s="303" t="e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input'!$A$3:$A$230,$A$1)),IF(VLOOKUP($A300,[1]!Table1[#All],2,FALSE)="Resultat",SUMIF($F$1:$F299,$D300,I$1:I299)+SUMIF($F301:$F$490,$D300,I301:I$490),0))*'[1]Processer - data'!I300,"")*IF($C300&lt;&gt;"",IF($F300="Halm",Landbrug!D$16*Landbrug!D$17,IF(LEFT($D300,5)="Areal", IF($G300="Ton",Landbrug!D$18,1),1)),1)*IF($F300="Grøntsager",IF($A300="Grøntsager i drivhus",Landbrug!D$51,1-Landbrug!D$51),1)</f>
        <v>#REF!</v>
      </c>
      <c r="J300" s="304" t="e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input'!$A$3:$A$230,$A$1)),IF(VLOOKUP($A300,[1]!Table1[#All],2,FALSE)="Resultat",SUMIF($F$1:$F299,$D300,J$1:J299)+SUMIF($F301:$F$490,$D300,J301:J$490),0))*'[1]Processer - data'!J300,"")*IF($C300&lt;&gt;"",IF($F300="Halm",Landbrug!E$16*Landbrug!E$17,IF(LEFT($D300,5)="Areal", IF($G300="Ton",Landbrug!E$18,1),1)),1)*IF($F300="Grøntsager",IF($A300="Grøntsager i drivhus",Landbrug!E$51,1-Landbrug!E$51),1)</f>
        <v>#REF!</v>
      </c>
    </row>
    <row r="301" spans="1:10" x14ac:dyDescent="0.25">
      <c r="A301" t="str">
        <f>IF('[1]Processer - data'!A301&lt;&gt;"",'[1]Processer - data'!A301,"")</f>
        <v>Rapsmark</v>
      </c>
      <c r="B301" t="str">
        <f>IF('[1]Processer - data'!B301&lt;&gt;"",'[1]Processer - data'!B301,"")</f>
        <v>Konventionel</v>
      </c>
      <c r="C301" t="str">
        <f>IF('[1]Processer - data'!C301&lt;&gt;"",'[1]Processer - data'!C301,"")</f>
        <v>JB1-10</v>
      </c>
      <c r="D301" t="str">
        <f>IF('[1]Processer - data'!D301&lt;&gt;"",'[1]Processer - data'!D301,"")</f>
        <v>Areal-raps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Halm</v>
      </c>
      <c r="G301" t="str">
        <f>IF('[1]Processer - data'!G301&lt;&gt;"",'[1]Processer - data'!G301,"")</f>
        <v>Ton</v>
      </c>
      <c r="H301" s="302" t="e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input'!$A$3:$A$230,$A$1)),IF(VLOOKUP($A301,[1]!Table1[#All],2,FALSE)="Resultat",SUMIF($F$1:$F300,$D301,H$1:H300)+SUMIF($F302:$F$490,$D301,H302:H$490),0))*'[1]Processer - data'!H301,"")*IF($C301&lt;&gt;"",IF($F301="Halm",Landbrug!C$16*Landbrug!C$17,IF(LEFT($D301,5)="Areal", IF($G301="Ton",Landbrug!C$18,1),1)),1)*IF($F301="Grøntsager",IF($A301="Grøntsager i drivhus",Landbrug!C$51,1-Landbrug!C$51),1)</f>
        <v>#REF!</v>
      </c>
      <c r="I301" s="303" t="e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input'!$A$3:$A$230,$A$1)),IF(VLOOKUP($A301,[1]!Table1[#All],2,FALSE)="Resultat",SUMIF($F$1:$F300,$D301,I$1:I300)+SUMIF($F302:$F$490,$D301,I302:I$490),0))*'[1]Processer - data'!I301,"")*IF($C301&lt;&gt;"",IF($F301="Halm",Landbrug!D$16*Landbrug!D$17,IF(LEFT($D301,5)="Areal", IF($G301="Ton",Landbrug!D$18,1),1)),1)*IF($F301="Grøntsager",IF($A301="Grøntsager i drivhus",Landbrug!D$51,1-Landbrug!D$51),1)</f>
        <v>#REF!</v>
      </c>
      <c r="J301" s="304" t="e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input'!$A$3:$A$230,$A$1)),IF(VLOOKUP($A301,[1]!Table1[#All],2,FALSE)="Resultat",SUMIF($F$1:$F300,$D301,J$1:J300)+SUMIF($F302:$F$490,$D301,J302:J$490),0))*'[1]Processer - data'!J301,"")*IF($C301&lt;&gt;"",IF($F301="Halm",Landbrug!E$16*Landbrug!E$17,IF(LEFT($D301,5)="Areal", IF($G301="Ton",Landbrug!E$18,1),1)),1)*IF($F301="Grøntsager",IF($A301="Grøntsager i drivhus",Landbrug!E$51,1-Landbrug!E$51),1)</f>
        <v>#REF!</v>
      </c>
    </row>
    <row r="302" spans="1:10" x14ac:dyDescent="0.25">
      <c r="A302" t="str">
        <f>IF('[1]Processer - data'!A302&lt;&gt;"",'[1]Processer - data'!A302,"")</f>
        <v>Rapsmark</v>
      </c>
      <c r="B302" t="str">
        <f>IF('[1]Processer - data'!B302&lt;&gt;"",'[1]Processer - data'!B302,"")</f>
        <v>Konventionel</v>
      </c>
      <c r="C302" t="str">
        <f>IF('[1]Processer - data'!C302&lt;&gt;"",'[1]Processer - data'!C302,"")</f>
        <v>JB1-10</v>
      </c>
      <c r="D302" t="str">
        <f>IF('[1]Processer - data'!D302&lt;&gt;"",'[1]Processer - data'!D302,"")</f>
        <v>Areal-raps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Gødning</v>
      </c>
      <c r="G302" t="str">
        <f>IF('[1]Processer - data'!G302&lt;&gt;"",'[1]Processer - data'!G302,"")</f>
        <v>kg N</v>
      </c>
      <c r="H302" s="302" t="e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input'!$A$3:$A$230,$A$1)),IF(VLOOKUP($A302,[1]!Table1[#All],2,FALSE)="Resultat",SUMIF($F$1:$F301,$D302,H$1:H301)+SUMIF($F303:$F$490,$D302,H303:H$490),0))*'[1]Processer - data'!H302,"")*IF($C302&lt;&gt;"",IF($F302="Halm",Landbrug!C$16*Landbrug!C$17,IF(LEFT($D302,5)="Areal", IF($G302="Ton",Landbrug!C$18,1),1)),1)*IF($F302="Grøntsager",IF($A302="Grøntsager i drivhus",Landbrug!C$51,1-Landbrug!C$51),1)</f>
        <v>#REF!</v>
      </c>
      <c r="I302" s="303" t="e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input'!$A$3:$A$230,$A$1)),IF(VLOOKUP($A302,[1]!Table1[#All],2,FALSE)="Resultat",SUMIF($F$1:$F301,$D302,I$1:I301)+SUMIF($F303:$F$490,$D302,I303:I$490),0))*'[1]Processer - data'!I302,"")*IF($C302&lt;&gt;"",IF($F302="Halm",Landbrug!D$16*Landbrug!D$17,IF(LEFT($D302,5)="Areal", IF($G302="Ton",Landbrug!D$18,1),1)),1)*IF($F302="Grøntsager",IF($A302="Grøntsager i drivhus",Landbrug!D$51,1-Landbrug!D$51),1)</f>
        <v>#REF!</v>
      </c>
      <c r="J302" s="304" t="e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input'!$A$3:$A$230,$A$1)),IF(VLOOKUP($A302,[1]!Table1[#All],2,FALSE)="Resultat",SUMIF($F$1:$F301,$D302,J$1:J301)+SUMIF($F303:$F$490,$D302,J303:J$490),0))*'[1]Processer - data'!J302,"")*IF($C302&lt;&gt;"",IF($F302="Halm",Landbrug!E$16*Landbrug!E$17,IF(LEFT($D302,5)="Areal", IF($G302="Ton",Landbrug!E$18,1),1)),1)*IF($F302="Grøntsager",IF($A302="Grøntsager i drivhus",Landbrug!E$51,1-Landbrug!E$51),1)</f>
        <v>#REF!</v>
      </c>
    </row>
    <row r="303" spans="1:10" x14ac:dyDescent="0.25">
      <c r="A303" t="str">
        <f>IF('[1]Processer - data'!A303&lt;&gt;"",'[1]Processer - data'!A303,"")</f>
        <v>Rapsmark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Areal-raps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CO2 - atmosfære</v>
      </c>
      <c r="G303" t="str">
        <f>IF('[1]Processer - data'!G303&lt;&gt;"",'[1]Processer - data'!G303,"")</f>
        <v>t CO2-ækvivalenter</v>
      </c>
      <c r="H303" s="302" t="e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input'!$A$3:$A$230,$A$1)),IF(VLOOKUP($A303,[1]!Table1[#All],2,FALSE)="Resultat",SUMIF($F$1:$F302,$D303,H$1:H302)+SUMIF($F304:$F$490,$D303,H304:H$490),0))*'[1]Processer - data'!H303,"")*IF($C303&lt;&gt;"",IF($F303="Halm",Landbrug!C$16*Landbrug!C$17,IF(LEFT($D303,5)="Areal", IF($G303="Ton",Landbrug!C$18,1),1)),1)*IF($F303="Grøntsager",IF($A303="Grøntsager i drivhus",Landbrug!C$51,1-Landbrug!C$51),1)</f>
        <v>#REF!</v>
      </c>
      <c r="I303" s="303" t="e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input'!$A$3:$A$230,$A$1)),IF(VLOOKUP($A303,[1]!Table1[#All],2,FALSE)="Resultat",SUMIF($F$1:$F302,$D303,I$1:I302)+SUMIF($F304:$F$490,$D303,I304:I$490),0))*'[1]Processer - data'!I303,"")*IF($C303&lt;&gt;"",IF($F303="Halm",Landbrug!D$16*Landbrug!D$17,IF(LEFT($D303,5)="Areal", IF($G303="Ton",Landbrug!D$18,1),1)),1)*IF($F303="Grøntsager",IF($A303="Grøntsager i drivhus",Landbrug!D$51,1-Landbrug!D$51),1)</f>
        <v>#REF!</v>
      </c>
      <c r="J303" s="304" t="e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input'!$A$3:$A$230,$A$1)),IF(VLOOKUP($A303,[1]!Table1[#All],2,FALSE)="Resultat",SUMIF($F$1:$F302,$D303,J$1:J302)+SUMIF($F304:$F$490,$D303,J304:J$490),0))*'[1]Processer - data'!J303,"")*IF($C303&lt;&gt;"",IF($F303="Halm",Landbrug!E$16*Landbrug!E$17,IF(LEFT($D303,5)="Areal", IF($G303="Ton",Landbrug!E$18,1),1)),1)*IF($F303="Grøntsager",IF($A303="Grøntsager i drivhus",Landbrug!E$51,1-Landbrug!E$51),1)</f>
        <v>#REF!</v>
      </c>
    </row>
    <row r="304" spans="1:10" x14ac:dyDescent="0.25">
      <c r="A304" t="str">
        <f>IF('[1]Processer - data'!A304&lt;&gt;"",'[1]Processer - data'!A304,"")</f>
        <v>Rapsmark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OC6</v>
      </c>
      <c r="D304" t="str">
        <f>IF('[1]Processer - data'!D304&lt;&gt;"",'[1]Processer - data'!D304,"")</f>
        <v>Areal-raps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Raps</v>
      </c>
      <c r="G304" t="str">
        <f>IF('[1]Processer - data'!G304&lt;&gt;"",'[1]Processer - data'!G304,"")</f>
        <v>Ton</v>
      </c>
      <c r="H304" s="302" t="e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input'!$A$3:$A$230,$A$1)),IF(VLOOKUP($A304,[1]!Table1[#All],2,FALSE)="Resultat",SUMIF($F$1:$F303,$D304,H$1:H303)+SUMIF($F305:$F$490,$D304,H305:H$490),0))*'[1]Processer - data'!H304,"")*IF($C304&lt;&gt;"",IF($F304="Halm",Landbrug!C$16*Landbrug!C$17,IF(LEFT($D304,5)="Areal", IF($G304="Ton",Landbrug!C$18,1),1)),1)*IF($F304="Grøntsager",IF($A304="Grøntsager i drivhus",Landbrug!C$51,1-Landbrug!C$51),1)</f>
        <v>#REF!</v>
      </c>
      <c r="I304" s="303" t="e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input'!$A$3:$A$230,$A$1)),IF(VLOOKUP($A304,[1]!Table1[#All],2,FALSE)="Resultat",SUMIF($F$1:$F303,$D304,I$1:I303)+SUMIF($F305:$F$490,$D304,I305:I$490),0))*'[1]Processer - data'!I304,"")*IF($C304&lt;&gt;"",IF($F304="Halm",Landbrug!D$16*Landbrug!D$17,IF(LEFT($D304,5)="Areal", IF($G304="Ton",Landbrug!D$18,1),1)),1)*IF($F304="Grøntsager",IF($A304="Grøntsager i drivhus",Landbrug!D$51,1-Landbrug!D$51),1)</f>
        <v>#REF!</v>
      </c>
      <c r="J304" s="304" t="e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input'!$A$3:$A$230,$A$1)),IF(VLOOKUP($A304,[1]!Table1[#All],2,FALSE)="Resultat",SUMIF($F$1:$F303,$D304,J$1:J303)+SUMIF($F305:$F$490,$D304,J305:J$490),0))*'[1]Processer - data'!J304,"")*IF($C304&lt;&gt;"",IF($F304="Halm",Landbrug!E$16*Landbrug!E$17,IF(LEFT($D304,5)="Areal", IF($G304="Ton",Landbrug!E$18,1),1)),1)*IF($F304="Grøntsager",IF($A304="Grøntsager i drivhus",Landbrug!E$51,1-Landbrug!E$51),1)</f>
        <v>#REF!</v>
      </c>
    </row>
    <row r="305" spans="1:10" x14ac:dyDescent="0.25">
      <c r="A305" t="str">
        <f>IF('[1]Processer - data'!A305&lt;&gt;"",'[1]Processer - data'!A305,"")</f>
        <v>Rapsmark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OC6</v>
      </c>
      <c r="D305" t="str">
        <f>IF('[1]Processer - data'!D305&lt;&gt;"",'[1]Processer - data'!D305,"")</f>
        <v>Areal-raps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Halm</v>
      </c>
      <c r="G305" t="str">
        <f>IF('[1]Processer - data'!G305&lt;&gt;"",'[1]Processer - data'!G305,"")</f>
        <v>Ton</v>
      </c>
      <c r="H305" s="302" t="e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input'!$A$3:$A$230,$A$1)),IF(VLOOKUP($A305,[1]!Table1[#All],2,FALSE)="Resultat",SUMIF($F$1:$F304,$D305,H$1:H304)+SUMIF($F306:$F$490,$D305,H306:H$490),0))*'[1]Processer - data'!H305,"")*IF($C305&lt;&gt;"",IF($F305="Halm",Landbrug!C$16*Landbrug!C$17,IF(LEFT($D305,5)="Areal", IF($G305="Ton",Landbrug!C$18,1),1)),1)*IF($F305="Grøntsager",IF($A305="Grøntsager i drivhus",Landbrug!C$51,1-Landbrug!C$51),1)</f>
        <v>#REF!</v>
      </c>
      <c r="I305" s="303" t="e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input'!$A$3:$A$230,$A$1)),IF(VLOOKUP($A305,[1]!Table1[#All],2,FALSE)="Resultat",SUMIF($F$1:$F304,$D305,I$1:I304)+SUMIF($F306:$F$490,$D305,I306:I$490),0))*'[1]Processer - data'!I305,"")*IF($C305&lt;&gt;"",IF($F305="Halm",Landbrug!D$16*Landbrug!D$17,IF(LEFT($D305,5)="Areal", IF($G305="Ton",Landbrug!D$18,1),1)),1)*IF($F305="Grøntsager",IF($A305="Grøntsager i drivhus",Landbrug!D$51,1-Landbrug!D$51),1)</f>
        <v>#REF!</v>
      </c>
      <c r="J305" s="304" t="e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input'!$A$3:$A$230,$A$1)),IF(VLOOKUP($A305,[1]!Table1[#All],2,FALSE)="Resultat",SUMIF($F$1:$F304,$D305,J$1:J304)+SUMIF($F306:$F$490,$D305,J306:J$490),0))*'[1]Processer - data'!J305,"")*IF($C305&lt;&gt;"",IF($F305="Halm",Landbrug!E$16*Landbrug!E$17,IF(LEFT($D305,5)="Areal", IF($G305="Ton",Landbrug!E$18,1),1)),1)*IF($F305="Grøntsager",IF($A305="Grøntsager i drivhus",Landbrug!E$51,1-Landbrug!E$51),1)</f>
        <v>#REF!</v>
      </c>
    </row>
    <row r="306" spans="1:10" x14ac:dyDescent="0.25">
      <c r="A306" t="str">
        <f>IF('[1]Processer - data'!A306&lt;&gt;"",'[1]Processer - data'!A306,"")</f>
        <v>Rapsmark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Areal-raps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Gødning</v>
      </c>
      <c r="G306" t="str">
        <f>IF('[1]Processer - data'!G306&lt;&gt;"",'[1]Processer - data'!G306,"")</f>
        <v>kg N</v>
      </c>
      <c r="H306" s="302" t="e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input'!$A$3:$A$230,$A$1)),IF(VLOOKUP($A306,[1]!Table1[#All],2,FALSE)="Resultat",SUMIF($F$1:$F305,$D306,H$1:H305)+SUMIF($F307:$F$490,$D306,H307:H$490),0))*'[1]Processer - data'!H306,"")*IF($C306&lt;&gt;"",IF($F306="Halm",Landbrug!C$16*Landbrug!C$17,IF(LEFT($D306,5)="Areal", IF($G306="Ton",Landbrug!C$18,1),1)),1)*IF($F306="Grøntsager",IF($A306="Grøntsager i drivhus",Landbrug!C$51,1-Landbrug!C$51),1)</f>
        <v>#REF!</v>
      </c>
      <c r="I306" s="303" t="e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input'!$A$3:$A$230,$A$1)),IF(VLOOKUP($A306,[1]!Table1[#All],2,FALSE)="Resultat",SUMIF($F$1:$F305,$D306,I$1:I305)+SUMIF($F307:$F$490,$D306,I307:I$490),0))*'[1]Processer - data'!I306,"")*IF($C306&lt;&gt;"",IF($F306="Halm",Landbrug!D$16*Landbrug!D$17,IF(LEFT($D306,5)="Areal", IF($G306="Ton",Landbrug!D$18,1),1)),1)*IF($F306="Grøntsager",IF($A306="Grøntsager i drivhus",Landbrug!D$51,1-Landbrug!D$51),1)</f>
        <v>#REF!</v>
      </c>
      <c r="J306" s="304" t="e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input'!$A$3:$A$230,$A$1)),IF(VLOOKUP($A306,[1]!Table1[#All],2,FALSE)="Resultat",SUMIF($F$1:$F305,$D306,J$1:J305)+SUMIF($F307:$F$490,$D306,J307:J$490),0))*'[1]Processer - data'!J306,"")*IF($C306&lt;&gt;"",IF($F306="Halm",Landbrug!E$16*Landbrug!E$17,IF(LEFT($D306,5)="Areal", IF($G306="Ton",Landbrug!E$18,1),1)),1)*IF($F306="Grøntsager",IF($A306="Grøntsager i drivhus",Landbrug!E$51,1-Landbrug!E$51),1)</f>
        <v>#REF!</v>
      </c>
    </row>
    <row r="307" spans="1:10" x14ac:dyDescent="0.25">
      <c r="A307" t="str">
        <f>IF('[1]Processer - data'!A307&lt;&gt;"",'[1]Processer - data'!A307,"")</f>
        <v>Rapsmark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Areal-raps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CO2 - atmosfære</v>
      </c>
      <c r="G307" t="str">
        <f>IF('[1]Processer - data'!G307&lt;&gt;"",'[1]Processer - data'!G307,"")</f>
        <v>t CO2-ækvivalenter</v>
      </c>
      <c r="H307" s="302" t="e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input'!$A$3:$A$230,$A$1)),IF(VLOOKUP($A307,[1]!Table1[#All],2,FALSE)="Resultat",SUMIF($F$1:$F306,$D307,H$1:H306)+SUMIF($F308:$F$490,$D307,H308:H$490),0))*'[1]Processer - data'!H307,"")*IF($C307&lt;&gt;"",IF($F307="Halm",Landbrug!C$16*Landbrug!C$17,IF(LEFT($D307,5)="Areal", IF($G307="Ton",Landbrug!C$18,1),1)),1)*IF($F307="Grøntsager",IF($A307="Grøntsager i drivhus",Landbrug!C$51,1-Landbrug!C$51),1)</f>
        <v>#REF!</v>
      </c>
      <c r="I307" s="303" t="e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input'!$A$3:$A$230,$A$1)),IF(VLOOKUP($A307,[1]!Table1[#All],2,FALSE)="Resultat",SUMIF($F$1:$F306,$D307,I$1:I306)+SUMIF($F308:$F$490,$D307,I308:I$490),0))*'[1]Processer - data'!I307,"")*IF($C307&lt;&gt;"",IF($F307="Halm",Landbrug!D$16*Landbrug!D$17,IF(LEFT($D307,5)="Areal", IF($G307="Ton",Landbrug!D$18,1),1)),1)*IF($F307="Grøntsager",IF($A307="Grøntsager i drivhus",Landbrug!D$51,1-Landbrug!D$51),1)</f>
        <v>#REF!</v>
      </c>
      <c r="J307" s="304" t="e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input'!$A$3:$A$230,$A$1)),IF(VLOOKUP($A307,[1]!Table1[#All],2,FALSE)="Resultat",SUMIF($F$1:$F306,$D307,J$1:J306)+SUMIF($F308:$F$490,$D307,J308:J$490),0))*'[1]Processer - data'!J307,"")*IF($C307&lt;&gt;"",IF($F307="Halm",Landbrug!E$16*Landbrug!E$17,IF(LEFT($D307,5)="Areal", IF($G307="Ton",Landbrug!E$18,1),1)),1)*IF($F307="Grøntsager",IF($A307="Grøntsager i drivhus",Landbrug!E$51,1-Landbrug!E$51),1)</f>
        <v>#REF!</v>
      </c>
    </row>
    <row r="308" spans="1:10" x14ac:dyDescent="0.25">
      <c r="A308" t="str">
        <f>IF('[1]Processer - data'!A308&lt;&gt;"",'[1]Processer - data'!A308,"")</f>
        <v>Rapsmark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OC12</v>
      </c>
      <c r="D308" t="str">
        <f>IF('[1]Processer - data'!D308&lt;&gt;"",'[1]Processer - data'!D308,"")</f>
        <v>Areal-raps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Raps</v>
      </c>
      <c r="G308" t="str">
        <f>IF('[1]Processer - data'!G308&lt;&gt;"",'[1]Processer - data'!G308,"")</f>
        <v>Ton</v>
      </c>
      <c r="H308" s="302" t="e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input'!$A$3:$A$230,$A$1)),IF(VLOOKUP($A308,[1]!Table1[#All],2,FALSE)="Resultat",SUMIF($F$1:$F307,$D308,H$1:H307)+SUMIF($F309:$F$490,$D308,H309:H$490),0))*'[1]Processer - data'!H308,"")*IF($C308&lt;&gt;"",IF($F308="Halm",Landbrug!C$16*Landbrug!C$17,IF(LEFT($D308,5)="Areal", IF($G308="Ton",Landbrug!C$18,1),1)),1)*IF($F308="Grøntsager",IF($A308="Grøntsager i drivhus",Landbrug!C$51,1-Landbrug!C$51),1)</f>
        <v>#REF!</v>
      </c>
      <c r="I308" s="303" t="e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input'!$A$3:$A$230,$A$1)),IF(VLOOKUP($A308,[1]!Table1[#All],2,FALSE)="Resultat",SUMIF($F$1:$F307,$D308,I$1:I307)+SUMIF($F309:$F$490,$D308,I309:I$490),0))*'[1]Processer - data'!I308,"")*IF($C308&lt;&gt;"",IF($F308="Halm",Landbrug!D$16*Landbrug!D$17,IF(LEFT($D308,5)="Areal", IF($G308="Ton",Landbrug!D$18,1),1)),1)*IF($F308="Grøntsager",IF($A308="Grøntsager i drivhus",Landbrug!D$51,1-Landbrug!D$51),1)</f>
        <v>#REF!</v>
      </c>
      <c r="J308" s="304" t="e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input'!$A$3:$A$230,$A$1)),IF(VLOOKUP($A308,[1]!Table1[#All],2,FALSE)="Resultat",SUMIF($F$1:$F307,$D308,J$1:J307)+SUMIF($F309:$F$490,$D308,J309:J$490),0))*'[1]Processer - data'!J308,"")*IF($C308&lt;&gt;"",IF($F308="Halm",Landbrug!E$16*Landbrug!E$17,IF(LEFT($D308,5)="Areal", IF($G308="Ton",Landbrug!E$18,1),1)),1)*IF($F308="Grøntsager",IF($A308="Grøntsager i drivhus",Landbrug!E$51,1-Landbrug!E$51),1)</f>
        <v>#REF!</v>
      </c>
    </row>
    <row r="309" spans="1:10" x14ac:dyDescent="0.25">
      <c r="A309" t="str">
        <f>IF('[1]Processer - data'!A309&lt;&gt;"",'[1]Processer - data'!A309,"")</f>
        <v>Rapsmark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Areal-raps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Halm</v>
      </c>
      <c r="G309" t="str">
        <f>IF('[1]Processer - data'!G309&lt;&gt;"",'[1]Processer - data'!G309,"")</f>
        <v>Ton</v>
      </c>
      <c r="H309" s="302" t="e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input'!$A$3:$A$230,$A$1)),IF(VLOOKUP($A309,[1]!Table1[#All],2,FALSE)="Resultat",SUMIF($F$1:$F308,$D309,H$1:H308)+SUMIF($F310:$F$490,$D309,H310:H$490),0))*'[1]Processer - data'!H309,"")*IF($C309&lt;&gt;"",IF($F309="Halm",Landbrug!C$16*Landbrug!C$17,IF(LEFT($D309,5)="Areal", IF($G309="Ton",Landbrug!C$18,1),1)),1)*IF($F309="Grøntsager",IF($A309="Grøntsager i drivhus",Landbrug!C$51,1-Landbrug!C$51),1)</f>
        <v>#REF!</v>
      </c>
      <c r="I309" s="303" t="e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input'!$A$3:$A$230,$A$1)),IF(VLOOKUP($A309,[1]!Table1[#All],2,FALSE)="Resultat",SUMIF($F$1:$F308,$D309,I$1:I308)+SUMIF($F310:$F$490,$D309,I310:I$490),0))*'[1]Processer - data'!I309,"")*IF($C309&lt;&gt;"",IF($F309="Halm",Landbrug!D$16*Landbrug!D$17,IF(LEFT($D309,5)="Areal", IF($G309="Ton",Landbrug!D$18,1),1)),1)*IF($F309="Grøntsager",IF($A309="Grøntsager i drivhus",Landbrug!D$51,1-Landbrug!D$51),1)</f>
        <v>#REF!</v>
      </c>
      <c r="J309" s="304" t="e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input'!$A$3:$A$230,$A$1)),IF(VLOOKUP($A309,[1]!Table1[#All],2,FALSE)="Resultat",SUMIF($F$1:$F308,$D309,J$1:J308)+SUMIF($F310:$F$490,$D309,J310:J$490),0))*'[1]Processer - data'!J309,"")*IF($C309&lt;&gt;"",IF($F309="Halm",Landbrug!E$16*Landbrug!E$17,IF(LEFT($D309,5)="Areal", IF($G309="Ton",Landbrug!E$18,1),1)),1)*IF($F309="Grøntsager",IF($A309="Grøntsager i drivhus",Landbrug!E$51,1-Landbrug!E$51),1)</f>
        <v>#REF!</v>
      </c>
    </row>
    <row r="310" spans="1:10" x14ac:dyDescent="0.25">
      <c r="A310" t="str">
        <f>IF('[1]Processer - data'!A310&lt;&gt;"",'[1]Processer - data'!A310,"")</f>
        <v>Rapsmark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Areal-raps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2" t="e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input'!$A$3:$A$230,$A$1)),IF(VLOOKUP($A310,[1]!Table1[#All],2,FALSE)="Resultat",SUMIF($F$1:$F309,$D310,H$1:H309)+SUMIF($F311:$F$490,$D310,H311:H$490),0))*'[1]Processer - data'!H310,"")*IF($C310&lt;&gt;"",IF($F310="Halm",Landbrug!C$16*Landbrug!C$17,IF(LEFT($D310,5)="Areal", IF($G310="Ton",Landbrug!C$18,1),1)),1)*IF($F310="Grøntsager",IF($A310="Grøntsager i drivhus",Landbrug!C$51,1-Landbrug!C$51),1)</f>
        <v>#REF!</v>
      </c>
      <c r="I310" s="303" t="e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input'!$A$3:$A$230,$A$1)),IF(VLOOKUP($A310,[1]!Table1[#All],2,FALSE)="Resultat",SUMIF($F$1:$F309,$D310,I$1:I309)+SUMIF($F311:$F$490,$D310,I311:I$490),0))*'[1]Processer - data'!I310,"")*IF($C310&lt;&gt;"",IF($F310="Halm",Landbrug!D$16*Landbrug!D$17,IF(LEFT($D310,5)="Areal", IF($G310="Ton",Landbrug!D$18,1),1)),1)*IF($F310="Grøntsager",IF($A310="Grøntsager i drivhus",Landbrug!D$51,1-Landbrug!D$51),1)</f>
        <v>#REF!</v>
      </c>
      <c r="J310" s="304" t="e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input'!$A$3:$A$230,$A$1)),IF(VLOOKUP($A310,[1]!Table1[#All],2,FALSE)="Resultat",SUMIF($F$1:$F309,$D310,J$1:J309)+SUMIF($F311:$F$490,$D310,J311:J$490),0))*'[1]Processer - data'!J310,"")*IF($C310&lt;&gt;"",IF($F310="Halm",Landbrug!E$16*Landbrug!E$17,IF(LEFT($D310,5)="Areal", IF($G310="Ton",Landbrug!E$18,1),1)),1)*IF($F310="Grøntsager",IF($A310="Grøntsager i drivhus",Landbrug!E$51,1-Landbrug!E$51),1)</f>
        <v>#REF!</v>
      </c>
    </row>
    <row r="311" spans="1:10" x14ac:dyDescent="0.25">
      <c r="A311" t="str">
        <f>IF('[1]Processer - data'!A311&lt;&gt;"",'[1]Processer - data'!A311,"")</f>
        <v>Rapsmark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Areal-raps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2" t="e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input'!$A$3:$A$230,$A$1)),IF(VLOOKUP($A311,[1]!Table1[#All],2,FALSE)="Resultat",SUMIF($F$1:$F310,$D311,H$1:H310)+SUMIF($F312:$F$490,$D311,H312:H$490),0))*'[1]Processer - data'!H311,"")*IF($C311&lt;&gt;"",IF($F311="Halm",Landbrug!C$16*Landbrug!C$17,IF(LEFT($D311,5)="Areal", IF($G311="Ton",Landbrug!C$18,1),1)),1)*IF($F311="Grøntsager",IF($A311="Grøntsager i drivhus",Landbrug!C$51,1-Landbrug!C$51),1)</f>
        <v>#REF!</v>
      </c>
      <c r="I311" s="303" t="e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input'!$A$3:$A$230,$A$1)),IF(VLOOKUP($A311,[1]!Table1[#All],2,FALSE)="Resultat",SUMIF($F$1:$F310,$D311,I$1:I310)+SUMIF($F312:$F$490,$D311,I312:I$490),0))*'[1]Processer - data'!I311,"")*IF($C311&lt;&gt;"",IF($F311="Halm",Landbrug!D$16*Landbrug!D$17,IF(LEFT($D311,5)="Areal", IF($G311="Ton",Landbrug!D$18,1),1)),1)*IF($F311="Grøntsager",IF($A311="Grøntsager i drivhus",Landbrug!D$51,1-Landbrug!D$51),1)</f>
        <v>#REF!</v>
      </c>
      <c r="J311" s="304" t="e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input'!$A$3:$A$230,$A$1)),IF(VLOOKUP($A311,[1]!Table1[#All],2,FALSE)="Resultat",SUMIF($F$1:$F310,$D311,J$1:J310)+SUMIF($F312:$F$490,$D311,J312:J$490),0))*'[1]Processer - data'!J311,"")*IF($C311&lt;&gt;"",IF($F311="Halm",Landbrug!E$16*Landbrug!E$17,IF(LEFT($D311,5)="Areal", IF($G311="Ton",Landbrug!E$18,1),1)),1)*IF($F311="Grøntsager",IF($A311="Grøntsager i drivhus",Landbrug!E$51,1-Landbrug!E$51),1)</f>
        <v>#REF!</v>
      </c>
    </row>
    <row r="312" spans="1:10" x14ac:dyDescent="0.25">
      <c r="A312" t="str">
        <f>IF('[1]Processer - data'!A312&lt;&gt;"",'[1]Processer - data'!A312,"")</f>
        <v>Rapsmark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Areal-raps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Raps</v>
      </c>
      <c r="G312" t="str">
        <f>IF('[1]Processer - data'!G312&lt;&gt;"",'[1]Processer - data'!G312,"")</f>
        <v>Ton</v>
      </c>
      <c r="H312" s="302" t="e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input'!$A$3:$A$230,$A$1)),IF(VLOOKUP($A312,[1]!Table1[#All],2,FALSE)="Resultat",SUMIF($F$1:$F311,$D312,H$1:H311)+SUMIF($F313:$F$490,$D312,H313:H$490),0))*'[1]Processer - data'!H312,"")*IF($C312&lt;&gt;"",IF($F312="Halm",Landbrug!C$16*Landbrug!C$17,IF(LEFT($D312,5)="Areal", IF($G312="Ton",Landbrug!C$18,1),1)),1)*IF($F312="Grøntsager",IF($A312="Grøntsager i drivhus",Landbrug!C$51,1-Landbrug!C$51),1)</f>
        <v>#REF!</v>
      </c>
      <c r="I312" s="303" t="e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input'!$A$3:$A$230,$A$1)),IF(VLOOKUP($A312,[1]!Table1[#All],2,FALSE)="Resultat",SUMIF($F$1:$F311,$D312,I$1:I311)+SUMIF($F313:$F$490,$D312,I313:I$490),0))*'[1]Processer - data'!I312,"")*IF($C312&lt;&gt;"",IF($F312="Halm",Landbrug!D$16*Landbrug!D$17,IF(LEFT($D312,5)="Areal", IF($G312="Ton",Landbrug!D$18,1),1)),1)*IF($F312="Grøntsager",IF($A312="Grøntsager i drivhus",Landbrug!D$51,1-Landbrug!D$51),1)</f>
        <v>#REF!</v>
      </c>
      <c r="J312" s="304" t="e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input'!$A$3:$A$230,$A$1)),IF(VLOOKUP($A312,[1]!Table1[#All],2,FALSE)="Resultat",SUMIF($F$1:$F311,$D312,J$1:J311)+SUMIF($F313:$F$490,$D312,J313:J$490),0))*'[1]Processer - data'!J312,"")*IF($C312&lt;&gt;"",IF($F312="Halm",Landbrug!E$16*Landbrug!E$17,IF(LEFT($D312,5)="Areal", IF($G312="Ton",Landbrug!E$18,1),1)),1)*IF($F312="Grøntsager",IF($A312="Grøntsager i drivhus",Landbrug!E$51,1-Landbrug!E$51),1)</f>
        <v>#REF!</v>
      </c>
    </row>
    <row r="313" spans="1:10" x14ac:dyDescent="0.25">
      <c r="A313" t="str">
        <f>IF('[1]Processer - data'!A313&lt;&gt;"",'[1]Processer - data'!A313,"")</f>
        <v>Rapsmark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Areal-raps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Halm</v>
      </c>
      <c r="G313" t="str">
        <f>IF('[1]Processer - data'!G313&lt;&gt;"",'[1]Processer - data'!G313,"")</f>
        <v>Ton</v>
      </c>
      <c r="H313" s="302" t="e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input'!$A$3:$A$230,$A$1)),IF(VLOOKUP($A313,[1]!Table1[#All],2,FALSE)="Resultat",SUMIF($F$1:$F312,$D313,H$1:H312)+SUMIF($F314:$F$490,$D313,H314:H$490),0))*'[1]Processer - data'!H313,"")*IF($C313&lt;&gt;"",IF($F313="Halm",Landbrug!C$16*Landbrug!C$17,IF(LEFT($D313,5)="Areal", IF($G313="Ton",Landbrug!C$18,1),1)),1)*IF($F313="Grøntsager",IF($A313="Grøntsager i drivhus",Landbrug!C$51,1-Landbrug!C$51),1)</f>
        <v>#REF!</v>
      </c>
      <c r="I313" s="303" t="e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input'!$A$3:$A$230,$A$1)),IF(VLOOKUP($A313,[1]!Table1[#All],2,FALSE)="Resultat",SUMIF($F$1:$F312,$D313,I$1:I312)+SUMIF($F314:$F$490,$D313,I314:I$490),0))*'[1]Processer - data'!I313,"")*IF($C313&lt;&gt;"",IF($F313="Halm",Landbrug!D$16*Landbrug!D$17,IF(LEFT($D313,5)="Areal", IF($G313="Ton",Landbrug!D$18,1),1)),1)*IF($F313="Grøntsager",IF($A313="Grøntsager i drivhus",Landbrug!D$51,1-Landbrug!D$51),1)</f>
        <v>#REF!</v>
      </c>
      <c r="J313" s="304" t="e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input'!$A$3:$A$230,$A$1)),IF(VLOOKUP($A313,[1]!Table1[#All],2,FALSE)="Resultat",SUMIF($F$1:$F312,$D313,J$1:J312)+SUMIF($F314:$F$490,$D313,J314:J$490),0))*'[1]Processer - data'!J313,"")*IF($C313&lt;&gt;"",IF($F313="Halm",Landbrug!E$16*Landbrug!E$17,IF(LEFT($D313,5)="Areal", IF($G313="Ton",Landbrug!E$18,1),1)),1)*IF($F313="Grøntsager",IF($A313="Grøntsager i drivhus",Landbrug!E$51,1-Landbrug!E$51),1)</f>
        <v>#REF!</v>
      </c>
    </row>
    <row r="314" spans="1:10" x14ac:dyDescent="0.25">
      <c r="A314" t="str">
        <f>IF('[1]Processer - data'!A314&lt;&gt;"",'[1]Processer - data'!A314,"")</f>
        <v>Rapsmark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Areal-raps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Gødning</v>
      </c>
      <c r="G314" t="str">
        <f>IF('[1]Processer - data'!G314&lt;&gt;"",'[1]Processer - data'!G314,"")</f>
        <v>kg N</v>
      </c>
      <c r="H314" s="302" t="e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input'!$A$3:$A$230,$A$1)),IF(VLOOKUP($A314,[1]!Table1[#All],2,FALSE)="Resultat",SUMIF($F$1:$F313,$D314,H$1:H313)+SUMIF($F315:$F$490,$D314,H315:H$490),0))*'[1]Processer - data'!H314,"")*IF($C314&lt;&gt;"",IF($F314="Halm",Landbrug!C$16*Landbrug!C$17,IF(LEFT($D314,5)="Areal", IF($G314="Ton",Landbrug!C$18,1),1)),1)*IF($F314="Grøntsager",IF($A314="Grøntsager i drivhus",Landbrug!C$51,1-Landbrug!C$51),1)</f>
        <v>#REF!</v>
      </c>
      <c r="I314" s="303" t="e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input'!$A$3:$A$230,$A$1)),IF(VLOOKUP($A314,[1]!Table1[#All],2,FALSE)="Resultat",SUMIF($F$1:$F313,$D314,I$1:I313)+SUMIF($F315:$F$490,$D314,I315:I$490),0))*'[1]Processer - data'!I314,"")*IF($C314&lt;&gt;"",IF($F314="Halm",Landbrug!D$16*Landbrug!D$17,IF(LEFT($D314,5)="Areal", IF($G314="Ton",Landbrug!D$18,1),1)),1)*IF($F314="Grøntsager",IF($A314="Grøntsager i drivhus",Landbrug!D$51,1-Landbrug!D$51),1)</f>
        <v>#REF!</v>
      </c>
      <c r="J314" s="304" t="e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input'!$A$3:$A$230,$A$1)),IF(VLOOKUP($A314,[1]!Table1[#All],2,FALSE)="Resultat",SUMIF($F$1:$F313,$D314,J$1:J313)+SUMIF($F315:$F$490,$D314,J315:J$490),0))*'[1]Processer - data'!J314,"")*IF($C314&lt;&gt;"",IF($F314="Halm",Landbrug!E$16*Landbrug!E$17,IF(LEFT($D314,5)="Areal", IF($G314="Ton",Landbrug!E$18,1),1)),1)*IF($F314="Grøntsager",IF($A314="Grøntsager i drivhus",Landbrug!E$51,1-Landbrug!E$51),1)</f>
        <v>#REF!</v>
      </c>
    </row>
    <row r="315" spans="1:10" x14ac:dyDescent="0.25">
      <c r="A315" t="str">
        <f>IF('[1]Processer - data'!A315&lt;&gt;"",'[1]Processer - data'!A315,"")</f>
        <v>Rapsmark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JB1-10</v>
      </c>
      <c r="D315" t="str">
        <f>IF('[1]Processer - data'!D315&lt;&gt;"",'[1]Processer - data'!D315,"")</f>
        <v>Areal-raps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CO2 - atmosfære</v>
      </c>
      <c r="G315" t="str">
        <f>IF('[1]Processer - data'!G315&lt;&gt;"",'[1]Processer - data'!G315,"")</f>
        <v>t CO2-ækvivalenter</v>
      </c>
      <c r="H315" s="302" t="e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input'!$A$3:$A$230,$A$1)),IF(VLOOKUP($A315,[1]!Table1[#All],2,FALSE)="Resultat",SUMIF($F$1:$F314,$D315,H$1:H314)+SUMIF($F316:$F$490,$D315,H316:H$490),0))*'[1]Processer - data'!H315,"")*IF($C315&lt;&gt;"",IF($F315="Halm",Landbrug!C$16*Landbrug!C$17,IF(LEFT($D315,5)="Areal", IF($G315="Ton",Landbrug!C$18,1),1)),1)*IF($F315="Grøntsager",IF($A315="Grøntsager i drivhus",Landbrug!C$51,1-Landbrug!C$51),1)</f>
        <v>#REF!</v>
      </c>
      <c r="I315" s="303" t="e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input'!$A$3:$A$230,$A$1)),IF(VLOOKUP($A315,[1]!Table1[#All],2,FALSE)="Resultat",SUMIF($F$1:$F314,$D315,I$1:I314)+SUMIF($F316:$F$490,$D315,I316:I$490),0))*'[1]Processer - data'!I315,"")*IF($C315&lt;&gt;"",IF($F315="Halm",Landbrug!D$16*Landbrug!D$17,IF(LEFT($D315,5)="Areal", IF($G315="Ton",Landbrug!D$18,1),1)),1)*IF($F315="Grøntsager",IF($A315="Grøntsager i drivhus",Landbrug!D$51,1-Landbrug!D$51),1)</f>
        <v>#REF!</v>
      </c>
      <c r="J315" s="304" t="e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input'!$A$3:$A$230,$A$1)),IF(VLOOKUP($A315,[1]!Table1[#All],2,FALSE)="Resultat",SUMIF($F$1:$F314,$D315,J$1:J314)+SUMIF($F316:$F$490,$D315,J316:J$490),0))*'[1]Processer - data'!J315,"")*IF($C315&lt;&gt;"",IF($F315="Halm",Landbrug!E$16*Landbrug!E$17,IF(LEFT($D315,5)="Areal", IF($G315="Ton",Landbrug!E$18,1),1)),1)*IF($F315="Grøntsager",IF($A315="Grøntsager i drivhus",Landbrug!E$51,1-Landbrug!E$51),1)</f>
        <v>#REF!</v>
      </c>
    </row>
    <row r="316" spans="1:10" x14ac:dyDescent="0.25">
      <c r="A316" t="str">
        <f>IF('[1]Processer - data'!A316&lt;&gt;"",'[1]Processer - data'!A316,"")</f>
        <v>Rapsmark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Areal-raps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Raps</v>
      </c>
      <c r="G316" t="str">
        <f>IF('[1]Processer - data'!G316&lt;&gt;"",'[1]Processer - data'!G316,"")</f>
        <v>Ton</v>
      </c>
      <c r="H316" s="302" t="e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input'!$A$3:$A$230,$A$1)),IF(VLOOKUP($A316,[1]!Table1[#All],2,FALSE)="Resultat",SUMIF($F$1:$F315,$D316,H$1:H315)+SUMIF($F317:$F$490,$D316,H317:H$490),0))*'[1]Processer - data'!H316,"")*IF($C316&lt;&gt;"",IF($F316="Halm",Landbrug!C$16*Landbrug!C$17,IF(LEFT($D316,5)="Areal", IF($G316="Ton",Landbrug!C$18,1),1)),1)*IF($F316="Grøntsager",IF($A316="Grøntsager i drivhus",Landbrug!C$51,1-Landbrug!C$51),1)</f>
        <v>#REF!</v>
      </c>
      <c r="I316" s="303" t="e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input'!$A$3:$A$230,$A$1)),IF(VLOOKUP($A316,[1]!Table1[#All],2,FALSE)="Resultat",SUMIF($F$1:$F315,$D316,I$1:I315)+SUMIF($F317:$F$490,$D316,I317:I$490),0))*'[1]Processer - data'!I316,"")*IF($C316&lt;&gt;"",IF($F316="Halm",Landbrug!D$16*Landbrug!D$17,IF(LEFT($D316,5)="Areal", IF($G316="Ton",Landbrug!D$18,1),1)),1)*IF($F316="Grøntsager",IF($A316="Grøntsager i drivhus",Landbrug!D$51,1-Landbrug!D$51),1)</f>
        <v>#REF!</v>
      </c>
      <c r="J316" s="304" t="e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input'!$A$3:$A$230,$A$1)),IF(VLOOKUP($A316,[1]!Table1[#All],2,FALSE)="Resultat",SUMIF($F$1:$F315,$D316,J$1:J315)+SUMIF($F317:$F$490,$D316,J317:J$490),0))*'[1]Processer - data'!J316,"")*IF($C316&lt;&gt;"",IF($F316="Halm",Landbrug!E$16*Landbrug!E$17,IF(LEFT($D316,5)="Areal", IF($G316="Ton",Landbrug!E$18,1),1)),1)*IF($F316="Grøntsager",IF($A316="Grøntsager i drivhus",Landbrug!E$51,1-Landbrug!E$51),1)</f>
        <v>#REF!</v>
      </c>
    </row>
    <row r="317" spans="1:10" x14ac:dyDescent="0.25">
      <c r="A317" t="str">
        <f>IF('[1]Processer - data'!A317&lt;&gt;"",'[1]Processer - data'!A317,"")</f>
        <v>Rapsmark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Areal-raps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Halm</v>
      </c>
      <c r="G317" t="str">
        <f>IF('[1]Processer - data'!G317&lt;&gt;"",'[1]Processer - data'!G317,"")</f>
        <v>Ton</v>
      </c>
      <c r="H317" s="302" t="e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input'!$A$3:$A$230,$A$1)),IF(VLOOKUP($A317,[1]!Table1[#All],2,FALSE)="Resultat",SUMIF($F$1:$F316,$D317,H$1:H316)+SUMIF($F318:$F$490,$D317,H318:H$490),0))*'[1]Processer - data'!H317,"")*IF($C317&lt;&gt;"",IF($F317="Halm",Landbrug!C$16*Landbrug!C$17,IF(LEFT($D317,5)="Areal", IF($G317="Ton",Landbrug!C$18,1),1)),1)*IF($F317="Grøntsager",IF($A317="Grøntsager i drivhus",Landbrug!C$51,1-Landbrug!C$51),1)</f>
        <v>#REF!</v>
      </c>
      <c r="I317" s="303" t="e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input'!$A$3:$A$230,$A$1)),IF(VLOOKUP($A317,[1]!Table1[#All],2,FALSE)="Resultat",SUMIF($F$1:$F316,$D317,I$1:I316)+SUMIF($F318:$F$490,$D317,I318:I$490),0))*'[1]Processer - data'!I317,"")*IF($C317&lt;&gt;"",IF($F317="Halm",Landbrug!D$16*Landbrug!D$17,IF(LEFT($D317,5)="Areal", IF($G317="Ton",Landbrug!D$18,1),1)),1)*IF($F317="Grøntsager",IF($A317="Grøntsager i drivhus",Landbrug!D$51,1-Landbrug!D$51),1)</f>
        <v>#REF!</v>
      </c>
      <c r="J317" s="304" t="e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input'!$A$3:$A$230,$A$1)),IF(VLOOKUP($A317,[1]!Table1[#All],2,FALSE)="Resultat",SUMIF($F$1:$F316,$D317,J$1:J316)+SUMIF($F318:$F$490,$D317,J318:J$490),0))*'[1]Processer - data'!J317,"")*IF($C317&lt;&gt;"",IF($F317="Halm",Landbrug!E$16*Landbrug!E$17,IF(LEFT($D317,5)="Areal", IF($G317="Ton",Landbrug!E$18,1),1)),1)*IF($F317="Grøntsager",IF($A317="Grøntsager i drivhus",Landbrug!E$51,1-Landbrug!E$51),1)</f>
        <v>#REF!</v>
      </c>
    </row>
    <row r="318" spans="1:10" x14ac:dyDescent="0.25">
      <c r="A318" t="str">
        <f>IF('[1]Processer - data'!A318&lt;&gt;"",'[1]Processer - data'!A318,"")</f>
        <v>Rapsmark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OC6</v>
      </c>
      <c r="D318" t="str">
        <f>IF('[1]Processer - data'!D318&lt;&gt;"",'[1]Processer - data'!D318,"")</f>
        <v>Areal-raps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Gødning</v>
      </c>
      <c r="G318" t="str">
        <f>IF('[1]Processer - data'!G318&lt;&gt;"",'[1]Processer - data'!G318,"")</f>
        <v>kg N</v>
      </c>
      <c r="H318" s="302" t="e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input'!$A$3:$A$230,$A$1)),IF(VLOOKUP($A318,[1]!Table1[#All],2,FALSE)="Resultat",SUMIF($F$1:$F317,$D318,H$1:H317)+SUMIF($F319:$F$490,$D318,H319:H$490),0))*'[1]Processer - data'!H318,"")*IF($C318&lt;&gt;"",IF($F318="Halm",Landbrug!C$16*Landbrug!C$17,IF(LEFT($D318,5)="Areal", IF($G318="Ton",Landbrug!C$18,1),1)),1)*IF($F318="Grøntsager",IF($A318="Grøntsager i drivhus",Landbrug!C$51,1-Landbrug!C$51),1)</f>
        <v>#REF!</v>
      </c>
      <c r="I318" s="303" t="e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input'!$A$3:$A$230,$A$1)),IF(VLOOKUP($A318,[1]!Table1[#All],2,FALSE)="Resultat",SUMIF($F$1:$F317,$D318,I$1:I317)+SUMIF($F319:$F$490,$D318,I319:I$490),0))*'[1]Processer - data'!I318,"")*IF($C318&lt;&gt;"",IF($F318="Halm",Landbrug!D$16*Landbrug!D$17,IF(LEFT($D318,5)="Areal", IF($G318="Ton",Landbrug!D$18,1),1)),1)*IF($F318="Grøntsager",IF($A318="Grøntsager i drivhus",Landbrug!D$51,1-Landbrug!D$51),1)</f>
        <v>#REF!</v>
      </c>
      <c r="J318" s="304" t="e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input'!$A$3:$A$230,$A$1)),IF(VLOOKUP($A318,[1]!Table1[#All],2,FALSE)="Resultat",SUMIF($F$1:$F317,$D318,J$1:J317)+SUMIF($F319:$F$490,$D318,J319:J$490),0))*'[1]Processer - data'!J318,"")*IF($C318&lt;&gt;"",IF($F318="Halm",Landbrug!E$16*Landbrug!E$17,IF(LEFT($D318,5)="Areal", IF($G318="Ton",Landbrug!E$18,1),1)),1)*IF($F318="Grøntsager",IF($A318="Grøntsager i drivhus",Landbrug!E$51,1-Landbrug!E$51),1)</f>
        <v>#REF!</v>
      </c>
    </row>
    <row r="319" spans="1:10" x14ac:dyDescent="0.25">
      <c r="A319" t="str">
        <f>IF('[1]Processer - data'!A319&lt;&gt;"",'[1]Processer - data'!A319,"")</f>
        <v>Rapsmark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OC6</v>
      </c>
      <c r="D319" t="str">
        <f>IF('[1]Processer - data'!D319&lt;&gt;"",'[1]Processer - data'!D319,"")</f>
        <v>Areal-raps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CO2 - atmosfære</v>
      </c>
      <c r="G319" t="str">
        <f>IF('[1]Processer - data'!G319&lt;&gt;"",'[1]Processer - data'!G319,"")</f>
        <v>t CO2-ækvivalenter</v>
      </c>
      <c r="H319" s="302" t="e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input'!$A$3:$A$230,$A$1)),IF(VLOOKUP($A319,[1]!Table1[#All],2,FALSE)="Resultat",SUMIF($F$1:$F318,$D319,H$1:H318)+SUMIF($F320:$F$490,$D319,H320:H$490),0))*'[1]Processer - data'!H319,"")*IF($C319&lt;&gt;"",IF($F319="Halm",Landbrug!C$16*Landbrug!C$17,IF(LEFT($D319,5)="Areal", IF($G319="Ton",Landbrug!C$18,1),1)),1)*IF($F319="Grøntsager",IF($A319="Grøntsager i drivhus",Landbrug!C$51,1-Landbrug!C$51),1)</f>
        <v>#REF!</v>
      </c>
      <c r="I319" s="303" t="e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input'!$A$3:$A$230,$A$1)),IF(VLOOKUP($A319,[1]!Table1[#All],2,FALSE)="Resultat",SUMIF($F$1:$F318,$D319,I$1:I318)+SUMIF($F320:$F$490,$D319,I320:I$490),0))*'[1]Processer - data'!I319,"")*IF($C319&lt;&gt;"",IF($F319="Halm",Landbrug!D$16*Landbrug!D$17,IF(LEFT($D319,5)="Areal", IF($G319="Ton",Landbrug!D$18,1),1)),1)*IF($F319="Grøntsager",IF($A319="Grøntsager i drivhus",Landbrug!D$51,1-Landbrug!D$51),1)</f>
        <v>#REF!</v>
      </c>
      <c r="J319" s="304" t="e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input'!$A$3:$A$230,$A$1)),IF(VLOOKUP($A319,[1]!Table1[#All],2,FALSE)="Resultat",SUMIF($F$1:$F318,$D319,J$1:J318)+SUMIF($F320:$F$490,$D319,J320:J$490),0))*'[1]Processer - data'!J319,"")*IF($C319&lt;&gt;"",IF($F319="Halm",Landbrug!E$16*Landbrug!E$17,IF(LEFT($D319,5)="Areal", IF($G319="Ton",Landbrug!E$18,1),1)),1)*IF($F319="Grøntsager",IF($A319="Grøntsager i drivhus",Landbrug!E$51,1-Landbrug!E$51),1)</f>
        <v>#REF!</v>
      </c>
    </row>
    <row r="320" spans="1:10" x14ac:dyDescent="0.25">
      <c r="A320" t="str">
        <f>IF('[1]Processer - data'!A320&lt;&gt;"",'[1]Processer - data'!A320,"")</f>
        <v>Rapsmark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Areal-raps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Raps</v>
      </c>
      <c r="G320" t="str">
        <f>IF('[1]Processer - data'!G320&lt;&gt;"",'[1]Processer - data'!G320,"")</f>
        <v>Ton</v>
      </c>
      <c r="H320" s="302" t="e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input'!$A$3:$A$230,$A$1)),IF(VLOOKUP($A320,[1]!Table1[#All],2,FALSE)="Resultat",SUMIF($F$1:$F319,$D320,H$1:H319)+SUMIF($F321:$F$490,$D320,H321:H$490),0))*'[1]Processer - data'!H320,"")*IF($C320&lt;&gt;"",IF($F320="Halm",Landbrug!C$16*Landbrug!C$17,IF(LEFT($D320,5)="Areal", IF($G320="Ton",Landbrug!C$18,1),1)),1)*IF($F320="Grøntsager",IF($A320="Grøntsager i drivhus",Landbrug!C$51,1-Landbrug!C$51),1)</f>
        <v>#REF!</v>
      </c>
      <c r="I320" s="303" t="e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input'!$A$3:$A$230,$A$1)),IF(VLOOKUP($A320,[1]!Table1[#All],2,FALSE)="Resultat",SUMIF($F$1:$F319,$D320,I$1:I319)+SUMIF($F321:$F$490,$D320,I321:I$490),0))*'[1]Processer - data'!I320,"")*IF($C320&lt;&gt;"",IF($F320="Halm",Landbrug!D$16*Landbrug!D$17,IF(LEFT($D320,5)="Areal", IF($G320="Ton",Landbrug!D$18,1),1)),1)*IF($F320="Grøntsager",IF($A320="Grøntsager i drivhus",Landbrug!D$51,1-Landbrug!D$51),1)</f>
        <v>#REF!</v>
      </c>
      <c r="J320" s="304" t="e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input'!$A$3:$A$230,$A$1)),IF(VLOOKUP($A320,[1]!Table1[#All],2,FALSE)="Resultat",SUMIF($F$1:$F319,$D320,J$1:J319)+SUMIF($F321:$F$490,$D320,J321:J$490),0))*'[1]Processer - data'!J320,"")*IF($C320&lt;&gt;"",IF($F320="Halm",Landbrug!E$16*Landbrug!E$17,IF(LEFT($D320,5)="Areal", IF($G320="Ton",Landbrug!E$18,1),1)),1)*IF($F320="Grøntsager",IF($A320="Grøntsager i drivhus",Landbrug!E$51,1-Landbrug!E$51),1)</f>
        <v>#REF!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Økologisk</v>
      </c>
      <c r="C321" t="str">
        <f>IF('[1]Processer - data'!C321&lt;&gt;"",'[1]Processer - data'!C321,"")</f>
        <v>OC12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Halm</v>
      </c>
      <c r="G321" t="str">
        <f>IF('[1]Processer - data'!G321&lt;&gt;"",'[1]Processer - data'!G321,"")</f>
        <v>Ton</v>
      </c>
      <c r="H321" s="302" t="e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input'!$A$3:$A$230,$A$1)),IF(VLOOKUP($A321,[1]!Table1[#All],2,FALSE)="Resultat",SUMIF($F$1:$F320,$D321,H$1:H320)+SUMIF($F322:$F$490,$D321,H322:H$490),0))*'[1]Processer - data'!H321,"")*IF($C321&lt;&gt;"",IF($F321="Halm",Landbrug!C$16*Landbrug!C$17,IF(LEFT($D321,5)="Areal", IF($G321="Ton",Landbrug!C$18,1),1)),1)*IF($F321="Grøntsager",IF($A321="Grøntsager i drivhus",Landbrug!C$51,1-Landbrug!C$51),1)</f>
        <v>#REF!</v>
      </c>
      <c r="I321" s="303" t="e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input'!$A$3:$A$230,$A$1)),IF(VLOOKUP($A321,[1]!Table1[#All],2,FALSE)="Resultat",SUMIF($F$1:$F320,$D321,I$1:I320)+SUMIF($F322:$F$490,$D321,I322:I$490),0))*'[1]Processer - data'!I321,"")*IF($C321&lt;&gt;"",IF($F321="Halm",Landbrug!D$16*Landbrug!D$17,IF(LEFT($D321,5)="Areal", IF($G321="Ton",Landbrug!D$18,1),1)),1)*IF($F321="Grøntsager",IF($A321="Grøntsager i drivhus",Landbrug!D$51,1-Landbrug!D$51),1)</f>
        <v>#REF!</v>
      </c>
      <c r="J321" s="304" t="e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input'!$A$3:$A$230,$A$1)),IF(VLOOKUP($A321,[1]!Table1[#All],2,FALSE)="Resultat",SUMIF($F$1:$F320,$D321,J$1:J320)+SUMIF($F322:$F$490,$D321,J322:J$490),0))*'[1]Processer - data'!J321,"")*IF($C321&lt;&gt;"",IF($F321="Halm",Landbrug!E$16*Landbrug!E$17,IF(LEFT($D321,5)="Areal", IF($G321="Ton",Landbrug!E$18,1),1)),1)*IF($F321="Grøntsager",IF($A321="Grøntsager i drivhus",Landbrug!E$51,1-Landbrug!E$51),1)</f>
        <v>#REF!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Økologisk</v>
      </c>
      <c r="C322" t="str">
        <f>IF('[1]Processer - data'!C322&lt;&gt;"",'[1]Processer - data'!C322,"")</f>
        <v>OC12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Gødning</v>
      </c>
      <c r="G322" t="str">
        <f>IF('[1]Processer - data'!G322&lt;&gt;"",'[1]Processer - data'!G322,"")</f>
        <v>kg N</v>
      </c>
      <c r="H322" s="302" t="e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input'!$A$3:$A$230,$A$1)),IF(VLOOKUP($A322,[1]!Table1[#All],2,FALSE)="Resultat",SUMIF($F$1:$F321,$D322,H$1:H321)+SUMIF($F323:$F$490,$D322,H323:H$490),0))*'[1]Processer - data'!H322,"")*IF($C322&lt;&gt;"",IF($F322="Halm",Landbrug!C$16*Landbrug!C$17,IF(LEFT($D322,5)="Areal", IF($G322="Ton",Landbrug!C$18,1),1)),1)*IF($F322="Grøntsager",IF($A322="Grøntsager i drivhus",Landbrug!C$51,1-Landbrug!C$51),1)</f>
        <v>#REF!</v>
      </c>
      <c r="I322" s="303" t="e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input'!$A$3:$A$230,$A$1)),IF(VLOOKUP($A322,[1]!Table1[#All],2,FALSE)="Resultat",SUMIF($F$1:$F321,$D322,I$1:I321)+SUMIF($F323:$F$490,$D322,I323:I$490),0))*'[1]Processer - data'!I322,"")*IF($C322&lt;&gt;"",IF($F322="Halm",Landbrug!D$16*Landbrug!D$17,IF(LEFT($D322,5)="Areal", IF($G322="Ton",Landbrug!D$18,1),1)),1)*IF($F322="Grøntsager",IF($A322="Grøntsager i drivhus",Landbrug!D$51,1-Landbrug!D$51),1)</f>
        <v>#REF!</v>
      </c>
      <c r="J322" s="304" t="e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input'!$A$3:$A$230,$A$1)),IF(VLOOKUP($A322,[1]!Table1[#All],2,FALSE)="Resultat",SUMIF($F$1:$F321,$D322,J$1:J321)+SUMIF($F323:$F$490,$D322,J323:J$490),0))*'[1]Processer - data'!J322,"")*IF($C322&lt;&gt;"",IF($F322="Halm",Landbrug!E$16*Landbrug!E$17,IF(LEFT($D322,5)="Areal", IF($G322="Ton",Landbrug!E$18,1),1)),1)*IF($F322="Grøntsager",IF($A322="Grøntsager i drivhus",Landbrug!E$51,1-Landbrug!E$51),1)</f>
        <v>#REF!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Økologisk</v>
      </c>
      <c r="C323" t="str">
        <f>IF('[1]Processer - data'!C323&lt;&gt;"",'[1]Processer - data'!C323,"")</f>
        <v>OC12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CO2 - atmosfære</v>
      </c>
      <c r="G323" t="str">
        <f>IF('[1]Processer - data'!G323&lt;&gt;"",'[1]Processer - data'!G323,"")</f>
        <v>t CO2-ækvivalenter</v>
      </c>
      <c r="H323" s="302" t="e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input'!$A$3:$A$230,$A$1)),IF(VLOOKUP($A323,[1]!Table1[#All],2,FALSE)="Resultat",SUMIF($F$1:$F322,$D323,H$1:H322)+SUMIF($F324:$F$490,$D323,H324:H$490),0))*'[1]Processer - data'!H323,"")*IF($C323&lt;&gt;"",IF($F323="Halm",Landbrug!C$16*Landbrug!C$17,IF(LEFT($D323,5)="Areal", IF($G323="Ton",Landbrug!C$18,1),1)),1)*IF($F323="Grøntsager",IF($A323="Grøntsager i drivhus",Landbrug!C$51,1-Landbrug!C$51),1)</f>
        <v>#REF!</v>
      </c>
      <c r="I323" s="303" t="e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input'!$A$3:$A$230,$A$1)),IF(VLOOKUP($A323,[1]!Table1[#All],2,FALSE)="Resultat",SUMIF($F$1:$F322,$D323,I$1:I322)+SUMIF($F324:$F$490,$D323,I324:I$490),0))*'[1]Processer - data'!I323,"")*IF($C323&lt;&gt;"",IF($F323="Halm",Landbrug!D$16*Landbrug!D$17,IF(LEFT($D323,5)="Areal", IF($G323="Ton",Landbrug!D$18,1),1)),1)*IF($F323="Grøntsager",IF($A323="Grøntsager i drivhus",Landbrug!D$51,1-Landbrug!D$51),1)</f>
        <v>#REF!</v>
      </c>
      <c r="J323" s="304" t="e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input'!$A$3:$A$230,$A$1)),IF(VLOOKUP($A323,[1]!Table1[#All],2,FALSE)="Resultat",SUMIF($F$1:$F322,$D323,J$1:J322)+SUMIF($F324:$F$490,$D323,J324:J$490),0))*'[1]Processer - data'!J323,"")*IF($C323&lt;&gt;"",IF($F323="Halm",Landbrug!E$16*Landbrug!E$17,IF(LEFT($D323,5)="Areal", IF($G323="Ton",Landbrug!E$18,1),1)),1)*IF($F323="Grøntsager",IF($A323="Grøntsager i drivhus",Landbrug!E$51,1-Landbrug!E$51),1)</f>
        <v>#REF!</v>
      </c>
    </row>
    <row r="324" spans="1:10" x14ac:dyDescent="0.25">
      <c r="A324" t="str">
        <f>IF('[1]Processer - data'!A324&lt;&gt;"",'[1]Processer - data'!A324,"")</f>
        <v>Frøgræsmark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Areal-frøgræs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Frø</v>
      </c>
      <c r="G324" t="str">
        <f>IF('[1]Processer - data'!G324&lt;&gt;"",'[1]Processer - data'!G324,"")</f>
        <v>Ton</v>
      </c>
      <c r="H324" s="302" t="e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input'!$A$3:$A$230,$A$1)),IF(VLOOKUP($A324,[1]!Table1[#All],2,FALSE)="Resultat",SUMIF($F$1:$F323,$D324,H$1:H323)+SUMIF($F325:$F$490,$D324,H325:H$490),0))*'[1]Processer - data'!H324,"")*IF($C324&lt;&gt;"",IF($F324="Halm",Landbrug!C$16*Landbrug!C$17,IF(LEFT($D324,5)="Areal", IF($G324="Ton",Landbrug!C$18,1),1)),1)*IF($F324="Grøntsager",IF($A324="Grøntsager i drivhus",Landbrug!C$51,1-Landbrug!C$51),1)</f>
        <v>#REF!</v>
      </c>
      <c r="I324" s="303" t="e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input'!$A$3:$A$230,$A$1)),IF(VLOOKUP($A324,[1]!Table1[#All],2,FALSE)="Resultat",SUMIF($F$1:$F323,$D324,I$1:I323)+SUMIF($F325:$F$490,$D324,I325:I$490),0))*'[1]Processer - data'!I324,"")*IF($C324&lt;&gt;"",IF($F324="Halm",Landbrug!D$16*Landbrug!D$17,IF(LEFT($D324,5)="Areal", IF($G324="Ton",Landbrug!D$18,1),1)),1)*IF($F324="Grøntsager",IF($A324="Grøntsager i drivhus",Landbrug!D$51,1-Landbrug!D$51),1)</f>
        <v>#REF!</v>
      </c>
      <c r="J324" s="304" t="e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input'!$A$3:$A$230,$A$1)),IF(VLOOKUP($A324,[1]!Table1[#All],2,FALSE)="Resultat",SUMIF($F$1:$F323,$D324,J$1:J323)+SUMIF($F325:$F$490,$D324,J325:J$490),0))*'[1]Processer - data'!J324,"")*IF($C324&lt;&gt;"",IF($F324="Halm",Landbrug!E$16*Landbrug!E$17,IF(LEFT($D324,5)="Areal", IF($G324="Ton",Landbrug!E$18,1),1)),1)*IF($F324="Grøntsager",IF($A324="Grøntsager i drivhus",Landbrug!E$51,1-Landbrug!E$51),1)</f>
        <v>#REF!</v>
      </c>
    </row>
    <row r="325" spans="1:10" x14ac:dyDescent="0.25">
      <c r="A325" t="str">
        <f>IF('[1]Processer - data'!A325&lt;&gt;"",'[1]Processer - data'!A325,"")</f>
        <v>Frøgræsmark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JB1-10</v>
      </c>
      <c r="D325" t="str">
        <f>IF('[1]Processer - data'!D325&lt;&gt;"",'[1]Processer - data'!D325,"")</f>
        <v>Areal-frøgræs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Halm</v>
      </c>
      <c r="G325" t="str">
        <f>IF('[1]Processer - data'!G325&lt;&gt;"",'[1]Processer - data'!G325,"")</f>
        <v>Ton</v>
      </c>
      <c r="H325" s="302" t="e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input'!$A$3:$A$230,$A$1)),IF(VLOOKUP($A325,[1]!Table1[#All],2,FALSE)="Resultat",SUMIF($F$1:$F324,$D325,H$1:H324)+SUMIF($F326:$F$490,$D325,H326:H$490),0))*'[1]Processer - data'!H325,"")*IF($C325&lt;&gt;"",IF($F325="Halm",Landbrug!C$16*Landbrug!C$17,IF(LEFT($D325,5)="Areal", IF($G325="Ton",Landbrug!C$18,1),1)),1)*IF($F325="Grøntsager",IF($A325="Grøntsager i drivhus",Landbrug!C$51,1-Landbrug!C$51),1)</f>
        <v>#REF!</v>
      </c>
      <c r="I325" s="303" t="e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input'!$A$3:$A$230,$A$1)),IF(VLOOKUP($A325,[1]!Table1[#All],2,FALSE)="Resultat",SUMIF($F$1:$F324,$D325,I$1:I324)+SUMIF($F326:$F$490,$D325,I326:I$490),0))*'[1]Processer - data'!I325,"")*IF($C325&lt;&gt;"",IF($F325="Halm",Landbrug!D$16*Landbrug!D$17,IF(LEFT($D325,5)="Areal", IF($G325="Ton",Landbrug!D$18,1),1)),1)*IF($F325="Grøntsager",IF($A325="Grøntsager i drivhus",Landbrug!D$51,1-Landbrug!D$51),1)</f>
        <v>#REF!</v>
      </c>
      <c r="J325" s="304" t="e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input'!$A$3:$A$230,$A$1)),IF(VLOOKUP($A325,[1]!Table1[#All],2,FALSE)="Resultat",SUMIF($F$1:$F324,$D325,J$1:J324)+SUMIF($F326:$F$490,$D325,J326:J$490),0))*'[1]Processer - data'!J325,"")*IF($C325&lt;&gt;"",IF($F325="Halm",Landbrug!E$16*Landbrug!E$17,IF(LEFT($D325,5)="Areal", IF($G325="Ton",Landbrug!E$18,1),1)),1)*IF($F325="Grøntsager",IF($A325="Grøntsager i drivhus",Landbrug!E$51,1-Landbrug!E$51),1)</f>
        <v>#REF!</v>
      </c>
    </row>
    <row r="326" spans="1:10" x14ac:dyDescent="0.25">
      <c r="A326" t="str">
        <f>IF('[1]Processer - data'!A326&lt;&gt;"",'[1]Processer - data'!A326,"")</f>
        <v>Frøgræsmark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JB1-10</v>
      </c>
      <c r="D326" t="str">
        <f>IF('[1]Processer - data'!D326&lt;&gt;"",'[1]Processer - data'!D326,"")</f>
        <v>Areal-frøgræs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Gødning</v>
      </c>
      <c r="G326" t="str">
        <f>IF('[1]Processer - data'!G326&lt;&gt;"",'[1]Processer - data'!G326,"")</f>
        <v>kg N</v>
      </c>
      <c r="H326" s="302" t="e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input'!$A$3:$A$230,$A$1)),IF(VLOOKUP($A326,[1]!Table1[#All],2,FALSE)="Resultat",SUMIF($F$1:$F325,$D326,H$1:H325)+SUMIF($F327:$F$490,$D326,H327:H$490),0))*'[1]Processer - data'!H326,"")*IF($C326&lt;&gt;"",IF($F326="Halm",Landbrug!C$16*Landbrug!C$17,IF(LEFT($D326,5)="Areal", IF($G326="Ton",Landbrug!C$18,1),1)),1)*IF($F326="Grøntsager",IF($A326="Grøntsager i drivhus",Landbrug!C$51,1-Landbrug!C$51),1)</f>
        <v>#REF!</v>
      </c>
      <c r="I326" s="303" t="e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input'!$A$3:$A$230,$A$1)),IF(VLOOKUP($A326,[1]!Table1[#All],2,FALSE)="Resultat",SUMIF($F$1:$F325,$D326,I$1:I325)+SUMIF($F327:$F$490,$D326,I327:I$490),0))*'[1]Processer - data'!I326,"")*IF($C326&lt;&gt;"",IF($F326="Halm",Landbrug!D$16*Landbrug!D$17,IF(LEFT($D326,5)="Areal", IF($G326="Ton",Landbrug!D$18,1),1)),1)*IF($F326="Grøntsager",IF($A326="Grøntsager i drivhus",Landbrug!D$51,1-Landbrug!D$51),1)</f>
        <v>#REF!</v>
      </c>
      <c r="J326" s="304" t="e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input'!$A$3:$A$230,$A$1)),IF(VLOOKUP($A326,[1]!Table1[#All],2,FALSE)="Resultat",SUMIF($F$1:$F325,$D326,J$1:J325)+SUMIF($F327:$F$490,$D326,J327:J$490),0))*'[1]Processer - data'!J326,"")*IF($C326&lt;&gt;"",IF($F326="Halm",Landbrug!E$16*Landbrug!E$17,IF(LEFT($D326,5)="Areal", IF($G326="Ton",Landbrug!E$18,1),1)),1)*IF($F326="Grøntsager",IF($A326="Grøntsager i drivhus",Landbrug!E$51,1-Landbrug!E$51),1)</f>
        <v>#REF!</v>
      </c>
    </row>
    <row r="327" spans="1:10" x14ac:dyDescent="0.25">
      <c r="A327" t="str">
        <f>IF('[1]Processer - data'!A327&lt;&gt;"",'[1]Processer - data'!A327,"")</f>
        <v>Frøgræsmark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JB1-10</v>
      </c>
      <c r="D327" t="str">
        <f>IF('[1]Processer - data'!D327&lt;&gt;"",'[1]Processer - data'!D327,"")</f>
        <v>Areal-frøgræs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CO2 - atmosfære</v>
      </c>
      <c r="G327" t="str">
        <f>IF('[1]Processer - data'!G327&lt;&gt;"",'[1]Processer - data'!G327,"")</f>
        <v>t CO2-ækvivalenter</v>
      </c>
      <c r="H327" s="302" t="e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input'!$A$3:$A$230,$A$1)),IF(VLOOKUP($A327,[1]!Table1[#All],2,FALSE)="Resultat",SUMIF($F$1:$F326,$D327,H$1:H326)+SUMIF($F328:$F$490,$D327,H328:H$490),0))*'[1]Processer - data'!H327,"")*IF($C327&lt;&gt;"",IF($F327="Halm",Landbrug!C$16*Landbrug!C$17,IF(LEFT($D327,5)="Areal", IF($G327="Ton",Landbrug!C$18,1),1)),1)*IF($F327="Grøntsager",IF($A327="Grøntsager i drivhus",Landbrug!C$51,1-Landbrug!C$51),1)</f>
        <v>#REF!</v>
      </c>
      <c r="I327" s="303" t="e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input'!$A$3:$A$230,$A$1)),IF(VLOOKUP($A327,[1]!Table1[#All],2,FALSE)="Resultat",SUMIF($F$1:$F326,$D327,I$1:I326)+SUMIF($F328:$F$490,$D327,I328:I$490),0))*'[1]Processer - data'!I327,"")*IF($C327&lt;&gt;"",IF($F327="Halm",Landbrug!D$16*Landbrug!D$17,IF(LEFT($D327,5)="Areal", IF($G327="Ton",Landbrug!D$18,1),1)),1)*IF($F327="Grøntsager",IF($A327="Grøntsager i drivhus",Landbrug!D$51,1-Landbrug!D$51),1)</f>
        <v>#REF!</v>
      </c>
      <c r="J327" s="304" t="e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input'!$A$3:$A$230,$A$1)),IF(VLOOKUP($A327,[1]!Table1[#All],2,FALSE)="Resultat",SUMIF($F$1:$F326,$D327,J$1:J326)+SUMIF($F328:$F$490,$D327,J328:J$490),0))*'[1]Processer - data'!J327,"")*IF($C327&lt;&gt;"",IF($F327="Halm",Landbrug!E$16*Landbrug!E$17,IF(LEFT($D327,5)="Areal", IF($G327="Ton",Landbrug!E$18,1),1)),1)*IF($F327="Grøntsager",IF($A327="Grøntsager i drivhus",Landbrug!E$51,1-Landbrug!E$51),1)</f>
        <v>#REF!</v>
      </c>
    </row>
    <row r="328" spans="1:10" x14ac:dyDescent="0.25">
      <c r="A328" t="str">
        <f>IF('[1]Processer - data'!A328&lt;&gt;"",'[1]Processer - data'!A328,"")</f>
        <v>Frøgræsmark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Areal-frøgræs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Frø</v>
      </c>
      <c r="G328" t="str">
        <f>IF('[1]Processer - data'!G328&lt;&gt;"",'[1]Processer - data'!G328,"")</f>
        <v>Ton</v>
      </c>
      <c r="H328" s="302" t="e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input'!$A$3:$A$230,$A$1)),IF(VLOOKUP($A328,[1]!Table1[#All],2,FALSE)="Resultat",SUMIF($F$1:$F327,$D328,H$1:H327)+SUMIF($F329:$F$490,$D328,H329:H$490),0))*'[1]Processer - data'!H328,"")*IF($C328&lt;&gt;"",IF($F328="Halm",Landbrug!C$16*Landbrug!C$17,IF(LEFT($D328,5)="Areal", IF($G328="Ton",Landbrug!C$18,1),1)),1)*IF($F328="Grøntsager",IF($A328="Grøntsager i drivhus",Landbrug!C$51,1-Landbrug!C$51),1)</f>
        <v>#REF!</v>
      </c>
      <c r="I328" s="303" t="e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input'!$A$3:$A$230,$A$1)),IF(VLOOKUP($A328,[1]!Table1[#All],2,FALSE)="Resultat",SUMIF($F$1:$F327,$D328,I$1:I327)+SUMIF($F329:$F$490,$D328,I329:I$490),0))*'[1]Processer - data'!I328,"")*IF($C328&lt;&gt;"",IF($F328="Halm",Landbrug!D$16*Landbrug!D$17,IF(LEFT($D328,5)="Areal", IF($G328="Ton",Landbrug!D$18,1),1)),1)*IF($F328="Grøntsager",IF($A328="Grøntsager i drivhus",Landbrug!D$51,1-Landbrug!D$51),1)</f>
        <v>#REF!</v>
      </c>
      <c r="J328" s="304" t="e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input'!$A$3:$A$230,$A$1)),IF(VLOOKUP($A328,[1]!Table1[#All],2,FALSE)="Resultat",SUMIF($F$1:$F327,$D328,J$1:J327)+SUMIF($F329:$F$490,$D328,J329:J$490),0))*'[1]Processer - data'!J328,"")*IF($C328&lt;&gt;"",IF($F328="Halm",Landbrug!E$16*Landbrug!E$17,IF(LEFT($D328,5)="Areal", IF($G328="Ton",Landbrug!E$18,1),1)),1)*IF($F328="Grøntsager",IF($A328="Grøntsager i drivhus",Landbrug!E$51,1-Landbrug!E$51),1)</f>
        <v>#REF!</v>
      </c>
    </row>
    <row r="329" spans="1:10" x14ac:dyDescent="0.25">
      <c r="A329" t="str">
        <f>IF('[1]Processer - data'!A329&lt;&gt;"",'[1]Processer - data'!A329,"")</f>
        <v>Frøgræsmark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OC6</v>
      </c>
      <c r="D329" t="str">
        <f>IF('[1]Processer - data'!D329&lt;&gt;"",'[1]Processer - data'!D329,"")</f>
        <v>Areal-frøgræs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Halm</v>
      </c>
      <c r="G329" t="str">
        <f>IF('[1]Processer - data'!G329&lt;&gt;"",'[1]Processer - data'!G329,"")</f>
        <v>Ton</v>
      </c>
      <c r="H329" s="302" t="e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input'!$A$3:$A$230,$A$1)),IF(VLOOKUP($A329,[1]!Table1[#All],2,FALSE)="Resultat",SUMIF($F$1:$F328,$D329,H$1:H328)+SUMIF($F330:$F$490,$D329,H330:H$490),0))*'[1]Processer - data'!H329,"")*IF($C329&lt;&gt;"",IF($F329="Halm",Landbrug!C$16*Landbrug!C$17,IF(LEFT($D329,5)="Areal", IF($G329="Ton",Landbrug!C$18,1),1)),1)*IF($F329="Grøntsager",IF($A329="Grøntsager i drivhus",Landbrug!C$51,1-Landbrug!C$51),1)</f>
        <v>#REF!</v>
      </c>
      <c r="I329" s="303" t="e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input'!$A$3:$A$230,$A$1)),IF(VLOOKUP($A329,[1]!Table1[#All],2,FALSE)="Resultat",SUMIF($F$1:$F328,$D329,I$1:I328)+SUMIF($F330:$F$490,$D329,I330:I$490),0))*'[1]Processer - data'!I329,"")*IF($C329&lt;&gt;"",IF($F329="Halm",Landbrug!D$16*Landbrug!D$17,IF(LEFT($D329,5)="Areal", IF($G329="Ton",Landbrug!D$18,1),1)),1)*IF($F329="Grøntsager",IF($A329="Grøntsager i drivhus",Landbrug!D$51,1-Landbrug!D$51),1)</f>
        <v>#REF!</v>
      </c>
      <c r="J329" s="304" t="e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input'!$A$3:$A$230,$A$1)),IF(VLOOKUP($A329,[1]!Table1[#All],2,FALSE)="Resultat",SUMIF($F$1:$F328,$D329,J$1:J328)+SUMIF($F330:$F$490,$D329,J330:J$490),0))*'[1]Processer - data'!J329,"")*IF($C329&lt;&gt;"",IF($F329="Halm",Landbrug!E$16*Landbrug!E$17,IF(LEFT($D329,5)="Areal", IF($G329="Ton",Landbrug!E$18,1),1)),1)*IF($F329="Grøntsager",IF($A329="Grøntsager i drivhus",Landbrug!E$51,1-Landbrug!E$51),1)</f>
        <v>#REF!</v>
      </c>
    </row>
    <row r="330" spans="1:10" x14ac:dyDescent="0.25">
      <c r="A330" t="str">
        <f>IF('[1]Processer - data'!A330&lt;&gt;"",'[1]Processer - data'!A330,"")</f>
        <v>Frøgræsmark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OC6</v>
      </c>
      <c r="D330" t="str">
        <f>IF('[1]Processer - data'!D330&lt;&gt;"",'[1]Processer - data'!D330,"")</f>
        <v>Areal-frøgræs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Gødning</v>
      </c>
      <c r="G330" t="str">
        <f>IF('[1]Processer - data'!G330&lt;&gt;"",'[1]Processer - data'!G330,"")</f>
        <v>kg N</v>
      </c>
      <c r="H330" s="302" t="e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input'!$A$3:$A$230,$A$1)),IF(VLOOKUP($A330,[1]!Table1[#All],2,FALSE)="Resultat",SUMIF($F$1:$F329,$D330,H$1:H329)+SUMIF($F331:$F$490,$D330,H331:H$490),0))*'[1]Processer - data'!H330,"")*IF($C330&lt;&gt;"",IF($F330="Halm",Landbrug!C$16*Landbrug!C$17,IF(LEFT($D330,5)="Areal", IF($G330="Ton",Landbrug!C$18,1),1)),1)*IF($F330="Grøntsager",IF($A330="Grøntsager i drivhus",Landbrug!C$51,1-Landbrug!C$51),1)</f>
        <v>#REF!</v>
      </c>
      <c r="I330" s="303" t="e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input'!$A$3:$A$230,$A$1)),IF(VLOOKUP($A330,[1]!Table1[#All],2,FALSE)="Resultat",SUMIF($F$1:$F329,$D330,I$1:I329)+SUMIF($F331:$F$490,$D330,I331:I$490),0))*'[1]Processer - data'!I330,"")*IF($C330&lt;&gt;"",IF($F330="Halm",Landbrug!D$16*Landbrug!D$17,IF(LEFT($D330,5)="Areal", IF($G330="Ton",Landbrug!D$18,1),1)),1)*IF($F330="Grøntsager",IF($A330="Grøntsager i drivhus",Landbrug!D$51,1-Landbrug!D$51),1)</f>
        <v>#REF!</v>
      </c>
      <c r="J330" s="304" t="e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input'!$A$3:$A$230,$A$1)),IF(VLOOKUP($A330,[1]!Table1[#All],2,FALSE)="Resultat",SUMIF($F$1:$F329,$D330,J$1:J329)+SUMIF($F331:$F$490,$D330,J331:J$490),0))*'[1]Processer - data'!J330,"")*IF($C330&lt;&gt;"",IF($F330="Halm",Landbrug!E$16*Landbrug!E$17,IF(LEFT($D330,5)="Areal", IF($G330="Ton",Landbrug!E$18,1),1)),1)*IF($F330="Grøntsager",IF($A330="Grøntsager i drivhus",Landbrug!E$51,1-Landbrug!E$51),1)</f>
        <v>#REF!</v>
      </c>
    </row>
    <row r="331" spans="1:10" x14ac:dyDescent="0.25">
      <c r="A331" t="str">
        <f>IF('[1]Processer - data'!A331&lt;&gt;"",'[1]Processer - data'!A331,"")</f>
        <v>Frøgræsmark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OC6</v>
      </c>
      <c r="D331" t="str">
        <f>IF('[1]Processer - data'!D331&lt;&gt;"",'[1]Processer - data'!D331,"")</f>
        <v>Areal-frøgræs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CO2 - atmosfære</v>
      </c>
      <c r="G331" t="str">
        <f>IF('[1]Processer - data'!G331&lt;&gt;"",'[1]Processer - data'!G331,"")</f>
        <v>t CO2-ækvivalenter</v>
      </c>
      <c r="H331" s="302" t="e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input'!$A$3:$A$230,$A$1)),IF(VLOOKUP($A331,[1]!Table1[#All],2,FALSE)="Resultat",SUMIF($F$1:$F330,$D331,H$1:H330)+SUMIF($F332:$F$490,$D331,H332:H$490),0))*'[1]Processer - data'!H331,"")*IF($C331&lt;&gt;"",IF($F331="Halm",Landbrug!C$16*Landbrug!C$17,IF(LEFT($D331,5)="Areal", IF($G331="Ton",Landbrug!C$18,1),1)),1)*IF($F331="Grøntsager",IF($A331="Grøntsager i drivhus",Landbrug!C$51,1-Landbrug!C$51),1)</f>
        <v>#REF!</v>
      </c>
      <c r="I331" s="303" t="e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input'!$A$3:$A$230,$A$1)),IF(VLOOKUP($A331,[1]!Table1[#All],2,FALSE)="Resultat",SUMIF($F$1:$F330,$D331,I$1:I330)+SUMIF($F332:$F$490,$D331,I332:I$490),0))*'[1]Processer - data'!I331,"")*IF($C331&lt;&gt;"",IF($F331="Halm",Landbrug!D$16*Landbrug!D$17,IF(LEFT($D331,5)="Areal", IF($G331="Ton",Landbrug!D$18,1),1)),1)*IF($F331="Grøntsager",IF($A331="Grøntsager i drivhus",Landbrug!D$51,1-Landbrug!D$51),1)</f>
        <v>#REF!</v>
      </c>
      <c r="J331" s="304" t="e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input'!$A$3:$A$230,$A$1)),IF(VLOOKUP($A331,[1]!Table1[#All],2,FALSE)="Resultat",SUMIF($F$1:$F330,$D331,J$1:J330)+SUMIF($F332:$F$490,$D331,J332:J$490),0))*'[1]Processer - data'!J331,"")*IF($C331&lt;&gt;"",IF($F331="Halm",Landbrug!E$16*Landbrug!E$17,IF(LEFT($D331,5)="Areal", IF($G331="Ton",Landbrug!E$18,1),1)),1)*IF($F331="Grøntsager",IF($A331="Grøntsager i drivhus",Landbrug!E$51,1-Landbrug!E$51),1)</f>
        <v>#REF!</v>
      </c>
    </row>
    <row r="332" spans="1:10" x14ac:dyDescent="0.25">
      <c r="A332" t="str">
        <f>IF('[1]Processer - data'!A332&lt;&gt;"",'[1]Processer - data'!A332,"")</f>
        <v>Frøgræsmark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Areal-frøgræs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Frø</v>
      </c>
      <c r="G332" t="str">
        <f>IF('[1]Processer - data'!G332&lt;&gt;"",'[1]Processer - data'!G332,"")</f>
        <v>Ton</v>
      </c>
      <c r="H332" s="302" t="e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input'!$A$3:$A$230,$A$1)),IF(VLOOKUP($A332,[1]!Table1[#All],2,FALSE)="Resultat",SUMIF($F$1:$F331,$D332,H$1:H331)+SUMIF($F333:$F$490,$D332,H333:H$490),0))*'[1]Processer - data'!H332,"")*IF($C332&lt;&gt;"",IF($F332="Halm",Landbrug!C$16*Landbrug!C$17,IF(LEFT($D332,5)="Areal", IF($G332="Ton",Landbrug!C$18,1),1)),1)*IF($F332="Grøntsager",IF($A332="Grøntsager i drivhus",Landbrug!C$51,1-Landbrug!C$51),1)</f>
        <v>#REF!</v>
      </c>
      <c r="I332" s="303" t="e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input'!$A$3:$A$230,$A$1)),IF(VLOOKUP($A332,[1]!Table1[#All],2,FALSE)="Resultat",SUMIF($F$1:$F331,$D332,I$1:I331)+SUMIF($F333:$F$490,$D332,I333:I$490),0))*'[1]Processer - data'!I332,"")*IF($C332&lt;&gt;"",IF($F332="Halm",Landbrug!D$16*Landbrug!D$17,IF(LEFT($D332,5)="Areal", IF($G332="Ton",Landbrug!D$18,1),1)),1)*IF($F332="Grøntsager",IF($A332="Grøntsager i drivhus",Landbrug!D$51,1-Landbrug!D$51),1)</f>
        <v>#REF!</v>
      </c>
      <c r="J332" s="304" t="e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input'!$A$3:$A$230,$A$1)),IF(VLOOKUP($A332,[1]!Table1[#All],2,FALSE)="Resultat",SUMIF($F$1:$F331,$D332,J$1:J331)+SUMIF($F333:$F$490,$D332,J333:J$490),0))*'[1]Processer - data'!J332,"")*IF($C332&lt;&gt;"",IF($F332="Halm",Landbrug!E$16*Landbrug!E$17,IF(LEFT($D332,5)="Areal", IF($G332="Ton",Landbrug!E$18,1),1)),1)*IF($F332="Grøntsager",IF($A332="Grøntsager i drivhus",Landbrug!E$51,1-Landbrug!E$51),1)</f>
        <v>#REF!</v>
      </c>
    </row>
    <row r="333" spans="1:10" x14ac:dyDescent="0.25">
      <c r="A333" t="str">
        <f>IF('[1]Processer - data'!A333&lt;&gt;"",'[1]Processer - data'!A333,"")</f>
        <v>Frøgræsmark</v>
      </c>
      <c r="B333" t="str">
        <f>IF('[1]Processer - data'!B333&lt;&gt;"",'[1]Processer - data'!B333,"")</f>
        <v>Konventionel</v>
      </c>
      <c r="C333" t="str">
        <f>IF('[1]Processer - data'!C333&lt;&gt;"",'[1]Processer - data'!C333,"")</f>
        <v>OC12</v>
      </c>
      <c r="D333" t="str">
        <f>IF('[1]Processer - data'!D333&lt;&gt;"",'[1]Processer - data'!D333,"")</f>
        <v>Areal-frøgræs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Halm</v>
      </c>
      <c r="G333" t="str">
        <f>IF('[1]Processer - data'!G333&lt;&gt;"",'[1]Processer - data'!G333,"")</f>
        <v>Ton</v>
      </c>
      <c r="H333" s="302" t="e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input'!$A$3:$A$230,$A$1)),IF(VLOOKUP($A333,[1]!Table1[#All],2,FALSE)="Resultat",SUMIF($F$1:$F332,$D333,H$1:H332)+SUMIF($F334:$F$490,$D333,H334:H$490),0))*'[1]Processer - data'!H333,"")*IF($C333&lt;&gt;"",IF($F333="Halm",Landbrug!C$16*Landbrug!C$17,IF(LEFT($D333,5)="Areal", IF($G333="Ton",Landbrug!C$18,1),1)),1)*IF($F333="Grøntsager",IF($A333="Grøntsager i drivhus",Landbrug!C$51,1-Landbrug!C$51),1)</f>
        <v>#REF!</v>
      </c>
      <c r="I333" s="303" t="e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input'!$A$3:$A$230,$A$1)),IF(VLOOKUP($A333,[1]!Table1[#All],2,FALSE)="Resultat",SUMIF($F$1:$F332,$D333,I$1:I332)+SUMIF($F334:$F$490,$D333,I334:I$490),0))*'[1]Processer - data'!I333,"")*IF($C333&lt;&gt;"",IF($F333="Halm",Landbrug!D$16*Landbrug!D$17,IF(LEFT($D333,5)="Areal", IF($G333="Ton",Landbrug!D$18,1),1)),1)*IF($F333="Grøntsager",IF($A333="Grøntsager i drivhus",Landbrug!D$51,1-Landbrug!D$51),1)</f>
        <v>#REF!</v>
      </c>
      <c r="J333" s="304" t="e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input'!$A$3:$A$230,$A$1)),IF(VLOOKUP($A333,[1]!Table1[#All],2,FALSE)="Resultat",SUMIF($F$1:$F332,$D333,J$1:J332)+SUMIF($F334:$F$490,$D333,J334:J$490),0))*'[1]Processer - data'!J333,"")*IF($C333&lt;&gt;"",IF($F333="Halm",Landbrug!E$16*Landbrug!E$17,IF(LEFT($D333,5)="Areal", IF($G333="Ton",Landbrug!E$18,1),1)),1)*IF($F333="Grøntsager",IF($A333="Grøntsager i drivhus",Landbrug!E$51,1-Landbrug!E$51),1)</f>
        <v>#REF!</v>
      </c>
    </row>
    <row r="334" spans="1:10" x14ac:dyDescent="0.25">
      <c r="A334" t="str">
        <f>IF('[1]Processer - data'!A334&lt;&gt;"",'[1]Processer - data'!A334,"")</f>
        <v>Frøgræsmark</v>
      </c>
      <c r="B334" t="str">
        <f>IF('[1]Processer - data'!B334&lt;&gt;"",'[1]Processer - data'!B334,"")</f>
        <v>Konventionel</v>
      </c>
      <c r="C334" t="str">
        <f>IF('[1]Processer - data'!C334&lt;&gt;"",'[1]Processer - data'!C334,"")</f>
        <v>OC12</v>
      </c>
      <c r="D334" t="str">
        <f>IF('[1]Processer - data'!D334&lt;&gt;"",'[1]Processer - data'!D334,"")</f>
        <v>Areal-frøgræs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Gødning</v>
      </c>
      <c r="G334" t="str">
        <f>IF('[1]Processer - data'!G334&lt;&gt;"",'[1]Processer - data'!G334,"")</f>
        <v>kg N</v>
      </c>
      <c r="H334" s="302" t="e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input'!$A$3:$A$230,$A$1)),IF(VLOOKUP($A334,[1]!Table1[#All],2,FALSE)="Resultat",SUMIF($F$1:$F333,$D334,H$1:H333)+SUMIF($F335:$F$490,$D334,H335:H$490),0))*'[1]Processer - data'!H334,"")*IF($C334&lt;&gt;"",IF($F334="Halm",Landbrug!C$16*Landbrug!C$17,IF(LEFT($D334,5)="Areal", IF($G334="Ton",Landbrug!C$18,1),1)),1)*IF($F334="Grøntsager",IF($A334="Grøntsager i drivhus",Landbrug!C$51,1-Landbrug!C$51),1)</f>
        <v>#REF!</v>
      </c>
      <c r="I334" s="303" t="e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input'!$A$3:$A$230,$A$1)),IF(VLOOKUP($A334,[1]!Table1[#All],2,FALSE)="Resultat",SUMIF($F$1:$F333,$D334,I$1:I333)+SUMIF($F335:$F$490,$D334,I335:I$490),0))*'[1]Processer - data'!I334,"")*IF($C334&lt;&gt;"",IF($F334="Halm",Landbrug!D$16*Landbrug!D$17,IF(LEFT($D334,5)="Areal", IF($G334="Ton",Landbrug!D$18,1),1)),1)*IF($F334="Grøntsager",IF($A334="Grøntsager i drivhus",Landbrug!D$51,1-Landbrug!D$51),1)</f>
        <v>#REF!</v>
      </c>
      <c r="J334" s="304" t="e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input'!$A$3:$A$230,$A$1)),IF(VLOOKUP($A334,[1]!Table1[#All],2,FALSE)="Resultat",SUMIF($F$1:$F333,$D334,J$1:J333)+SUMIF($F335:$F$490,$D334,J335:J$490),0))*'[1]Processer - data'!J334,"")*IF($C334&lt;&gt;"",IF($F334="Halm",Landbrug!E$16*Landbrug!E$17,IF(LEFT($D334,5)="Areal", IF($G334="Ton",Landbrug!E$18,1),1)),1)*IF($F334="Grøntsager",IF($A334="Grøntsager i drivhus",Landbrug!E$51,1-Landbrug!E$51),1)</f>
        <v>#REF!</v>
      </c>
    </row>
    <row r="335" spans="1:10" x14ac:dyDescent="0.25">
      <c r="A335" t="str">
        <f>IF('[1]Processer - data'!A335&lt;&gt;"",'[1]Processer - data'!A335,"")</f>
        <v>Frøgræsmark</v>
      </c>
      <c r="B335" t="str">
        <f>IF('[1]Processer - data'!B335&lt;&gt;"",'[1]Processer - data'!B335,"")</f>
        <v>Konventionel</v>
      </c>
      <c r="C335" t="str">
        <f>IF('[1]Processer - data'!C335&lt;&gt;"",'[1]Processer - data'!C335,"")</f>
        <v>OC12</v>
      </c>
      <c r="D335" t="str">
        <f>IF('[1]Processer - data'!D335&lt;&gt;"",'[1]Processer - data'!D335,"")</f>
        <v>Areal-frøgræs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CO2 - atmosfære</v>
      </c>
      <c r="G335" t="str">
        <f>IF('[1]Processer - data'!G335&lt;&gt;"",'[1]Processer - data'!G335,"")</f>
        <v>t CO2-ækvivalenter</v>
      </c>
      <c r="H335" s="302" t="e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input'!$A$3:$A$230,$A$1)),IF(VLOOKUP($A335,[1]!Table1[#All],2,FALSE)="Resultat",SUMIF($F$1:$F334,$D335,H$1:H334)+SUMIF($F336:$F$490,$D335,H336:H$490),0))*'[1]Processer - data'!H335,"")*IF($C335&lt;&gt;"",IF($F335="Halm",Landbrug!C$16*Landbrug!C$17,IF(LEFT($D335,5)="Areal", IF($G335="Ton",Landbrug!C$18,1),1)),1)*IF($F335="Grøntsager",IF($A335="Grøntsager i drivhus",Landbrug!C$51,1-Landbrug!C$51),1)</f>
        <v>#REF!</v>
      </c>
      <c r="I335" s="303" t="e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input'!$A$3:$A$230,$A$1)),IF(VLOOKUP($A335,[1]!Table1[#All],2,FALSE)="Resultat",SUMIF($F$1:$F334,$D335,I$1:I334)+SUMIF($F336:$F$490,$D335,I336:I$490),0))*'[1]Processer - data'!I335,"")*IF($C335&lt;&gt;"",IF($F335="Halm",Landbrug!D$16*Landbrug!D$17,IF(LEFT($D335,5)="Areal", IF($G335="Ton",Landbrug!D$18,1),1)),1)*IF($F335="Grøntsager",IF($A335="Grøntsager i drivhus",Landbrug!D$51,1-Landbrug!D$51),1)</f>
        <v>#REF!</v>
      </c>
      <c r="J335" s="304" t="e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input'!$A$3:$A$230,$A$1)),IF(VLOOKUP($A335,[1]!Table1[#All],2,FALSE)="Resultat",SUMIF($F$1:$F334,$D335,J$1:J334)+SUMIF($F336:$F$490,$D335,J336:J$490),0))*'[1]Processer - data'!J335,"")*IF($C335&lt;&gt;"",IF($F335="Halm",Landbrug!E$16*Landbrug!E$17,IF(LEFT($D335,5)="Areal", IF($G335="Ton",Landbrug!E$18,1),1)),1)*IF($F335="Grøntsager",IF($A335="Grøntsager i drivhus",Landbrug!E$51,1-Landbrug!E$51),1)</f>
        <v>#REF!</v>
      </c>
    </row>
    <row r="336" spans="1:10" x14ac:dyDescent="0.25">
      <c r="A336" t="str">
        <f>IF('[1]Processer - data'!A336&lt;&gt;"",'[1]Processer - data'!A336,"")</f>
        <v>Frøgræsmark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Areal-frøgræs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Frø</v>
      </c>
      <c r="G336" t="str">
        <f>IF('[1]Processer - data'!G336&lt;&gt;"",'[1]Processer - data'!G336,"")</f>
        <v>Ton</v>
      </c>
      <c r="H336" s="302" t="e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input'!$A$3:$A$230,$A$1)),IF(VLOOKUP($A336,[1]!Table1[#All],2,FALSE)="Resultat",SUMIF($F$1:$F335,$D336,H$1:H335)+SUMIF($F337:$F$490,$D336,H337:H$490),0))*'[1]Processer - data'!H336,"")*IF($C336&lt;&gt;"",IF($F336="Halm",Landbrug!C$16*Landbrug!C$17,IF(LEFT($D336,5)="Areal", IF($G336="Ton",Landbrug!C$18,1),1)),1)*IF($F336="Grøntsager",IF($A336="Grøntsager i drivhus",Landbrug!C$51,1-Landbrug!C$51),1)</f>
        <v>#REF!</v>
      </c>
      <c r="I336" s="303" t="e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input'!$A$3:$A$230,$A$1)),IF(VLOOKUP($A336,[1]!Table1[#All],2,FALSE)="Resultat",SUMIF($F$1:$F335,$D336,I$1:I335)+SUMIF($F337:$F$490,$D336,I337:I$490),0))*'[1]Processer - data'!I336,"")*IF($C336&lt;&gt;"",IF($F336="Halm",Landbrug!D$16*Landbrug!D$17,IF(LEFT($D336,5)="Areal", IF($G336="Ton",Landbrug!D$18,1),1)),1)*IF($F336="Grøntsager",IF($A336="Grøntsager i drivhus",Landbrug!D$51,1-Landbrug!D$51),1)</f>
        <v>#REF!</v>
      </c>
      <c r="J336" s="304" t="e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input'!$A$3:$A$230,$A$1)),IF(VLOOKUP($A336,[1]!Table1[#All],2,FALSE)="Resultat",SUMIF($F$1:$F335,$D336,J$1:J335)+SUMIF($F337:$F$490,$D336,J337:J$490),0))*'[1]Processer - data'!J336,"")*IF($C336&lt;&gt;"",IF($F336="Halm",Landbrug!E$16*Landbrug!E$17,IF(LEFT($D336,5)="Areal", IF($G336="Ton",Landbrug!E$18,1),1)),1)*IF($F336="Grøntsager",IF($A336="Grøntsager i drivhus",Landbrug!E$51,1-Landbrug!E$51),1)</f>
        <v>#REF!</v>
      </c>
    </row>
    <row r="337" spans="1:10" x14ac:dyDescent="0.25">
      <c r="A337" t="str">
        <f>IF('[1]Processer - data'!A337&lt;&gt;"",'[1]Processer - data'!A337,"")</f>
        <v>Frøgræsmark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JB1-10</v>
      </c>
      <c r="D337" t="str">
        <f>IF('[1]Processer - data'!D337&lt;&gt;"",'[1]Processer - data'!D337,"")</f>
        <v>Areal-frøgræs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Halm</v>
      </c>
      <c r="G337" t="str">
        <f>IF('[1]Processer - data'!G337&lt;&gt;"",'[1]Processer - data'!G337,"")</f>
        <v>Ton</v>
      </c>
      <c r="H337" s="302" t="e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input'!$A$3:$A$230,$A$1)),IF(VLOOKUP($A337,[1]!Table1[#All],2,FALSE)="Resultat",SUMIF($F$1:$F336,$D337,H$1:H336)+SUMIF($F338:$F$490,$D337,H338:H$490),0))*'[1]Processer - data'!H337,"")*IF($C337&lt;&gt;"",IF($F337="Halm",Landbrug!C$16*Landbrug!C$17,IF(LEFT($D337,5)="Areal", IF($G337="Ton",Landbrug!C$18,1),1)),1)*IF($F337="Grøntsager",IF($A337="Grøntsager i drivhus",Landbrug!C$51,1-Landbrug!C$51),1)</f>
        <v>#REF!</v>
      </c>
      <c r="I337" s="303" t="e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input'!$A$3:$A$230,$A$1)),IF(VLOOKUP($A337,[1]!Table1[#All],2,FALSE)="Resultat",SUMIF($F$1:$F336,$D337,I$1:I336)+SUMIF($F338:$F$490,$D337,I338:I$490),0))*'[1]Processer - data'!I337,"")*IF($C337&lt;&gt;"",IF($F337="Halm",Landbrug!D$16*Landbrug!D$17,IF(LEFT($D337,5)="Areal", IF($G337="Ton",Landbrug!D$18,1),1)),1)*IF($F337="Grøntsager",IF($A337="Grøntsager i drivhus",Landbrug!D$51,1-Landbrug!D$51),1)</f>
        <v>#REF!</v>
      </c>
      <c r="J337" s="304" t="e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input'!$A$3:$A$230,$A$1)),IF(VLOOKUP($A337,[1]!Table1[#All],2,FALSE)="Resultat",SUMIF($F$1:$F336,$D337,J$1:J336)+SUMIF($F338:$F$490,$D337,J338:J$490),0))*'[1]Processer - data'!J337,"")*IF($C337&lt;&gt;"",IF($F337="Halm",Landbrug!E$16*Landbrug!E$17,IF(LEFT($D337,5)="Areal", IF($G337="Ton",Landbrug!E$18,1),1)),1)*IF($F337="Grøntsager",IF($A337="Grøntsager i drivhus",Landbrug!E$51,1-Landbrug!E$51),1)</f>
        <v>#REF!</v>
      </c>
    </row>
    <row r="338" spans="1:10" x14ac:dyDescent="0.25">
      <c r="A338" t="str">
        <f>IF('[1]Processer - data'!A338&lt;&gt;"",'[1]Processer - data'!A338,"")</f>
        <v>Frøgræsmark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JB1-10</v>
      </c>
      <c r="D338" t="str">
        <f>IF('[1]Processer - data'!D338&lt;&gt;"",'[1]Processer - data'!D338,"")</f>
        <v>Areal-frøgræs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Gødning</v>
      </c>
      <c r="G338" t="str">
        <f>IF('[1]Processer - data'!G338&lt;&gt;"",'[1]Processer - data'!G338,"")</f>
        <v>kg N</v>
      </c>
      <c r="H338" s="302" t="e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input'!$A$3:$A$230,$A$1)),IF(VLOOKUP($A338,[1]!Table1[#All],2,FALSE)="Resultat",SUMIF($F$1:$F337,$D338,H$1:H337)+SUMIF($F339:$F$490,$D338,H339:H$490),0))*'[1]Processer - data'!H338,"")*IF($C338&lt;&gt;"",IF($F338="Halm",Landbrug!C$16*Landbrug!C$17,IF(LEFT($D338,5)="Areal", IF($G338="Ton",Landbrug!C$18,1),1)),1)*IF($F338="Grøntsager",IF($A338="Grøntsager i drivhus",Landbrug!C$51,1-Landbrug!C$51),1)</f>
        <v>#REF!</v>
      </c>
      <c r="I338" s="303" t="e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input'!$A$3:$A$230,$A$1)),IF(VLOOKUP($A338,[1]!Table1[#All],2,FALSE)="Resultat",SUMIF($F$1:$F337,$D338,I$1:I337)+SUMIF($F339:$F$490,$D338,I339:I$490),0))*'[1]Processer - data'!I338,"")*IF($C338&lt;&gt;"",IF($F338="Halm",Landbrug!D$16*Landbrug!D$17,IF(LEFT($D338,5)="Areal", IF($G338="Ton",Landbrug!D$18,1),1)),1)*IF($F338="Grøntsager",IF($A338="Grøntsager i drivhus",Landbrug!D$51,1-Landbrug!D$51),1)</f>
        <v>#REF!</v>
      </c>
      <c r="J338" s="304" t="e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input'!$A$3:$A$230,$A$1)),IF(VLOOKUP($A338,[1]!Table1[#All],2,FALSE)="Resultat",SUMIF($F$1:$F337,$D338,J$1:J337)+SUMIF($F339:$F$490,$D338,J339:J$490),0))*'[1]Processer - data'!J338,"")*IF($C338&lt;&gt;"",IF($F338="Halm",Landbrug!E$16*Landbrug!E$17,IF(LEFT($D338,5)="Areal", IF($G338="Ton",Landbrug!E$18,1),1)),1)*IF($F338="Grøntsager",IF($A338="Grøntsager i drivhus",Landbrug!E$51,1-Landbrug!E$51),1)</f>
        <v>#REF!</v>
      </c>
    </row>
    <row r="339" spans="1:10" x14ac:dyDescent="0.25">
      <c r="A339" t="str">
        <f>IF('[1]Processer - data'!A339&lt;&gt;"",'[1]Processer - data'!A339,"")</f>
        <v>Frøgræsmark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JB1-10</v>
      </c>
      <c r="D339" t="str">
        <f>IF('[1]Processer - data'!D339&lt;&gt;"",'[1]Processer - data'!D339,"")</f>
        <v>Areal-frøgræs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CO2 - atmosfære</v>
      </c>
      <c r="G339" t="str">
        <f>IF('[1]Processer - data'!G339&lt;&gt;"",'[1]Processer - data'!G339,"")</f>
        <v>t CO2-ækvivalenter</v>
      </c>
      <c r="H339" s="302" t="e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input'!$A$3:$A$230,$A$1)),IF(VLOOKUP($A339,[1]!Table1[#All],2,FALSE)="Resultat",SUMIF($F$1:$F338,$D339,H$1:H338)+SUMIF($F340:$F$490,$D339,H340:H$490),0))*'[1]Processer - data'!H339,"")*IF($C339&lt;&gt;"",IF($F339="Halm",Landbrug!C$16*Landbrug!C$17,IF(LEFT($D339,5)="Areal", IF($G339="Ton",Landbrug!C$18,1),1)),1)*IF($F339="Grøntsager",IF($A339="Grøntsager i drivhus",Landbrug!C$51,1-Landbrug!C$51),1)</f>
        <v>#REF!</v>
      </c>
      <c r="I339" s="303" t="e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input'!$A$3:$A$230,$A$1)),IF(VLOOKUP($A339,[1]!Table1[#All],2,FALSE)="Resultat",SUMIF($F$1:$F338,$D339,I$1:I338)+SUMIF($F340:$F$490,$D339,I340:I$490),0))*'[1]Processer - data'!I339,"")*IF($C339&lt;&gt;"",IF($F339="Halm",Landbrug!D$16*Landbrug!D$17,IF(LEFT($D339,5)="Areal", IF($G339="Ton",Landbrug!D$18,1),1)),1)*IF($F339="Grøntsager",IF($A339="Grøntsager i drivhus",Landbrug!D$51,1-Landbrug!D$51),1)</f>
        <v>#REF!</v>
      </c>
      <c r="J339" s="304" t="e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input'!$A$3:$A$230,$A$1)),IF(VLOOKUP($A339,[1]!Table1[#All],2,FALSE)="Resultat",SUMIF($F$1:$F338,$D339,J$1:J338)+SUMIF($F340:$F$490,$D339,J340:J$490),0))*'[1]Processer - data'!J339,"")*IF($C339&lt;&gt;"",IF($F339="Halm",Landbrug!E$16*Landbrug!E$17,IF(LEFT($D339,5)="Areal", IF($G339="Ton",Landbrug!E$18,1),1)),1)*IF($F339="Grøntsager",IF($A339="Grøntsager i drivhus",Landbrug!E$51,1-Landbrug!E$51),1)</f>
        <v>#REF!</v>
      </c>
    </row>
    <row r="340" spans="1:10" x14ac:dyDescent="0.25">
      <c r="A340" t="str">
        <f>IF('[1]Processer - data'!A340&lt;&gt;"",'[1]Processer - data'!A340,"")</f>
        <v>Frøgræsmark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Areal-frøgræs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Frø</v>
      </c>
      <c r="G340" t="str">
        <f>IF('[1]Processer - data'!G340&lt;&gt;"",'[1]Processer - data'!G340,"")</f>
        <v>Ton</v>
      </c>
      <c r="H340" s="302" t="e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input'!$A$3:$A$230,$A$1)),IF(VLOOKUP($A340,[1]!Table1[#All],2,FALSE)="Resultat",SUMIF($F$1:$F339,$D340,H$1:H339)+SUMIF($F341:$F$490,$D340,H341:H$490),0))*'[1]Processer - data'!H340,"")*IF($C340&lt;&gt;"",IF($F340="Halm",Landbrug!C$16*Landbrug!C$17,IF(LEFT($D340,5)="Areal", IF($G340="Ton",Landbrug!C$18,1),1)),1)*IF($F340="Grøntsager",IF($A340="Grøntsager i drivhus",Landbrug!C$51,1-Landbrug!C$51),1)</f>
        <v>#REF!</v>
      </c>
      <c r="I340" s="303" t="e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input'!$A$3:$A$230,$A$1)),IF(VLOOKUP($A340,[1]!Table1[#All],2,FALSE)="Resultat",SUMIF($F$1:$F339,$D340,I$1:I339)+SUMIF($F341:$F$490,$D340,I341:I$490),0))*'[1]Processer - data'!I340,"")*IF($C340&lt;&gt;"",IF($F340="Halm",Landbrug!D$16*Landbrug!D$17,IF(LEFT($D340,5)="Areal", IF($G340="Ton",Landbrug!D$18,1),1)),1)*IF($F340="Grøntsager",IF($A340="Grøntsager i drivhus",Landbrug!D$51,1-Landbrug!D$51),1)</f>
        <v>#REF!</v>
      </c>
      <c r="J340" s="304" t="e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input'!$A$3:$A$230,$A$1)),IF(VLOOKUP($A340,[1]!Table1[#All],2,FALSE)="Resultat",SUMIF($F$1:$F339,$D340,J$1:J339)+SUMIF($F341:$F$490,$D340,J341:J$490),0))*'[1]Processer - data'!J340,"")*IF($C340&lt;&gt;"",IF($F340="Halm",Landbrug!E$16*Landbrug!E$17,IF(LEFT($D340,5)="Areal", IF($G340="Ton",Landbrug!E$18,1),1)),1)*IF($F340="Grøntsager",IF($A340="Grøntsager i drivhus",Landbrug!E$51,1-Landbrug!E$51),1)</f>
        <v>#REF!</v>
      </c>
    </row>
    <row r="341" spans="1:10" x14ac:dyDescent="0.25">
      <c r="A341" t="str">
        <f>IF('[1]Processer - data'!A341&lt;&gt;"",'[1]Processer - data'!A341,"")</f>
        <v>Frøgræsmark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OC6</v>
      </c>
      <c r="D341" t="str">
        <f>IF('[1]Processer - data'!D341&lt;&gt;"",'[1]Processer - data'!D341,"")</f>
        <v>Areal-frøgræs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Halm</v>
      </c>
      <c r="G341" t="str">
        <f>IF('[1]Processer - data'!G341&lt;&gt;"",'[1]Processer - data'!G341,"")</f>
        <v>Ton</v>
      </c>
      <c r="H341" s="302" t="e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input'!$A$3:$A$230,$A$1)),IF(VLOOKUP($A341,[1]!Table1[#All],2,FALSE)="Resultat",SUMIF($F$1:$F340,$D341,H$1:H340)+SUMIF($F342:$F$490,$D341,H342:H$490),0))*'[1]Processer - data'!H341,"")*IF($C341&lt;&gt;"",IF($F341="Halm",Landbrug!C$16*Landbrug!C$17,IF(LEFT($D341,5)="Areal", IF($G341="Ton",Landbrug!C$18,1),1)),1)*IF($F341="Grøntsager",IF($A341="Grøntsager i drivhus",Landbrug!C$51,1-Landbrug!C$51),1)</f>
        <v>#REF!</v>
      </c>
      <c r="I341" s="303" t="e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input'!$A$3:$A$230,$A$1)),IF(VLOOKUP($A341,[1]!Table1[#All],2,FALSE)="Resultat",SUMIF($F$1:$F340,$D341,I$1:I340)+SUMIF($F342:$F$490,$D341,I342:I$490),0))*'[1]Processer - data'!I341,"")*IF($C341&lt;&gt;"",IF($F341="Halm",Landbrug!D$16*Landbrug!D$17,IF(LEFT($D341,5)="Areal", IF($G341="Ton",Landbrug!D$18,1),1)),1)*IF($F341="Grøntsager",IF($A341="Grøntsager i drivhus",Landbrug!D$51,1-Landbrug!D$51),1)</f>
        <v>#REF!</v>
      </c>
      <c r="J341" s="304" t="e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input'!$A$3:$A$230,$A$1)),IF(VLOOKUP($A341,[1]!Table1[#All],2,FALSE)="Resultat",SUMIF($F$1:$F340,$D341,J$1:J340)+SUMIF($F342:$F$490,$D341,J342:J$490),0))*'[1]Processer - data'!J341,"")*IF($C341&lt;&gt;"",IF($F341="Halm",Landbrug!E$16*Landbrug!E$17,IF(LEFT($D341,5)="Areal", IF($G341="Ton",Landbrug!E$18,1),1)),1)*IF($F341="Grøntsager",IF($A341="Grøntsager i drivhus",Landbrug!E$51,1-Landbrug!E$51),1)</f>
        <v>#REF!</v>
      </c>
    </row>
    <row r="342" spans="1:10" x14ac:dyDescent="0.25">
      <c r="A342" t="str">
        <f>IF('[1]Processer - data'!A342&lt;&gt;"",'[1]Processer - data'!A342,"")</f>
        <v>Frøgræsmark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OC6</v>
      </c>
      <c r="D342" t="str">
        <f>IF('[1]Processer - data'!D342&lt;&gt;"",'[1]Processer - data'!D342,"")</f>
        <v>Areal-frøgræs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Gødning</v>
      </c>
      <c r="G342" t="str">
        <f>IF('[1]Processer - data'!G342&lt;&gt;"",'[1]Processer - data'!G342,"")</f>
        <v>kg N</v>
      </c>
      <c r="H342" s="302" t="e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input'!$A$3:$A$230,$A$1)),IF(VLOOKUP($A342,[1]!Table1[#All],2,FALSE)="Resultat",SUMIF($F$1:$F341,$D342,H$1:H341)+SUMIF($F343:$F$490,$D342,H343:H$490),0))*'[1]Processer - data'!H342,"")*IF($C342&lt;&gt;"",IF($F342="Halm",Landbrug!C$16*Landbrug!C$17,IF(LEFT($D342,5)="Areal", IF($G342="Ton",Landbrug!C$18,1),1)),1)*IF($F342="Grøntsager",IF($A342="Grøntsager i drivhus",Landbrug!C$51,1-Landbrug!C$51),1)</f>
        <v>#REF!</v>
      </c>
      <c r="I342" s="303" t="e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input'!$A$3:$A$230,$A$1)),IF(VLOOKUP($A342,[1]!Table1[#All],2,FALSE)="Resultat",SUMIF($F$1:$F341,$D342,I$1:I341)+SUMIF($F343:$F$490,$D342,I343:I$490),0))*'[1]Processer - data'!I342,"")*IF($C342&lt;&gt;"",IF($F342="Halm",Landbrug!D$16*Landbrug!D$17,IF(LEFT($D342,5)="Areal", IF($G342="Ton",Landbrug!D$18,1),1)),1)*IF($F342="Grøntsager",IF($A342="Grøntsager i drivhus",Landbrug!D$51,1-Landbrug!D$51),1)</f>
        <v>#REF!</v>
      </c>
      <c r="J342" s="304" t="e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input'!$A$3:$A$230,$A$1)),IF(VLOOKUP($A342,[1]!Table1[#All],2,FALSE)="Resultat",SUMIF($F$1:$F341,$D342,J$1:J341)+SUMIF($F343:$F$490,$D342,J343:J$490),0))*'[1]Processer - data'!J342,"")*IF($C342&lt;&gt;"",IF($F342="Halm",Landbrug!E$16*Landbrug!E$17,IF(LEFT($D342,5)="Areal", IF($G342="Ton",Landbrug!E$18,1),1)),1)*IF($F342="Grøntsager",IF($A342="Grøntsager i drivhus",Landbrug!E$51,1-Landbrug!E$51),1)</f>
        <v>#REF!</v>
      </c>
    </row>
    <row r="343" spans="1:10" x14ac:dyDescent="0.25">
      <c r="A343" t="str">
        <f>IF('[1]Processer - data'!A343&lt;&gt;"",'[1]Processer - data'!A343,"")</f>
        <v>Frøgræsmark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OC6</v>
      </c>
      <c r="D343" t="str">
        <f>IF('[1]Processer - data'!D343&lt;&gt;"",'[1]Processer - data'!D343,"")</f>
        <v>Areal-frøgræs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CO2 - atmosfære</v>
      </c>
      <c r="G343" t="str">
        <f>IF('[1]Processer - data'!G343&lt;&gt;"",'[1]Processer - data'!G343,"")</f>
        <v>t CO2-ækvivalenter</v>
      </c>
      <c r="H343" s="302" t="e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input'!$A$3:$A$230,$A$1)),IF(VLOOKUP($A343,[1]!Table1[#All],2,FALSE)="Resultat",SUMIF($F$1:$F342,$D343,H$1:H342)+SUMIF($F344:$F$490,$D343,H344:H$490),0))*'[1]Processer - data'!H343,"")*IF($C343&lt;&gt;"",IF($F343="Halm",Landbrug!C$16*Landbrug!C$17,IF(LEFT($D343,5)="Areal", IF($G343="Ton",Landbrug!C$18,1),1)),1)*IF($F343="Grøntsager",IF($A343="Grøntsager i drivhus",Landbrug!C$51,1-Landbrug!C$51),1)</f>
        <v>#REF!</v>
      </c>
      <c r="I343" s="303" t="e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input'!$A$3:$A$230,$A$1)),IF(VLOOKUP($A343,[1]!Table1[#All],2,FALSE)="Resultat",SUMIF($F$1:$F342,$D343,I$1:I342)+SUMIF($F344:$F$490,$D343,I344:I$490),0))*'[1]Processer - data'!I343,"")*IF($C343&lt;&gt;"",IF($F343="Halm",Landbrug!D$16*Landbrug!D$17,IF(LEFT($D343,5)="Areal", IF($G343="Ton",Landbrug!D$18,1),1)),1)*IF($F343="Grøntsager",IF($A343="Grøntsager i drivhus",Landbrug!D$51,1-Landbrug!D$51),1)</f>
        <v>#REF!</v>
      </c>
      <c r="J343" s="304" t="e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input'!$A$3:$A$230,$A$1)),IF(VLOOKUP($A343,[1]!Table1[#All],2,FALSE)="Resultat",SUMIF($F$1:$F342,$D343,J$1:J342)+SUMIF($F344:$F$490,$D343,J344:J$490),0))*'[1]Processer - data'!J343,"")*IF($C343&lt;&gt;"",IF($F343="Halm",Landbrug!E$16*Landbrug!E$17,IF(LEFT($D343,5)="Areal", IF($G343="Ton",Landbrug!E$18,1),1)),1)*IF($F343="Grøntsager",IF($A343="Grøntsager i drivhus",Landbrug!E$51,1-Landbrug!E$51),1)</f>
        <v>#REF!</v>
      </c>
    </row>
    <row r="344" spans="1:10" x14ac:dyDescent="0.25">
      <c r="A344" t="str">
        <f>IF('[1]Processer - data'!A344&lt;&gt;"",'[1]Processer - data'!A344,"")</f>
        <v>Frøgræsmark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Areal-frøgræs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Frø</v>
      </c>
      <c r="G344" t="str">
        <f>IF('[1]Processer - data'!G344&lt;&gt;"",'[1]Processer - data'!G344,"")</f>
        <v>Ton</v>
      </c>
      <c r="H344" s="302" t="e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input'!$A$3:$A$230,$A$1)),IF(VLOOKUP($A344,[1]!Table1[#All],2,FALSE)="Resultat",SUMIF($F$1:$F343,$D344,H$1:H343)+SUMIF($F345:$F$490,$D344,H345:H$490),0))*'[1]Processer - data'!H344,"")*IF($C344&lt;&gt;"",IF($F344="Halm",Landbrug!C$16*Landbrug!C$17,IF(LEFT($D344,5)="Areal", IF($G344="Ton",Landbrug!C$18,1),1)),1)*IF($F344="Grøntsager",IF($A344="Grøntsager i drivhus",Landbrug!C$51,1-Landbrug!C$51),1)</f>
        <v>#REF!</v>
      </c>
      <c r="I344" s="303" t="e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input'!$A$3:$A$230,$A$1)),IF(VLOOKUP($A344,[1]!Table1[#All],2,FALSE)="Resultat",SUMIF($F$1:$F343,$D344,I$1:I343)+SUMIF($F345:$F$490,$D344,I345:I$490),0))*'[1]Processer - data'!I344,"")*IF($C344&lt;&gt;"",IF($F344="Halm",Landbrug!D$16*Landbrug!D$17,IF(LEFT($D344,5)="Areal", IF($G344="Ton",Landbrug!D$18,1),1)),1)*IF($F344="Grøntsager",IF($A344="Grøntsager i drivhus",Landbrug!D$51,1-Landbrug!D$51),1)</f>
        <v>#REF!</v>
      </c>
      <c r="J344" s="304" t="e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input'!$A$3:$A$230,$A$1)),IF(VLOOKUP($A344,[1]!Table1[#All],2,FALSE)="Resultat",SUMIF($F$1:$F343,$D344,J$1:J343)+SUMIF($F345:$F$490,$D344,J345:J$490),0))*'[1]Processer - data'!J344,"")*IF($C344&lt;&gt;"",IF($F344="Halm",Landbrug!E$16*Landbrug!E$17,IF(LEFT($D344,5)="Areal", IF($G344="Ton",Landbrug!E$18,1),1)),1)*IF($F344="Grøntsager",IF($A344="Grøntsager i drivhus",Landbrug!E$51,1-Landbrug!E$51),1)</f>
        <v>#REF!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Økologisk</v>
      </c>
      <c r="C345" t="str">
        <f>IF('[1]Processer - data'!C345&lt;&gt;"",'[1]Processer - data'!C345,"")</f>
        <v>OC12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Halm</v>
      </c>
      <c r="G345" t="str">
        <f>IF('[1]Processer - data'!G345&lt;&gt;"",'[1]Processer - data'!G345,"")</f>
        <v>Ton</v>
      </c>
      <c r="H345" s="302" t="e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input'!$A$3:$A$230,$A$1)),IF(VLOOKUP($A345,[1]!Table1[#All],2,FALSE)="Resultat",SUMIF($F$1:$F344,$D345,H$1:H344)+SUMIF($F346:$F$490,$D345,H346:H$490),0))*'[1]Processer - data'!H345,"")*IF($C345&lt;&gt;"",IF($F345="Halm",Landbrug!C$16*Landbrug!C$17,IF(LEFT($D345,5)="Areal", IF($G345="Ton",Landbrug!C$18,1),1)),1)*IF($F345="Grøntsager",IF($A345="Grøntsager i drivhus",Landbrug!C$51,1-Landbrug!C$51),1)</f>
        <v>#REF!</v>
      </c>
      <c r="I345" s="303" t="e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input'!$A$3:$A$230,$A$1)),IF(VLOOKUP($A345,[1]!Table1[#All],2,FALSE)="Resultat",SUMIF($F$1:$F344,$D345,I$1:I344)+SUMIF($F346:$F$490,$D345,I346:I$490),0))*'[1]Processer - data'!I345,"")*IF($C345&lt;&gt;"",IF($F345="Halm",Landbrug!D$16*Landbrug!D$17,IF(LEFT($D345,5)="Areal", IF($G345="Ton",Landbrug!D$18,1),1)),1)*IF($F345="Grøntsager",IF($A345="Grøntsager i drivhus",Landbrug!D$51,1-Landbrug!D$51),1)</f>
        <v>#REF!</v>
      </c>
      <c r="J345" s="304" t="e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input'!$A$3:$A$230,$A$1)),IF(VLOOKUP($A345,[1]!Table1[#All],2,FALSE)="Resultat",SUMIF($F$1:$F344,$D345,J$1:J344)+SUMIF($F346:$F$490,$D345,J346:J$490),0))*'[1]Processer - data'!J345,"")*IF($C345&lt;&gt;"",IF($F345="Halm",Landbrug!E$16*Landbrug!E$17,IF(LEFT($D345,5)="Areal", IF($G345="Ton",Landbrug!E$18,1),1)),1)*IF($F345="Grøntsager",IF($A345="Grøntsager i drivhus",Landbrug!E$51,1-Landbrug!E$51),1)</f>
        <v>#REF!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Økologisk</v>
      </c>
      <c r="C346" t="str">
        <f>IF('[1]Processer - data'!C346&lt;&gt;"",'[1]Processer - data'!C346,"")</f>
        <v>OC12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Gødning</v>
      </c>
      <c r="G346" t="str">
        <f>IF('[1]Processer - data'!G346&lt;&gt;"",'[1]Processer - data'!G346,"")</f>
        <v>kg N</v>
      </c>
      <c r="H346" s="302" t="e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input'!$A$3:$A$230,$A$1)),IF(VLOOKUP($A346,[1]!Table1[#All],2,FALSE)="Resultat",SUMIF($F$1:$F345,$D346,H$1:H345)+SUMIF($F347:$F$490,$D346,H347:H$490),0))*'[1]Processer - data'!H346,"")*IF($C346&lt;&gt;"",IF($F346="Halm",Landbrug!C$16*Landbrug!C$17,IF(LEFT($D346,5)="Areal", IF($G346="Ton",Landbrug!C$18,1),1)),1)*IF($F346="Grøntsager",IF($A346="Grøntsager i drivhus",Landbrug!C$51,1-Landbrug!C$51),1)</f>
        <v>#REF!</v>
      </c>
      <c r="I346" s="303" t="e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input'!$A$3:$A$230,$A$1)),IF(VLOOKUP($A346,[1]!Table1[#All],2,FALSE)="Resultat",SUMIF($F$1:$F345,$D346,I$1:I345)+SUMIF($F347:$F$490,$D346,I347:I$490),0))*'[1]Processer - data'!I346,"")*IF($C346&lt;&gt;"",IF($F346="Halm",Landbrug!D$16*Landbrug!D$17,IF(LEFT($D346,5)="Areal", IF($G346="Ton",Landbrug!D$18,1),1)),1)*IF($F346="Grøntsager",IF($A346="Grøntsager i drivhus",Landbrug!D$51,1-Landbrug!D$51),1)</f>
        <v>#REF!</v>
      </c>
      <c r="J346" s="304" t="e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input'!$A$3:$A$230,$A$1)),IF(VLOOKUP($A346,[1]!Table1[#All],2,FALSE)="Resultat",SUMIF($F$1:$F345,$D346,J$1:J345)+SUMIF($F347:$F$490,$D346,J347:J$490),0))*'[1]Processer - data'!J346,"")*IF($C346&lt;&gt;"",IF($F346="Halm",Landbrug!E$16*Landbrug!E$17,IF(LEFT($D346,5)="Areal", IF($G346="Ton",Landbrug!E$18,1),1)),1)*IF($F346="Grøntsager",IF($A346="Grøntsager i drivhus",Landbrug!E$51,1-Landbrug!E$51),1)</f>
        <v>#REF!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Økologisk</v>
      </c>
      <c r="C347" t="str">
        <f>IF('[1]Processer - data'!C347&lt;&gt;"",'[1]Processer - data'!C347,"")</f>
        <v>OC12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CO2 - atmosfære</v>
      </c>
      <c r="G347" t="str">
        <f>IF('[1]Processer - data'!G347&lt;&gt;"",'[1]Processer - data'!G347,"")</f>
        <v>t CO2-ækvivalenter</v>
      </c>
      <c r="H347" s="302" t="e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input'!$A$3:$A$230,$A$1)),IF(VLOOKUP($A347,[1]!Table1[#All],2,FALSE)="Resultat",SUMIF($F$1:$F346,$D347,H$1:H346)+SUMIF($F348:$F$490,$D347,H348:H$490),0))*'[1]Processer - data'!H347,"")*IF($C347&lt;&gt;"",IF($F347="Halm",Landbrug!C$16*Landbrug!C$17,IF(LEFT($D347,5)="Areal", IF($G347="Ton",Landbrug!C$18,1),1)),1)*IF($F347="Grøntsager",IF($A347="Grøntsager i drivhus",Landbrug!C$51,1-Landbrug!C$51),1)</f>
        <v>#REF!</v>
      </c>
      <c r="I347" s="303" t="e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input'!$A$3:$A$230,$A$1)),IF(VLOOKUP($A347,[1]!Table1[#All],2,FALSE)="Resultat",SUMIF($F$1:$F346,$D347,I$1:I346)+SUMIF($F348:$F$490,$D347,I348:I$490),0))*'[1]Processer - data'!I347,"")*IF($C347&lt;&gt;"",IF($F347="Halm",Landbrug!D$16*Landbrug!D$17,IF(LEFT($D347,5)="Areal", IF($G347="Ton",Landbrug!D$18,1),1)),1)*IF($F347="Grøntsager",IF($A347="Grøntsager i drivhus",Landbrug!D$51,1-Landbrug!D$51),1)</f>
        <v>#REF!</v>
      </c>
      <c r="J347" s="304" t="e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input'!$A$3:$A$230,$A$1)),IF(VLOOKUP($A347,[1]!Table1[#All],2,FALSE)="Resultat",SUMIF($F$1:$F346,$D347,J$1:J346)+SUMIF($F348:$F$490,$D347,J348:J$490),0))*'[1]Processer - data'!J347,"")*IF($C347&lt;&gt;"",IF($F347="Halm",Landbrug!E$16*Landbrug!E$17,IF(LEFT($D347,5)="Areal", IF($G347="Ton",Landbrug!E$18,1),1)),1)*IF($F347="Grøntsager",IF($A347="Grøntsager i drivhus",Landbrug!E$51,1-Landbrug!E$51),1)</f>
        <v>#REF!</v>
      </c>
    </row>
    <row r="348" spans="1:10" x14ac:dyDescent="0.25">
      <c r="A348" t="str">
        <f>IF('[1]Processer - data'!A348&lt;&gt;"",'[1]Processer - data'!A348,"")</f>
        <v>Juletræsmark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Areal-juletræer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Juletræer</v>
      </c>
      <c r="G348" t="str">
        <f>IF('[1]Processer - data'!G348&lt;&gt;"",'[1]Processer - data'!G348,"")</f>
        <v>Ton</v>
      </c>
      <c r="H348" s="302" t="e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input'!$A$3:$A$230,$A$1)),IF(VLOOKUP($A348,[1]!Table1[#All],2,FALSE)="Resultat",SUMIF($F$1:$F347,$D348,H$1:H347)+SUMIF($F349:$F$490,$D348,H349:H$490),0))*'[1]Processer - data'!H348,"")*IF($C348&lt;&gt;"",IF($F348="Halm",Landbrug!C$16*Landbrug!C$17,IF(LEFT($D348,5)="Areal", IF($G348="Ton",Landbrug!C$18,1),1)),1)*IF($F348="Grøntsager",IF($A348="Grøntsager i drivhus",Landbrug!C$51,1-Landbrug!C$51),1)</f>
        <v>#REF!</v>
      </c>
      <c r="I348" s="303" t="e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input'!$A$3:$A$230,$A$1)),IF(VLOOKUP($A348,[1]!Table1[#All],2,FALSE)="Resultat",SUMIF($F$1:$F347,$D348,I$1:I347)+SUMIF($F349:$F$490,$D348,I349:I$490),0))*'[1]Processer - data'!I348,"")*IF($C348&lt;&gt;"",IF($F348="Halm",Landbrug!D$16*Landbrug!D$17,IF(LEFT($D348,5)="Areal", IF($G348="Ton",Landbrug!D$18,1),1)),1)*IF($F348="Grøntsager",IF($A348="Grøntsager i drivhus",Landbrug!D$51,1-Landbrug!D$51),1)</f>
        <v>#REF!</v>
      </c>
      <c r="J348" s="304" t="e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input'!$A$3:$A$230,$A$1)),IF(VLOOKUP($A348,[1]!Table1[#All],2,FALSE)="Resultat",SUMIF($F$1:$F347,$D348,J$1:J347)+SUMIF($F349:$F$490,$D348,J349:J$490),0))*'[1]Processer - data'!J348,"")*IF($C348&lt;&gt;"",IF($F348="Halm",Landbrug!E$16*Landbrug!E$17,IF(LEFT($D348,5)="Areal", IF($G348="Ton",Landbrug!E$18,1),1)),1)*IF($F348="Grøntsager",IF($A348="Grøntsager i drivhus",Landbrug!E$51,1-Landbrug!E$51),1)</f>
        <v>#REF!</v>
      </c>
    </row>
    <row r="349" spans="1:10" x14ac:dyDescent="0.25">
      <c r="A349" t="str">
        <f>IF('[1]Processer - data'!A349&lt;&gt;"",'[1]Processer - data'!A349,"")</f>
        <v>Juletræsmark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JB1-10</v>
      </c>
      <c r="D349" t="str">
        <f>IF('[1]Processer - data'!D349&lt;&gt;"",'[1]Processer - data'!D349,"")</f>
        <v>Areal-juletræer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Gødning</v>
      </c>
      <c r="G349" t="str">
        <f>IF('[1]Processer - data'!G349&lt;&gt;"",'[1]Processer - data'!G349,"")</f>
        <v>kg N</v>
      </c>
      <c r="H349" s="302" t="e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input'!$A$3:$A$230,$A$1)),IF(VLOOKUP($A349,[1]!Table1[#All],2,FALSE)="Resultat",SUMIF($F$1:$F348,$D349,H$1:H348)+SUMIF($F350:$F$490,$D349,H350:H$490),0))*'[1]Processer - data'!H349,"")*IF($C349&lt;&gt;"",IF($F349="Halm",Landbrug!C$16*Landbrug!C$17,IF(LEFT($D349,5)="Areal", IF($G349="Ton",Landbrug!C$18,1),1)),1)*IF($F349="Grøntsager",IF($A349="Grøntsager i drivhus",Landbrug!C$51,1-Landbrug!C$51),1)</f>
        <v>#REF!</v>
      </c>
      <c r="I349" s="303" t="e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input'!$A$3:$A$230,$A$1)),IF(VLOOKUP($A349,[1]!Table1[#All],2,FALSE)="Resultat",SUMIF($F$1:$F348,$D349,I$1:I348)+SUMIF($F350:$F$490,$D349,I350:I$490),0))*'[1]Processer - data'!I349,"")*IF($C349&lt;&gt;"",IF($F349="Halm",Landbrug!D$16*Landbrug!D$17,IF(LEFT($D349,5)="Areal", IF($G349="Ton",Landbrug!D$18,1),1)),1)*IF($F349="Grøntsager",IF($A349="Grøntsager i drivhus",Landbrug!D$51,1-Landbrug!D$51),1)</f>
        <v>#REF!</v>
      </c>
      <c r="J349" s="304" t="e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input'!$A$3:$A$230,$A$1)),IF(VLOOKUP($A349,[1]!Table1[#All],2,FALSE)="Resultat",SUMIF($F$1:$F348,$D349,J$1:J348)+SUMIF($F350:$F$490,$D349,J350:J$490),0))*'[1]Processer - data'!J349,"")*IF($C349&lt;&gt;"",IF($F349="Halm",Landbrug!E$16*Landbrug!E$17,IF(LEFT($D349,5)="Areal", IF($G349="Ton",Landbrug!E$18,1),1)),1)*IF($F349="Grøntsager",IF($A349="Grøntsager i drivhus",Landbrug!E$51,1-Landbrug!E$51),1)</f>
        <v>#REF!</v>
      </c>
    </row>
    <row r="350" spans="1:10" x14ac:dyDescent="0.25">
      <c r="A350" t="str">
        <f>IF('[1]Processer - data'!A350&lt;&gt;"",'[1]Processer - data'!A350,"")</f>
        <v>Juletræsmark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JB1-10</v>
      </c>
      <c r="D350" t="str">
        <f>IF('[1]Processer - data'!D350&lt;&gt;"",'[1]Processer - data'!D350,"")</f>
        <v>Areal-juletræer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CO2 - atmosfære</v>
      </c>
      <c r="G350" t="str">
        <f>IF('[1]Processer - data'!G350&lt;&gt;"",'[1]Processer - data'!G350,"")</f>
        <v>t CO2-ækvivalenter</v>
      </c>
      <c r="H350" s="302" t="e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input'!$A$3:$A$230,$A$1)),IF(VLOOKUP($A350,[1]!Table1[#All],2,FALSE)="Resultat",SUMIF($F$1:$F349,$D350,H$1:H349)+SUMIF($F351:$F$490,$D350,H351:H$490),0))*'[1]Processer - data'!H350,"")*IF($C350&lt;&gt;"",IF($F350="Halm",Landbrug!C$16*Landbrug!C$17,IF(LEFT($D350,5)="Areal", IF($G350="Ton",Landbrug!C$18,1),1)),1)*IF($F350="Grøntsager",IF($A350="Grøntsager i drivhus",Landbrug!C$51,1-Landbrug!C$51),1)</f>
        <v>#REF!</v>
      </c>
      <c r="I350" s="303" t="e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input'!$A$3:$A$230,$A$1)),IF(VLOOKUP($A350,[1]!Table1[#All],2,FALSE)="Resultat",SUMIF($F$1:$F349,$D350,I$1:I349)+SUMIF($F351:$F$490,$D350,I351:I$490),0))*'[1]Processer - data'!I350,"")*IF($C350&lt;&gt;"",IF($F350="Halm",Landbrug!D$16*Landbrug!D$17,IF(LEFT($D350,5)="Areal", IF($G350="Ton",Landbrug!D$18,1),1)),1)*IF($F350="Grøntsager",IF($A350="Grøntsager i drivhus",Landbrug!D$51,1-Landbrug!D$51),1)</f>
        <v>#REF!</v>
      </c>
      <c r="J350" s="304" t="e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input'!$A$3:$A$230,$A$1)),IF(VLOOKUP($A350,[1]!Table1[#All],2,FALSE)="Resultat",SUMIF($F$1:$F349,$D350,J$1:J349)+SUMIF($F351:$F$490,$D350,J351:J$490),0))*'[1]Processer - data'!J350,"")*IF($C350&lt;&gt;"",IF($F350="Halm",Landbrug!E$16*Landbrug!E$17,IF(LEFT($D350,5)="Areal", IF($G350="Ton",Landbrug!E$18,1),1)),1)*IF($F350="Grøntsager",IF($A350="Grøntsager i drivhus",Landbrug!E$51,1-Landbrug!E$51),1)</f>
        <v>#REF!</v>
      </c>
    </row>
    <row r="351" spans="1:10" x14ac:dyDescent="0.25">
      <c r="A351" t="str">
        <f>IF('[1]Processer - data'!A351&lt;&gt;"",'[1]Processer - data'!A351,"")</f>
        <v>Juletræsmark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Areal-juletræer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Juletræer</v>
      </c>
      <c r="G351" t="str">
        <f>IF('[1]Processer - data'!G351&lt;&gt;"",'[1]Processer - data'!G351,"")</f>
        <v>Ton</v>
      </c>
      <c r="H351" s="302" t="e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input'!$A$3:$A$230,$A$1)),IF(VLOOKUP($A351,[1]!Table1[#All],2,FALSE)="Resultat",SUMIF($F$1:$F350,$D351,H$1:H350)+SUMIF($F352:$F$490,$D351,H352:H$490),0))*'[1]Processer - data'!H351,"")*IF($C351&lt;&gt;"",IF($F351="Halm",Landbrug!C$16*Landbrug!C$17,IF(LEFT($D351,5)="Areal", IF($G351="Ton",Landbrug!C$18,1),1)),1)*IF($F351="Grøntsager",IF($A351="Grøntsager i drivhus",Landbrug!C$51,1-Landbrug!C$51),1)</f>
        <v>#REF!</v>
      </c>
      <c r="I351" s="303" t="e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input'!$A$3:$A$230,$A$1)),IF(VLOOKUP($A351,[1]!Table1[#All],2,FALSE)="Resultat",SUMIF($F$1:$F350,$D351,I$1:I350)+SUMIF($F352:$F$490,$D351,I352:I$490),0))*'[1]Processer - data'!I351,"")*IF($C351&lt;&gt;"",IF($F351="Halm",Landbrug!D$16*Landbrug!D$17,IF(LEFT($D351,5)="Areal", IF($G351="Ton",Landbrug!D$18,1),1)),1)*IF($F351="Grøntsager",IF($A351="Grøntsager i drivhus",Landbrug!D$51,1-Landbrug!D$51),1)</f>
        <v>#REF!</v>
      </c>
      <c r="J351" s="304" t="e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input'!$A$3:$A$230,$A$1)),IF(VLOOKUP($A351,[1]!Table1[#All],2,FALSE)="Resultat",SUMIF($F$1:$F350,$D351,J$1:J350)+SUMIF($F352:$F$490,$D351,J352:J$490),0))*'[1]Processer - data'!J351,"")*IF($C351&lt;&gt;"",IF($F351="Halm",Landbrug!E$16*Landbrug!E$17,IF(LEFT($D351,5)="Areal", IF($G351="Ton",Landbrug!E$18,1),1)),1)*IF($F351="Grøntsager",IF($A351="Grøntsager i drivhus",Landbrug!E$51,1-Landbrug!E$51),1)</f>
        <v>#REF!</v>
      </c>
    </row>
    <row r="352" spans="1:10" x14ac:dyDescent="0.25">
      <c r="A352" t="str">
        <f>IF('[1]Processer - data'!A352&lt;&gt;"",'[1]Processer - data'!A352,"")</f>
        <v>Juletræsmark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Areal-juletræer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Gødning</v>
      </c>
      <c r="G352" t="str">
        <f>IF('[1]Processer - data'!G352&lt;&gt;"",'[1]Processer - data'!G352,"")</f>
        <v>kg N</v>
      </c>
      <c r="H352" s="302" t="e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input'!$A$3:$A$230,$A$1)),IF(VLOOKUP($A352,[1]!Table1[#All],2,FALSE)="Resultat",SUMIF($F$1:$F351,$D352,H$1:H351)+SUMIF($F353:$F$490,$D352,H353:H$490),0))*'[1]Processer - data'!H352,"")*IF($C352&lt;&gt;"",IF($F352="Halm",Landbrug!C$16*Landbrug!C$17,IF(LEFT($D352,5)="Areal", IF($G352="Ton",Landbrug!C$18,1),1)),1)*IF($F352="Grøntsager",IF($A352="Grøntsager i drivhus",Landbrug!C$51,1-Landbrug!C$51),1)</f>
        <v>#REF!</v>
      </c>
      <c r="I352" s="303" t="e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input'!$A$3:$A$230,$A$1)),IF(VLOOKUP($A352,[1]!Table1[#All],2,FALSE)="Resultat",SUMIF($F$1:$F351,$D352,I$1:I351)+SUMIF($F353:$F$490,$D352,I353:I$490),0))*'[1]Processer - data'!I352,"")*IF($C352&lt;&gt;"",IF($F352="Halm",Landbrug!D$16*Landbrug!D$17,IF(LEFT($D352,5)="Areal", IF($G352="Ton",Landbrug!D$18,1),1)),1)*IF($F352="Grøntsager",IF($A352="Grøntsager i drivhus",Landbrug!D$51,1-Landbrug!D$51),1)</f>
        <v>#REF!</v>
      </c>
      <c r="J352" s="304" t="e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input'!$A$3:$A$230,$A$1)),IF(VLOOKUP($A352,[1]!Table1[#All],2,FALSE)="Resultat",SUMIF($F$1:$F351,$D352,J$1:J351)+SUMIF($F353:$F$490,$D352,J353:J$490),0))*'[1]Processer - data'!J352,"")*IF($C352&lt;&gt;"",IF($F352="Halm",Landbrug!E$16*Landbrug!E$17,IF(LEFT($D352,5)="Areal", IF($G352="Ton",Landbrug!E$18,1),1)),1)*IF($F352="Grøntsager",IF($A352="Grøntsager i drivhus",Landbrug!E$51,1-Landbrug!E$51),1)</f>
        <v>#REF!</v>
      </c>
    </row>
    <row r="353" spans="1:10" x14ac:dyDescent="0.25">
      <c r="A353" t="str">
        <f>IF('[1]Processer - data'!A353&lt;&gt;"",'[1]Processer - data'!A353,"")</f>
        <v>Juletræsmark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OC6</v>
      </c>
      <c r="D353" t="str">
        <f>IF('[1]Processer - data'!D353&lt;&gt;"",'[1]Processer - data'!D353,"")</f>
        <v>Areal-juletræer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CO2 - atmosfære</v>
      </c>
      <c r="G353" t="str">
        <f>IF('[1]Processer - data'!G353&lt;&gt;"",'[1]Processer - data'!G353,"")</f>
        <v>t CO2-ækvivalenter</v>
      </c>
      <c r="H353" s="302" t="e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input'!$A$3:$A$230,$A$1)),IF(VLOOKUP($A353,[1]!Table1[#All],2,FALSE)="Resultat",SUMIF($F$1:$F352,$D353,H$1:H352)+SUMIF($F354:$F$490,$D353,H354:H$490),0))*'[1]Processer - data'!H353,"")*IF($C353&lt;&gt;"",IF($F353="Halm",Landbrug!C$16*Landbrug!C$17,IF(LEFT($D353,5)="Areal", IF($G353="Ton",Landbrug!C$18,1),1)),1)*IF($F353="Grøntsager",IF($A353="Grøntsager i drivhus",Landbrug!C$51,1-Landbrug!C$51),1)</f>
        <v>#REF!</v>
      </c>
      <c r="I353" s="303" t="e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input'!$A$3:$A$230,$A$1)),IF(VLOOKUP($A353,[1]!Table1[#All],2,FALSE)="Resultat",SUMIF($F$1:$F352,$D353,I$1:I352)+SUMIF($F354:$F$490,$D353,I354:I$490),0))*'[1]Processer - data'!I353,"")*IF($C353&lt;&gt;"",IF($F353="Halm",Landbrug!D$16*Landbrug!D$17,IF(LEFT($D353,5)="Areal", IF($G353="Ton",Landbrug!D$18,1),1)),1)*IF($F353="Grøntsager",IF($A353="Grøntsager i drivhus",Landbrug!D$51,1-Landbrug!D$51),1)</f>
        <v>#REF!</v>
      </c>
      <c r="J353" s="304" t="e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input'!$A$3:$A$230,$A$1)),IF(VLOOKUP($A353,[1]!Table1[#All],2,FALSE)="Resultat",SUMIF($F$1:$F352,$D353,J$1:J352)+SUMIF($F354:$F$490,$D353,J354:J$490),0))*'[1]Processer - data'!J353,"")*IF($C353&lt;&gt;"",IF($F353="Halm",Landbrug!E$16*Landbrug!E$17,IF(LEFT($D353,5)="Areal", IF($G353="Ton",Landbrug!E$18,1),1)),1)*IF($F353="Grøntsager",IF($A353="Grøntsager i drivhus",Landbrug!E$51,1-Landbrug!E$51),1)</f>
        <v>#REF!</v>
      </c>
    </row>
    <row r="354" spans="1:10" x14ac:dyDescent="0.25">
      <c r="A354" t="str">
        <f>IF('[1]Processer - data'!A354&lt;&gt;"",'[1]Processer - data'!A354,"")</f>
        <v>Juletræsmark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Areal-juletræer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Juletræer</v>
      </c>
      <c r="G354" t="str">
        <f>IF('[1]Processer - data'!G354&lt;&gt;"",'[1]Processer - data'!G354,"")</f>
        <v>Ton</v>
      </c>
      <c r="H354" s="302" t="e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input'!$A$3:$A$230,$A$1)),IF(VLOOKUP($A354,[1]!Table1[#All],2,FALSE)="Resultat",SUMIF($F$1:$F353,$D354,H$1:H353)+SUMIF($F355:$F$490,$D354,H355:H$490),0))*'[1]Processer - data'!H354,"")*IF($C354&lt;&gt;"",IF($F354="Halm",Landbrug!C$16*Landbrug!C$17,IF(LEFT($D354,5)="Areal", IF($G354="Ton",Landbrug!C$18,1),1)),1)*IF($F354="Grøntsager",IF($A354="Grøntsager i drivhus",Landbrug!C$51,1-Landbrug!C$51),1)</f>
        <v>#REF!</v>
      </c>
      <c r="I354" s="303" t="e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input'!$A$3:$A$230,$A$1)),IF(VLOOKUP($A354,[1]!Table1[#All],2,FALSE)="Resultat",SUMIF($F$1:$F353,$D354,I$1:I353)+SUMIF($F355:$F$490,$D354,I355:I$490),0))*'[1]Processer - data'!I354,"")*IF($C354&lt;&gt;"",IF($F354="Halm",Landbrug!D$16*Landbrug!D$17,IF(LEFT($D354,5)="Areal", IF($G354="Ton",Landbrug!D$18,1),1)),1)*IF($F354="Grøntsager",IF($A354="Grøntsager i drivhus",Landbrug!D$51,1-Landbrug!D$51),1)</f>
        <v>#REF!</v>
      </c>
      <c r="J354" s="304" t="e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input'!$A$3:$A$230,$A$1)),IF(VLOOKUP($A354,[1]!Table1[#All],2,FALSE)="Resultat",SUMIF($F$1:$F353,$D354,J$1:J353)+SUMIF($F355:$F$490,$D354,J355:J$490),0))*'[1]Processer - data'!J354,"")*IF($C354&lt;&gt;"",IF($F354="Halm",Landbrug!E$16*Landbrug!E$17,IF(LEFT($D354,5)="Areal", IF($G354="Ton",Landbrug!E$18,1),1)),1)*IF($F354="Grøntsager",IF($A354="Grøntsager i drivhus",Landbrug!E$51,1-Landbrug!E$51),1)</f>
        <v>#REF!</v>
      </c>
    </row>
    <row r="355" spans="1:10" x14ac:dyDescent="0.25">
      <c r="A355" t="str">
        <f>IF('[1]Processer - data'!A355&lt;&gt;"",'[1]Processer - data'!A355,"")</f>
        <v>Juletræsmark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Areal-juletræer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2" t="e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input'!$A$3:$A$230,$A$1)),IF(VLOOKUP($A355,[1]!Table1[#All],2,FALSE)="Resultat",SUMIF($F$1:$F354,$D355,H$1:H354)+SUMIF($F356:$F$490,$D355,H356:H$490),0))*'[1]Processer - data'!H355,"")*IF($C355&lt;&gt;"",IF($F355="Halm",Landbrug!C$16*Landbrug!C$17,IF(LEFT($D355,5)="Areal", IF($G355="Ton",Landbrug!C$18,1),1)),1)*IF($F355="Grøntsager",IF($A355="Grøntsager i drivhus",Landbrug!C$51,1-Landbrug!C$51),1)</f>
        <v>#REF!</v>
      </c>
      <c r="I355" s="303" t="e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input'!$A$3:$A$230,$A$1)),IF(VLOOKUP($A355,[1]!Table1[#All],2,FALSE)="Resultat",SUMIF($F$1:$F354,$D355,I$1:I354)+SUMIF($F356:$F$490,$D355,I356:I$490),0))*'[1]Processer - data'!I355,"")*IF($C355&lt;&gt;"",IF($F355="Halm",Landbrug!D$16*Landbrug!D$17,IF(LEFT($D355,5)="Areal", IF($G355="Ton",Landbrug!D$18,1),1)),1)*IF($F355="Grøntsager",IF($A355="Grøntsager i drivhus",Landbrug!D$51,1-Landbrug!D$51),1)</f>
        <v>#REF!</v>
      </c>
      <c r="J355" s="304" t="e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input'!$A$3:$A$230,$A$1)),IF(VLOOKUP($A355,[1]!Table1[#All],2,FALSE)="Resultat",SUMIF($F$1:$F354,$D355,J$1:J354)+SUMIF($F356:$F$490,$D355,J356:J$490),0))*'[1]Processer - data'!J355,"")*IF($C355&lt;&gt;"",IF($F355="Halm",Landbrug!E$16*Landbrug!E$17,IF(LEFT($D355,5)="Areal", IF($G355="Ton",Landbrug!E$18,1),1)),1)*IF($F355="Grøntsager",IF($A355="Grøntsager i drivhus",Landbrug!E$51,1-Landbrug!E$51),1)</f>
        <v>#REF!</v>
      </c>
    </row>
    <row r="356" spans="1:10" x14ac:dyDescent="0.25">
      <c r="A356" t="str">
        <f>IF('[1]Processer - data'!A356&lt;&gt;"",'[1]Processer - data'!A356,"")</f>
        <v>Juletræsmark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Areal-juletræer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2" t="e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input'!$A$3:$A$230,$A$1)),IF(VLOOKUP($A356,[1]!Table1[#All],2,FALSE)="Resultat",SUMIF($F$1:$F355,$D356,H$1:H355)+SUMIF($F357:$F$490,$D356,H357:H$490),0))*'[1]Processer - data'!H356,"")*IF($C356&lt;&gt;"",IF($F356="Halm",Landbrug!C$16*Landbrug!C$17,IF(LEFT($D356,5)="Areal", IF($G356="Ton",Landbrug!C$18,1),1)),1)*IF($F356="Grøntsager",IF($A356="Grøntsager i drivhus",Landbrug!C$51,1-Landbrug!C$51),1)</f>
        <v>#REF!</v>
      </c>
      <c r="I356" s="303" t="e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input'!$A$3:$A$230,$A$1)),IF(VLOOKUP($A356,[1]!Table1[#All],2,FALSE)="Resultat",SUMIF($F$1:$F355,$D356,I$1:I355)+SUMIF($F357:$F$490,$D356,I357:I$490),0))*'[1]Processer - data'!I356,"")*IF($C356&lt;&gt;"",IF($F356="Halm",Landbrug!D$16*Landbrug!D$17,IF(LEFT($D356,5)="Areal", IF($G356="Ton",Landbrug!D$18,1),1)),1)*IF($F356="Grøntsager",IF($A356="Grøntsager i drivhus",Landbrug!D$51,1-Landbrug!D$51),1)</f>
        <v>#REF!</v>
      </c>
      <c r="J356" s="304" t="e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input'!$A$3:$A$230,$A$1)),IF(VLOOKUP($A356,[1]!Table1[#All],2,FALSE)="Resultat",SUMIF($F$1:$F355,$D356,J$1:J355)+SUMIF($F357:$F$490,$D356,J357:J$490),0))*'[1]Processer - data'!J356,"")*IF($C356&lt;&gt;"",IF($F356="Halm",Landbrug!E$16*Landbrug!E$17,IF(LEFT($D356,5)="Areal", IF($G356="Ton",Landbrug!E$18,1),1)),1)*IF($F356="Grøntsager",IF($A356="Grøntsager i drivhus",Landbrug!E$51,1-Landbrug!E$51),1)</f>
        <v>#REF!</v>
      </c>
    </row>
    <row r="357" spans="1:10" x14ac:dyDescent="0.25">
      <c r="A357" t="str">
        <f>IF('[1]Processer - data'!A357&lt;&gt;"",'[1]Processer - data'!A357,"")</f>
        <v>Juletræsmark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Areal-juletræer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Juletræer</v>
      </c>
      <c r="G357" t="str">
        <f>IF('[1]Processer - data'!G357&lt;&gt;"",'[1]Processer - data'!G357,"")</f>
        <v>Ton</v>
      </c>
      <c r="H357" s="302" t="e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input'!$A$3:$A$230,$A$1)),IF(VLOOKUP($A357,[1]!Table1[#All],2,FALSE)="Resultat",SUMIF($F$1:$F356,$D357,H$1:H356)+SUMIF($F358:$F$490,$D357,H358:H$490),0))*'[1]Processer - data'!H357,"")*IF($C357&lt;&gt;"",IF($F357="Halm",Landbrug!C$16*Landbrug!C$17,IF(LEFT($D357,5)="Areal", IF($G357="Ton",Landbrug!C$18,1),1)),1)*IF($F357="Grøntsager",IF($A357="Grøntsager i drivhus",Landbrug!C$51,1-Landbrug!C$51),1)</f>
        <v>#REF!</v>
      </c>
      <c r="I357" s="303" t="e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input'!$A$3:$A$230,$A$1)),IF(VLOOKUP($A357,[1]!Table1[#All],2,FALSE)="Resultat",SUMIF($F$1:$F356,$D357,I$1:I356)+SUMIF($F358:$F$490,$D357,I358:I$490),0))*'[1]Processer - data'!I357,"")*IF($C357&lt;&gt;"",IF($F357="Halm",Landbrug!D$16*Landbrug!D$17,IF(LEFT($D357,5)="Areal", IF($G357="Ton",Landbrug!D$18,1),1)),1)*IF($F357="Grøntsager",IF($A357="Grøntsager i drivhus",Landbrug!D$51,1-Landbrug!D$51),1)</f>
        <v>#REF!</v>
      </c>
      <c r="J357" s="304" t="e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input'!$A$3:$A$230,$A$1)),IF(VLOOKUP($A357,[1]!Table1[#All],2,FALSE)="Resultat",SUMIF($F$1:$F356,$D357,J$1:J356)+SUMIF($F358:$F$490,$D357,J358:J$490),0))*'[1]Processer - data'!J357,"")*IF($C357&lt;&gt;"",IF($F357="Halm",Landbrug!E$16*Landbrug!E$17,IF(LEFT($D357,5)="Areal", IF($G357="Ton",Landbrug!E$18,1),1)),1)*IF($F357="Grøntsager",IF($A357="Grøntsager i drivhus",Landbrug!E$51,1-Landbrug!E$51),1)</f>
        <v>#REF!</v>
      </c>
    </row>
    <row r="358" spans="1:10" x14ac:dyDescent="0.25">
      <c r="A358" t="str">
        <f>IF('[1]Processer - data'!A358&lt;&gt;"",'[1]Processer - data'!A358,"")</f>
        <v>Juletræsmark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Areal-juletræer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Gødning</v>
      </c>
      <c r="G358" t="str">
        <f>IF('[1]Processer - data'!G358&lt;&gt;"",'[1]Processer - data'!G358,"")</f>
        <v>kg N</v>
      </c>
      <c r="H358" s="302" t="e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input'!$A$3:$A$230,$A$1)),IF(VLOOKUP($A358,[1]!Table1[#All],2,FALSE)="Resultat",SUMIF($F$1:$F357,$D358,H$1:H357)+SUMIF($F359:$F$490,$D358,H359:H$490),0))*'[1]Processer - data'!H358,"")*IF($C358&lt;&gt;"",IF($F358="Halm",Landbrug!C$16*Landbrug!C$17,IF(LEFT($D358,5)="Areal", IF($G358="Ton",Landbrug!C$18,1),1)),1)*IF($F358="Grøntsager",IF($A358="Grøntsager i drivhus",Landbrug!C$51,1-Landbrug!C$51),1)</f>
        <v>#REF!</v>
      </c>
      <c r="I358" s="303" t="e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input'!$A$3:$A$230,$A$1)),IF(VLOOKUP($A358,[1]!Table1[#All],2,FALSE)="Resultat",SUMIF($F$1:$F357,$D358,I$1:I357)+SUMIF($F359:$F$490,$D358,I359:I$490),0))*'[1]Processer - data'!I358,"")*IF($C358&lt;&gt;"",IF($F358="Halm",Landbrug!D$16*Landbrug!D$17,IF(LEFT($D358,5)="Areal", IF($G358="Ton",Landbrug!D$18,1),1)),1)*IF($F358="Grøntsager",IF($A358="Grøntsager i drivhus",Landbrug!D$51,1-Landbrug!D$51),1)</f>
        <v>#REF!</v>
      </c>
      <c r="J358" s="304" t="e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input'!$A$3:$A$230,$A$1)),IF(VLOOKUP($A358,[1]!Table1[#All],2,FALSE)="Resultat",SUMIF($F$1:$F357,$D358,J$1:J357)+SUMIF($F359:$F$490,$D358,J359:J$490),0))*'[1]Processer - data'!J358,"")*IF($C358&lt;&gt;"",IF($F358="Halm",Landbrug!E$16*Landbrug!E$17,IF(LEFT($D358,5)="Areal", IF($G358="Ton",Landbrug!E$18,1),1)),1)*IF($F358="Grøntsager",IF($A358="Grøntsager i drivhus",Landbrug!E$51,1-Landbrug!E$51),1)</f>
        <v>#REF!</v>
      </c>
    </row>
    <row r="359" spans="1:10" x14ac:dyDescent="0.25">
      <c r="A359" t="str">
        <f>IF('[1]Processer - data'!A359&lt;&gt;"",'[1]Processer - data'!A359,"")</f>
        <v>Juletræsmark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Areal-juletræer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CO2 - atmosfære</v>
      </c>
      <c r="G359" t="str">
        <f>IF('[1]Processer - data'!G359&lt;&gt;"",'[1]Processer - data'!G359,"")</f>
        <v>t CO2-ækvivalenter</v>
      </c>
      <c r="H359" s="302" t="e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input'!$A$3:$A$230,$A$1)),IF(VLOOKUP($A359,[1]!Table1[#All],2,FALSE)="Resultat",SUMIF($F$1:$F358,$D359,H$1:H358)+SUMIF($F360:$F$490,$D359,H360:H$490),0))*'[1]Processer - data'!H359,"")*IF($C359&lt;&gt;"",IF($F359="Halm",Landbrug!C$16*Landbrug!C$17,IF(LEFT($D359,5)="Areal", IF($G359="Ton",Landbrug!C$18,1),1)),1)*IF($F359="Grøntsager",IF($A359="Grøntsager i drivhus",Landbrug!C$51,1-Landbrug!C$51),1)</f>
        <v>#REF!</v>
      </c>
      <c r="I359" s="303" t="e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input'!$A$3:$A$230,$A$1)),IF(VLOOKUP($A359,[1]!Table1[#All],2,FALSE)="Resultat",SUMIF($F$1:$F358,$D359,I$1:I358)+SUMIF($F360:$F$490,$D359,I360:I$490),0))*'[1]Processer - data'!I359,"")*IF($C359&lt;&gt;"",IF($F359="Halm",Landbrug!D$16*Landbrug!D$17,IF(LEFT($D359,5)="Areal", IF($G359="Ton",Landbrug!D$18,1),1)),1)*IF($F359="Grøntsager",IF($A359="Grøntsager i drivhus",Landbrug!D$51,1-Landbrug!D$51),1)</f>
        <v>#REF!</v>
      </c>
      <c r="J359" s="304" t="e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input'!$A$3:$A$230,$A$1)),IF(VLOOKUP($A359,[1]!Table1[#All],2,FALSE)="Resultat",SUMIF($F$1:$F358,$D359,J$1:J358)+SUMIF($F360:$F$490,$D359,J360:J$490),0))*'[1]Processer - data'!J359,"")*IF($C359&lt;&gt;"",IF($F359="Halm",Landbrug!E$16*Landbrug!E$17,IF(LEFT($D359,5)="Areal", IF($G359="Ton",Landbrug!E$18,1),1)),1)*IF($F359="Grøntsager",IF($A359="Grøntsager i drivhus",Landbrug!E$51,1-Landbrug!E$51),1)</f>
        <v>#REF!</v>
      </c>
    </row>
    <row r="360" spans="1:10" x14ac:dyDescent="0.25">
      <c r="A360" t="str">
        <f>IF('[1]Processer - data'!A360&lt;&gt;"",'[1]Processer - data'!A360,"")</f>
        <v>Juletræsmark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OC6</v>
      </c>
      <c r="D360" t="str">
        <f>IF('[1]Processer - data'!D360&lt;&gt;"",'[1]Processer - data'!D360,"")</f>
        <v>Areal-juletræer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Juletræer</v>
      </c>
      <c r="G360" t="str">
        <f>IF('[1]Processer - data'!G360&lt;&gt;"",'[1]Processer - data'!G360,"")</f>
        <v>Ton</v>
      </c>
      <c r="H360" s="302" t="e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input'!$A$3:$A$230,$A$1)),IF(VLOOKUP($A360,[1]!Table1[#All],2,FALSE)="Resultat",SUMIF($F$1:$F359,$D360,H$1:H359)+SUMIF($F361:$F$490,$D360,H361:H$490),0))*'[1]Processer - data'!H360,"")*IF($C360&lt;&gt;"",IF($F360="Halm",Landbrug!C$16*Landbrug!C$17,IF(LEFT($D360,5)="Areal", IF($G360="Ton",Landbrug!C$18,1),1)),1)*IF($F360="Grøntsager",IF($A360="Grøntsager i drivhus",Landbrug!C$51,1-Landbrug!C$51),1)</f>
        <v>#REF!</v>
      </c>
      <c r="I360" s="303" t="e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input'!$A$3:$A$230,$A$1)),IF(VLOOKUP($A360,[1]!Table1[#All],2,FALSE)="Resultat",SUMIF($F$1:$F359,$D360,I$1:I359)+SUMIF($F361:$F$490,$D360,I361:I$490),0))*'[1]Processer - data'!I360,"")*IF($C360&lt;&gt;"",IF($F360="Halm",Landbrug!D$16*Landbrug!D$17,IF(LEFT($D360,5)="Areal", IF($G360="Ton",Landbrug!D$18,1),1)),1)*IF($F360="Grøntsager",IF($A360="Grøntsager i drivhus",Landbrug!D$51,1-Landbrug!D$51),1)</f>
        <v>#REF!</v>
      </c>
      <c r="J360" s="304" t="e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input'!$A$3:$A$230,$A$1)),IF(VLOOKUP($A360,[1]!Table1[#All],2,FALSE)="Resultat",SUMIF($F$1:$F359,$D360,J$1:J359)+SUMIF($F361:$F$490,$D360,J361:J$490),0))*'[1]Processer - data'!J360,"")*IF($C360&lt;&gt;"",IF($F360="Halm",Landbrug!E$16*Landbrug!E$17,IF(LEFT($D360,5)="Areal", IF($G360="Ton",Landbrug!E$18,1),1)),1)*IF($F360="Grøntsager",IF($A360="Grøntsager i drivhus",Landbrug!E$51,1-Landbrug!E$51),1)</f>
        <v>#REF!</v>
      </c>
    </row>
    <row r="361" spans="1:10" x14ac:dyDescent="0.25">
      <c r="A361" t="str">
        <f>IF('[1]Processer - data'!A361&lt;&gt;"",'[1]Processer - data'!A361,"")</f>
        <v>Juletræsmark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Areal-juletræer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Gødning</v>
      </c>
      <c r="G361" t="str">
        <f>IF('[1]Processer - data'!G361&lt;&gt;"",'[1]Processer - data'!G361,"")</f>
        <v>kg N</v>
      </c>
      <c r="H361" s="302" t="e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input'!$A$3:$A$230,$A$1)),IF(VLOOKUP($A361,[1]!Table1[#All],2,FALSE)="Resultat",SUMIF($F$1:$F360,$D361,H$1:H360)+SUMIF($F362:$F$490,$D361,H362:H$490),0))*'[1]Processer - data'!H361,"")*IF($C361&lt;&gt;"",IF($F361="Halm",Landbrug!C$16*Landbrug!C$17,IF(LEFT($D361,5)="Areal", IF($G361="Ton",Landbrug!C$18,1),1)),1)*IF($F361="Grøntsager",IF($A361="Grøntsager i drivhus",Landbrug!C$51,1-Landbrug!C$51),1)</f>
        <v>#REF!</v>
      </c>
      <c r="I361" s="303" t="e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input'!$A$3:$A$230,$A$1)),IF(VLOOKUP($A361,[1]!Table1[#All],2,FALSE)="Resultat",SUMIF($F$1:$F360,$D361,I$1:I360)+SUMIF($F362:$F$490,$D361,I362:I$490),0))*'[1]Processer - data'!I361,"")*IF($C361&lt;&gt;"",IF($F361="Halm",Landbrug!D$16*Landbrug!D$17,IF(LEFT($D361,5)="Areal", IF($G361="Ton",Landbrug!D$18,1),1)),1)*IF($F361="Grøntsager",IF($A361="Grøntsager i drivhus",Landbrug!D$51,1-Landbrug!D$51),1)</f>
        <v>#REF!</v>
      </c>
      <c r="J361" s="304" t="e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input'!$A$3:$A$230,$A$1)),IF(VLOOKUP($A361,[1]!Table1[#All],2,FALSE)="Resultat",SUMIF($F$1:$F360,$D361,J$1:J360)+SUMIF($F362:$F$490,$D361,J362:J$490),0))*'[1]Processer - data'!J361,"")*IF($C361&lt;&gt;"",IF($F361="Halm",Landbrug!E$16*Landbrug!E$17,IF(LEFT($D361,5)="Areal", IF($G361="Ton",Landbrug!E$18,1),1)),1)*IF($F361="Grøntsager",IF($A361="Grøntsager i drivhus",Landbrug!E$51,1-Landbrug!E$51),1)</f>
        <v>#REF!</v>
      </c>
    </row>
    <row r="362" spans="1:10" x14ac:dyDescent="0.25">
      <c r="A362" t="str">
        <f>IF('[1]Processer - data'!A362&lt;&gt;"",'[1]Processer - data'!A362,"")</f>
        <v>Juletræsmark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Areal-juletræer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CO2 - atmosfære</v>
      </c>
      <c r="G362" t="str">
        <f>IF('[1]Processer - data'!G362&lt;&gt;"",'[1]Processer - data'!G362,"")</f>
        <v>t CO2-ækvivalenter</v>
      </c>
      <c r="H362" s="302" t="e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input'!$A$3:$A$230,$A$1)),IF(VLOOKUP($A362,[1]!Table1[#All],2,FALSE)="Resultat",SUMIF($F$1:$F361,$D362,H$1:H361)+SUMIF($F363:$F$490,$D362,H363:H$490),0))*'[1]Processer - data'!H362,"")*IF($C362&lt;&gt;"",IF($F362="Halm",Landbrug!C$16*Landbrug!C$17,IF(LEFT($D362,5)="Areal", IF($G362="Ton",Landbrug!C$18,1),1)),1)*IF($F362="Grøntsager",IF($A362="Grøntsager i drivhus",Landbrug!C$51,1-Landbrug!C$51),1)</f>
        <v>#REF!</v>
      </c>
      <c r="I362" s="303" t="e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input'!$A$3:$A$230,$A$1)),IF(VLOOKUP($A362,[1]!Table1[#All],2,FALSE)="Resultat",SUMIF($F$1:$F361,$D362,I$1:I361)+SUMIF($F363:$F$490,$D362,I363:I$490),0))*'[1]Processer - data'!I362,"")*IF($C362&lt;&gt;"",IF($F362="Halm",Landbrug!D$16*Landbrug!D$17,IF(LEFT($D362,5)="Areal", IF($G362="Ton",Landbrug!D$18,1),1)),1)*IF($F362="Grøntsager",IF($A362="Grøntsager i drivhus",Landbrug!D$51,1-Landbrug!D$51),1)</f>
        <v>#REF!</v>
      </c>
      <c r="J362" s="304" t="e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input'!$A$3:$A$230,$A$1)),IF(VLOOKUP($A362,[1]!Table1[#All],2,FALSE)="Resultat",SUMIF($F$1:$F361,$D362,J$1:J361)+SUMIF($F363:$F$490,$D362,J363:J$490),0))*'[1]Processer - data'!J362,"")*IF($C362&lt;&gt;"",IF($F362="Halm",Landbrug!E$16*Landbrug!E$17,IF(LEFT($D362,5)="Areal", IF($G362="Ton",Landbrug!E$18,1),1)),1)*IF($F362="Grøntsager",IF($A362="Grøntsager i drivhus",Landbrug!E$51,1-Landbrug!E$51),1)</f>
        <v>#REF!</v>
      </c>
    </row>
    <row r="363" spans="1:10" x14ac:dyDescent="0.25">
      <c r="A363" t="str">
        <f>IF('[1]Processer - data'!A363&lt;&gt;"",'[1]Processer - data'!A363,"")</f>
        <v>Juletræsmark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OC12</v>
      </c>
      <c r="D363" t="str">
        <f>IF('[1]Processer - data'!D363&lt;&gt;"",'[1]Processer - data'!D363,"")</f>
        <v>Areal-juletræer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Juletræer</v>
      </c>
      <c r="G363" t="str">
        <f>IF('[1]Processer - data'!G363&lt;&gt;"",'[1]Processer - data'!G363,"")</f>
        <v>Ton</v>
      </c>
      <c r="H363" s="302" t="e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input'!$A$3:$A$230,$A$1)),IF(VLOOKUP($A363,[1]!Table1[#All],2,FALSE)="Resultat",SUMIF($F$1:$F362,$D363,H$1:H362)+SUMIF($F364:$F$490,$D363,H364:H$490),0))*'[1]Processer - data'!H363,"")*IF($C363&lt;&gt;"",IF($F363="Halm",Landbrug!C$16*Landbrug!C$17,IF(LEFT($D363,5)="Areal", IF($G363="Ton",Landbrug!C$18,1),1)),1)*IF($F363="Grøntsager",IF($A363="Grøntsager i drivhus",Landbrug!C$51,1-Landbrug!C$51),1)</f>
        <v>#REF!</v>
      </c>
      <c r="I363" s="303" t="e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input'!$A$3:$A$230,$A$1)),IF(VLOOKUP($A363,[1]!Table1[#All],2,FALSE)="Resultat",SUMIF($F$1:$F362,$D363,I$1:I362)+SUMIF($F364:$F$490,$D363,I364:I$490),0))*'[1]Processer - data'!I363,"")*IF($C363&lt;&gt;"",IF($F363="Halm",Landbrug!D$16*Landbrug!D$17,IF(LEFT($D363,5)="Areal", IF($G363="Ton",Landbrug!D$18,1),1)),1)*IF($F363="Grøntsager",IF($A363="Grøntsager i drivhus",Landbrug!D$51,1-Landbrug!D$51),1)</f>
        <v>#REF!</v>
      </c>
      <c r="J363" s="304" t="e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input'!$A$3:$A$230,$A$1)),IF(VLOOKUP($A363,[1]!Table1[#All],2,FALSE)="Resultat",SUMIF($F$1:$F362,$D363,J$1:J362)+SUMIF($F364:$F$490,$D363,J364:J$490),0))*'[1]Processer - data'!J363,"")*IF($C363&lt;&gt;"",IF($F363="Halm",Landbrug!E$16*Landbrug!E$17,IF(LEFT($D363,5)="Areal", IF($G363="Ton",Landbrug!E$18,1),1)),1)*IF($F363="Grøntsager",IF($A363="Grøntsager i drivhus",Landbrug!E$51,1-Landbrug!E$51),1)</f>
        <v>#REF!</v>
      </c>
    </row>
    <row r="364" spans="1:10" x14ac:dyDescent="0.25">
      <c r="A364" t="str">
        <f>IF('[1]Processer - data'!A364&lt;&gt;"",'[1]Processer - data'!A364,"")</f>
        <v>Juletræsmark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OC12</v>
      </c>
      <c r="D364" t="str">
        <f>IF('[1]Processer - data'!D364&lt;&gt;"",'[1]Processer - data'!D364,"")</f>
        <v>Areal-juletræer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Gødning</v>
      </c>
      <c r="G364" t="str">
        <f>IF('[1]Processer - data'!G364&lt;&gt;"",'[1]Processer - data'!G364,"")</f>
        <v>kg N</v>
      </c>
      <c r="H364" s="302" t="e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input'!$A$3:$A$230,$A$1)),IF(VLOOKUP($A364,[1]!Table1[#All],2,FALSE)="Resultat",SUMIF($F$1:$F363,$D364,H$1:H363)+SUMIF($F365:$F$490,$D364,H365:H$490),0))*'[1]Processer - data'!H364,"")*IF($C364&lt;&gt;"",IF($F364="Halm",Landbrug!C$16*Landbrug!C$17,IF(LEFT($D364,5)="Areal", IF($G364="Ton",Landbrug!C$18,1),1)),1)*IF($F364="Grøntsager",IF($A364="Grøntsager i drivhus",Landbrug!C$51,1-Landbrug!C$51),1)</f>
        <v>#REF!</v>
      </c>
      <c r="I364" s="303" t="e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input'!$A$3:$A$230,$A$1)),IF(VLOOKUP($A364,[1]!Table1[#All],2,FALSE)="Resultat",SUMIF($F$1:$F363,$D364,I$1:I363)+SUMIF($F365:$F$490,$D364,I365:I$490),0))*'[1]Processer - data'!I364,"")*IF($C364&lt;&gt;"",IF($F364="Halm",Landbrug!D$16*Landbrug!D$17,IF(LEFT($D364,5)="Areal", IF($G364="Ton",Landbrug!D$18,1),1)),1)*IF($F364="Grøntsager",IF($A364="Grøntsager i drivhus",Landbrug!D$51,1-Landbrug!D$51),1)</f>
        <v>#REF!</v>
      </c>
      <c r="J364" s="304" t="e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input'!$A$3:$A$230,$A$1)),IF(VLOOKUP($A364,[1]!Table1[#All],2,FALSE)="Resultat",SUMIF($F$1:$F363,$D364,J$1:J363)+SUMIF($F365:$F$490,$D364,J365:J$490),0))*'[1]Processer - data'!J364,"")*IF($C364&lt;&gt;"",IF($F364="Halm",Landbrug!E$16*Landbrug!E$17,IF(LEFT($D364,5)="Areal", IF($G364="Ton",Landbrug!E$18,1),1)),1)*IF($F364="Grøntsager",IF($A364="Grøntsager i drivhus",Landbrug!E$51,1-Landbrug!E$51),1)</f>
        <v>#REF!</v>
      </c>
    </row>
    <row r="365" spans="1:10" x14ac:dyDescent="0.25">
      <c r="A365" t="str">
        <f>IF('[1]Processer - data'!A365&lt;&gt;"",'[1]Processer - data'!A365,"")</f>
        <v>Juletræsmark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Areal-juletræer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CO2 - atmosfære</v>
      </c>
      <c r="G365" t="str">
        <f>IF('[1]Processer - data'!G365&lt;&gt;"",'[1]Processer - data'!G365,"")</f>
        <v>t CO2-ækvivalenter</v>
      </c>
      <c r="H365" s="302" t="e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input'!$A$3:$A$230,$A$1)),IF(VLOOKUP($A365,[1]!Table1[#All],2,FALSE)="Resultat",SUMIF($F$1:$F364,$D365,H$1:H364)+SUMIF($F366:$F$490,$D365,H366:H$490),0))*'[1]Processer - data'!H365,"")*IF($C365&lt;&gt;"",IF($F365="Halm",Landbrug!C$16*Landbrug!C$17,IF(LEFT($D365,5)="Areal", IF($G365="Ton",Landbrug!C$18,1),1)),1)*IF($F365="Grøntsager",IF($A365="Grøntsager i drivhus",Landbrug!C$51,1-Landbrug!C$51),1)</f>
        <v>#REF!</v>
      </c>
      <c r="I365" s="303" t="e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input'!$A$3:$A$230,$A$1)),IF(VLOOKUP($A365,[1]!Table1[#All],2,FALSE)="Resultat",SUMIF($F$1:$F364,$D365,I$1:I364)+SUMIF($F366:$F$490,$D365,I366:I$490),0))*'[1]Processer - data'!I365,"")*IF($C365&lt;&gt;"",IF($F365="Halm",Landbrug!D$16*Landbrug!D$17,IF(LEFT($D365,5)="Areal", IF($G365="Ton",Landbrug!D$18,1),1)),1)*IF($F365="Grøntsager",IF($A365="Grøntsager i drivhus",Landbrug!D$51,1-Landbrug!D$51),1)</f>
        <v>#REF!</v>
      </c>
      <c r="J365" s="304" t="e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input'!$A$3:$A$230,$A$1)),IF(VLOOKUP($A365,[1]!Table1[#All],2,FALSE)="Resultat",SUMIF($F$1:$F364,$D365,J$1:J364)+SUMIF($F366:$F$490,$D365,J366:J$490),0))*'[1]Processer - data'!J365,"")*IF($C365&lt;&gt;"",IF($F365="Halm",Landbrug!E$16*Landbrug!E$17,IF(LEFT($D365,5)="Areal", IF($G365="Ton",Landbrug!E$18,1),1)),1)*IF($F365="Grøntsager",IF($A365="Grøntsager i drivhus",Landbrug!E$51,1-Landbrug!E$51),1)</f>
        <v>#REF!</v>
      </c>
    </row>
    <row r="366" spans="1:10" x14ac:dyDescent="0.25">
      <c r="A366" t="str">
        <f>IF('[1]Processer - data'!A366&lt;&gt;"",'[1]Processer - data'!A366,"")</f>
        <v>Pil- og poppeldyrkning</v>
      </c>
      <c r="B366" t="str">
        <f>IF('[1]Processer - data'!B366&lt;&gt;"",'[1]Processer - data'!B366,"")</f>
        <v>Konventionel</v>
      </c>
      <c r="C366" t="str">
        <f>IF('[1]Processer - data'!C366&lt;&gt;"",'[1]Processer - data'!C366,"")</f>
        <v>JB1-10</v>
      </c>
      <c r="D366" t="str">
        <f>IF('[1]Processer - data'!D366&lt;&gt;"",'[1]Processer - data'!D366,"")</f>
        <v>Areal-pil-poppel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Pil &amp; poppel</v>
      </c>
      <c r="G366" t="str">
        <f>IF('[1]Processer - data'!G366&lt;&gt;"",'[1]Processer - data'!G366,"")</f>
        <v>Ton</v>
      </c>
      <c r="H366" s="302" t="e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input'!$A$3:$A$230,$A$1)),IF(VLOOKUP($A366,[1]!Table1[#All],2,FALSE)="Resultat",SUMIF($F$1:$F365,$D366,H$1:H365)+SUMIF($F367:$F$490,$D366,H367:H$490),0))*'[1]Processer - data'!H366,"")*IF($C366&lt;&gt;"",IF($F366="Halm",Landbrug!C$16*Landbrug!C$17,IF(LEFT($D366,5)="Areal", IF($G366="Ton",Landbrug!C$18,1),1)),1)*IF($F366="Grøntsager",IF($A366="Grøntsager i drivhus",Landbrug!C$51,1-Landbrug!C$51),1)</f>
        <v>#REF!</v>
      </c>
      <c r="I366" s="303" t="e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input'!$A$3:$A$230,$A$1)),IF(VLOOKUP($A366,[1]!Table1[#All],2,FALSE)="Resultat",SUMIF($F$1:$F365,$D366,I$1:I365)+SUMIF($F367:$F$490,$D366,I367:I$490),0))*'[1]Processer - data'!I366,"")*IF($C366&lt;&gt;"",IF($F366="Halm",Landbrug!D$16*Landbrug!D$17,IF(LEFT($D366,5)="Areal", IF($G366="Ton",Landbrug!D$18,1),1)),1)*IF($F366="Grøntsager",IF($A366="Grøntsager i drivhus",Landbrug!D$51,1-Landbrug!D$51),1)</f>
        <v>#REF!</v>
      </c>
      <c r="J366" s="304" t="e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input'!$A$3:$A$230,$A$1)),IF(VLOOKUP($A366,[1]!Table1[#All],2,FALSE)="Resultat",SUMIF($F$1:$F365,$D366,J$1:J365)+SUMIF($F367:$F$490,$D366,J367:J$490),0))*'[1]Processer - data'!J366,"")*IF($C366&lt;&gt;"",IF($F366="Halm",Landbrug!E$16*Landbrug!E$17,IF(LEFT($D366,5)="Areal", IF($G366="Ton",Landbrug!E$18,1),1)),1)*IF($F366="Grøntsager",IF($A366="Grøntsager i drivhus",Landbrug!E$51,1-Landbrug!E$51),1)</f>
        <v>#REF!</v>
      </c>
    </row>
    <row r="367" spans="1:10" x14ac:dyDescent="0.25">
      <c r="A367" t="str">
        <f>IF('[1]Processer - data'!A367&lt;&gt;"",'[1]Processer - data'!A367,"")</f>
        <v>Pil- og poppeldyrkning</v>
      </c>
      <c r="B367" t="str">
        <f>IF('[1]Processer - data'!B367&lt;&gt;"",'[1]Processer - data'!B367,"")</f>
        <v>Konventionel</v>
      </c>
      <c r="C367" t="str">
        <f>IF('[1]Processer - data'!C367&lt;&gt;"",'[1]Processer - data'!C367,"")</f>
        <v>JB1-10</v>
      </c>
      <c r="D367" t="str">
        <f>IF('[1]Processer - data'!D367&lt;&gt;"",'[1]Processer - data'!D367,"")</f>
        <v>Areal-pil-poppel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2" t="e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input'!$A$3:$A$230,$A$1)),IF(VLOOKUP($A367,[1]!Table1[#All],2,FALSE)="Resultat",SUMIF($F$1:$F366,$D367,H$1:H366)+SUMIF($F368:$F$490,$D367,H368:H$490),0))*'[1]Processer - data'!H367,"")*IF($C367&lt;&gt;"",IF($F367="Halm",Landbrug!C$16*Landbrug!C$17,IF(LEFT($D367,5)="Areal", IF($G367="Ton",Landbrug!C$18,1),1)),1)*IF($F367="Grøntsager",IF($A367="Grøntsager i drivhus",Landbrug!C$51,1-Landbrug!C$51),1)</f>
        <v>#REF!</v>
      </c>
      <c r="I367" s="303" t="e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input'!$A$3:$A$230,$A$1)),IF(VLOOKUP($A367,[1]!Table1[#All],2,FALSE)="Resultat",SUMIF($F$1:$F366,$D367,I$1:I366)+SUMIF($F368:$F$490,$D367,I368:I$490),0))*'[1]Processer - data'!I367,"")*IF($C367&lt;&gt;"",IF($F367="Halm",Landbrug!D$16*Landbrug!D$17,IF(LEFT($D367,5)="Areal", IF($G367="Ton",Landbrug!D$18,1),1)),1)*IF($F367="Grøntsager",IF($A367="Grøntsager i drivhus",Landbrug!D$51,1-Landbrug!D$51),1)</f>
        <v>#REF!</v>
      </c>
      <c r="J367" s="304" t="e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input'!$A$3:$A$230,$A$1)),IF(VLOOKUP($A367,[1]!Table1[#All],2,FALSE)="Resultat",SUMIF($F$1:$F366,$D367,J$1:J366)+SUMIF($F368:$F$490,$D367,J368:J$490),0))*'[1]Processer - data'!J367,"")*IF($C367&lt;&gt;"",IF($F367="Halm",Landbrug!E$16*Landbrug!E$17,IF(LEFT($D367,5)="Areal", IF($G367="Ton",Landbrug!E$18,1),1)),1)*IF($F367="Grøntsager",IF($A367="Grøntsager i drivhus",Landbrug!E$51,1-Landbrug!E$51),1)</f>
        <v>#REF!</v>
      </c>
    </row>
    <row r="368" spans="1:10" x14ac:dyDescent="0.25">
      <c r="A368" t="str">
        <f>IF('[1]Processer - data'!A368&lt;&gt;"",'[1]Processer - data'!A368,"")</f>
        <v>Pil- og poppeldyrkning</v>
      </c>
      <c r="B368" t="str">
        <f>IF('[1]Processer - data'!B368&lt;&gt;"",'[1]Processer - data'!B368,"")</f>
        <v>Konventionel</v>
      </c>
      <c r="C368" t="str">
        <f>IF('[1]Processer - data'!C368&lt;&gt;"",'[1]Processer - data'!C368,"")</f>
        <v>JB1-10</v>
      </c>
      <c r="D368" t="str">
        <f>IF('[1]Processer - data'!D368&lt;&gt;"",'[1]Processer - data'!D368,"")</f>
        <v>Areal-pil-poppel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2" t="e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input'!$A$3:$A$230,$A$1)),IF(VLOOKUP($A368,[1]!Table1[#All],2,FALSE)="Resultat",SUMIF($F$1:$F367,$D368,H$1:H367)+SUMIF($F369:$F$490,$D368,H369:H$490),0))*'[1]Processer - data'!H368,"")*IF($C368&lt;&gt;"",IF($F368="Halm",Landbrug!C$16*Landbrug!C$17,IF(LEFT($D368,5)="Areal", IF($G368="Ton",Landbrug!C$18,1),1)),1)*IF($F368="Grøntsager",IF($A368="Grøntsager i drivhus",Landbrug!C$51,1-Landbrug!C$51),1)</f>
        <v>#REF!</v>
      </c>
      <c r="I368" s="303" t="e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input'!$A$3:$A$230,$A$1)),IF(VLOOKUP($A368,[1]!Table1[#All],2,FALSE)="Resultat",SUMIF($F$1:$F367,$D368,I$1:I367)+SUMIF($F369:$F$490,$D368,I369:I$490),0))*'[1]Processer - data'!I368,"")*IF($C368&lt;&gt;"",IF($F368="Halm",Landbrug!D$16*Landbrug!D$17,IF(LEFT($D368,5)="Areal", IF($G368="Ton",Landbrug!D$18,1),1)),1)*IF($F368="Grøntsager",IF($A368="Grøntsager i drivhus",Landbrug!D$51,1-Landbrug!D$51),1)</f>
        <v>#REF!</v>
      </c>
      <c r="J368" s="304" t="e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input'!$A$3:$A$230,$A$1)),IF(VLOOKUP($A368,[1]!Table1[#All],2,FALSE)="Resultat",SUMIF($F$1:$F367,$D368,J$1:J367)+SUMIF($F369:$F$490,$D368,J369:J$490),0))*'[1]Processer - data'!J368,"")*IF($C368&lt;&gt;"",IF($F368="Halm",Landbrug!E$16*Landbrug!E$17,IF(LEFT($D368,5)="Areal", IF($G368="Ton",Landbrug!E$18,1),1)),1)*IF($F368="Grøntsager",IF($A368="Grøntsager i drivhus",Landbrug!E$51,1-Landbrug!E$51),1)</f>
        <v>#REF!</v>
      </c>
    </row>
    <row r="369" spans="1:10" x14ac:dyDescent="0.25">
      <c r="A369" t="str">
        <f>IF('[1]Processer - data'!A369&lt;&gt;"",'[1]Processer - data'!A369,"")</f>
        <v>Pil- og poppeldyrkning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OC6</v>
      </c>
      <c r="D369" t="str">
        <f>IF('[1]Processer - data'!D369&lt;&gt;"",'[1]Processer - data'!D369,"")</f>
        <v>Areal-pil-poppel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Pil &amp; poppel</v>
      </c>
      <c r="G369" t="str">
        <f>IF('[1]Processer - data'!G369&lt;&gt;"",'[1]Processer - data'!G369,"")</f>
        <v>Ton</v>
      </c>
      <c r="H369" s="302" t="e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input'!$A$3:$A$230,$A$1)),IF(VLOOKUP($A369,[1]!Table1[#All],2,FALSE)="Resultat",SUMIF($F$1:$F368,$D369,H$1:H368)+SUMIF($F370:$F$490,$D369,H370:H$490),0))*'[1]Processer - data'!H369,"")*IF($C369&lt;&gt;"",IF($F369="Halm",Landbrug!C$16*Landbrug!C$17,IF(LEFT($D369,5)="Areal", IF($G369="Ton",Landbrug!C$18,1),1)),1)*IF($F369="Grøntsager",IF($A369="Grøntsager i drivhus",Landbrug!C$51,1-Landbrug!C$51),1)</f>
        <v>#REF!</v>
      </c>
      <c r="I369" s="303" t="e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input'!$A$3:$A$230,$A$1)),IF(VLOOKUP($A369,[1]!Table1[#All],2,FALSE)="Resultat",SUMIF($F$1:$F368,$D369,I$1:I368)+SUMIF($F370:$F$490,$D369,I370:I$490),0))*'[1]Processer - data'!I369,"")*IF($C369&lt;&gt;"",IF($F369="Halm",Landbrug!D$16*Landbrug!D$17,IF(LEFT($D369,5)="Areal", IF($G369="Ton",Landbrug!D$18,1),1)),1)*IF($F369="Grøntsager",IF($A369="Grøntsager i drivhus",Landbrug!D$51,1-Landbrug!D$51),1)</f>
        <v>#REF!</v>
      </c>
      <c r="J369" s="304" t="e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input'!$A$3:$A$230,$A$1)),IF(VLOOKUP($A369,[1]!Table1[#All],2,FALSE)="Resultat",SUMIF($F$1:$F368,$D369,J$1:J368)+SUMIF($F370:$F$490,$D369,J370:J$490),0))*'[1]Processer - data'!J369,"")*IF($C369&lt;&gt;"",IF($F369="Halm",Landbrug!E$16*Landbrug!E$17,IF(LEFT($D369,5)="Areal", IF($G369="Ton",Landbrug!E$18,1),1)),1)*IF($F369="Grøntsager",IF($A369="Grøntsager i drivhus",Landbrug!E$51,1-Landbrug!E$51),1)</f>
        <v>#REF!</v>
      </c>
    </row>
    <row r="370" spans="1:10" x14ac:dyDescent="0.25">
      <c r="A370" t="str">
        <f>IF('[1]Processer - data'!A370&lt;&gt;"",'[1]Processer - data'!A370,"")</f>
        <v>Pil- og poppeldyrkning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OC6</v>
      </c>
      <c r="D370" t="str">
        <f>IF('[1]Processer - data'!D370&lt;&gt;"",'[1]Processer - data'!D370,"")</f>
        <v>Areal-pil-poppel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2" t="e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input'!$A$3:$A$230,$A$1)),IF(VLOOKUP($A370,[1]!Table1[#All],2,FALSE)="Resultat",SUMIF($F$1:$F369,$D370,H$1:H369)+SUMIF($F371:$F$490,$D370,H371:H$490),0))*'[1]Processer - data'!H370,"")*IF($C370&lt;&gt;"",IF($F370="Halm",Landbrug!C$16*Landbrug!C$17,IF(LEFT($D370,5)="Areal", IF($G370="Ton",Landbrug!C$18,1),1)),1)*IF($F370="Grøntsager",IF($A370="Grøntsager i drivhus",Landbrug!C$51,1-Landbrug!C$51),1)</f>
        <v>#REF!</v>
      </c>
      <c r="I370" s="303" t="e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input'!$A$3:$A$230,$A$1)),IF(VLOOKUP($A370,[1]!Table1[#All],2,FALSE)="Resultat",SUMIF($F$1:$F369,$D370,I$1:I369)+SUMIF($F371:$F$490,$D370,I371:I$490),0))*'[1]Processer - data'!I370,"")*IF($C370&lt;&gt;"",IF($F370="Halm",Landbrug!D$16*Landbrug!D$17,IF(LEFT($D370,5)="Areal", IF($G370="Ton",Landbrug!D$18,1),1)),1)*IF($F370="Grøntsager",IF($A370="Grøntsager i drivhus",Landbrug!D$51,1-Landbrug!D$51),1)</f>
        <v>#REF!</v>
      </c>
      <c r="J370" s="304" t="e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input'!$A$3:$A$230,$A$1)),IF(VLOOKUP($A370,[1]!Table1[#All],2,FALSE)="Resultat",SUMIF($F$1:$F369,$D370,J$1:J369)+SUMIF($F371:$F$490,$D370,J371:J$490),0))*'[1]Processer - data'!J370,"")*IF($C370&lt;&gt;"",IF($F370="Halm",Landbrug!E$16*Landbrug!E$17,IF(LEFT($D370,5)="Areal", IF($G370="Ton",Landbrug!E$18,1),1)),1)*IF($F370="Grøntsager",IF($A370="Grøntsager i drivhus",Landbrug!E$51,1-Landbrug!E$51),1)</f>
        <v>#REF!</v>
      </c>
    </row>
    <row r="371" spans="1:10" x14ac:dyDescent="0.25">
      <c r="A371" t="str">
        <f>IF('[1]Processer - data'!A371&lt;&gt;"",'[1]Processer - data'!A371,"")</f>
        <v>Pil- og poppeldyrkning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OC6</v>
      </c>
      <c r="D371" t="str">
        <f>IF('[1]Processer - data'!D371&lt;&gt;"",'[1]Processer - data'!D371,"")</f>
        <v>Areal-pil-poppel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2" t="e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input'!$A$3:$A$230,$A$1)),IF(VLOOKUP($A371,[1]!Table1[#All],2,FALSE)="Resultat",SUMIF($F$1:$F370,$D371,H$1:H370)+SUMIF($F372:$F$490,$D371,H372:H$490),0))*'[1]Processer - data'!H371,"")*IF($C371&lt;&gt;"",IF($F371="Halm",Landbrug!C$16*Landbrug!C$17,IF(LEFT($D371,5)="Areal", IF($G371="Ton",Landbrug!C$18,1),1)),1)*IF($F371="Grøntsager",IF($A371="Grøntsager i drivhus",Landbrug!C$51,1-Landbrug!C$51),1)</f>
        <v>#REF!</v>
      </c>
      <c r="I371" s="303" t="e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input'!$A$3:$A$230,$A$1)),IF(VLOOKUP($A371,[1]!Table1[#All],2,FALSE)="Resultat",SUMIF($F$1:$F370,$D371,I$1:I370)+SUMIF($F372:$F$490,$D371,I372:I$490),0))*'[1]Processer - data'!I371,"")*IF($C371&lt;&gt;"",IF($F371="Halm",Landbrug!D$16*Landbrug!D$17,IF(LEFT($D371,5)="Areal", IF($G371="Ton",Landbrug!D$18,1),1)),1)*IF($F371="Grøntsager",IF($A371="Grøntsager i drivhus",Landbrug!D$51,1-Landbrug!D$51),1)</f>
        <v>#REF!</v>
      </c>
      <c r="J371" s="304" t="e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input'!$A$3:$A$230,$A$1)),IF(VLOOKUP($A371,[1]!Table1[#All],2,FALSE)="Resultat",SUMIF($F$1:$F370,$D371,J$1:J370)+SUMIF($F372:$F$490,$D371,J372:J$490),0))*'[1]Processer - data'!J371,"")*IF($C371&lt;&gt;"",IF($F371="Halm",Landbrug!E$16*Landbrug!E$17,IF(LEFT($D371,5)="Areal", IF($G371="Ton",Landbrug!E$18,1),1)),1)*IF($F371="Grøntsager",IF($A371="Grøntsager i drivhus",Landbrug!E$51,1-Landbrug!E$51),1)</f>
        <v>#REF!</v>
      </c>
    </row>
    <row r="372" spans="1:10" x14ac:dyDescent="0.25">
      <c r="A372" t="str">
        <f>IF('[1]Processer - data'!A372&lt;&gt;"",'[1]Processer - data'!A372,"")</f>
        <v>Pil- og poppeldyrkning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OC12</v>
      </c>
      <c r="D372" t="str">
        <f>IF('[1]Processer - data'!D372&lt;&gt;"",'[1]Processer - data'!D372,"")</f>
        <v>Areal-pil-poppel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Pil &amp; poppel</v>
      </c>
      <c r="G372" t="str">
        <f>IF('[1]Processer - data'!G372&lt;&gt;"",'[1]Processer - data'!G372,"")</f>
        <v>Ton</v>
      </c>
      <c r="H372" s="302" t="e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input'!$A$3:$A$230,$A$1)),IF(VLOOKUP($A372,[1]!Table1[#All],2,FALSE)="Resultat",SUMIF($F$1:$F371,$D372,H$1:H371)+SUMIF($F373:$F$490,$D372,H373:H$490),0))*'[1]Processer - data'!H372,"")*IF($C372&lt;&gt;"",IF($F372="Halm",Landbrug!C$16*Landbrug!C$17,IF(LEFT($D372,5)="Areal", IF($G372="Ton",Landbrug!C$18,1),1)),1)*IF($F372="Grøntsager",IF($A372="Grøntsager i drivhus",Landbrug!C$51,1-Landbrug!C$51),1)</f>
        <v>#REF!</v>
      </c>
      <c r="I372" s="303" t="e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input'!$A$3:$A$230,$A$1)),IF(VLOOKUP($A372,[1]!Table1[#All],2,FALSE)="Resultat",SUMIF($F$1:$F371,$D372,I$1:I371)+SUMIF($F373:$F$490,$D372,I373:I$490),0))*'[1]Processer - data'!I372,"")*IF($C372&lt;&gt;"",IF($F372="Halm",Landbrug!D$16*Landbrug!D$17,IF(LEFT($D372,5)="Areal", IF($G372="Ton",Landbrug!D$18,1),1)),1)*IF($F372="Grøntsager",IF($A372="Grøntsager i drivhus",Landbrug!D$51,1-Landbrug!D$51),1)</f>
        <v>#REF!</v>
      </c>
      <c r="J372" s="304" t="e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input'!$A$3:$A$230,$A$1)),IF(VLOOKUP($A372,[1]!Table1[#All],2,FALSE)="Resultat",SUMIF($F$1:$F371,$D372,J$1:J371)+SUMIF($F373:$F$490,$D372,J373:J$490),0))*'[1]Processer - data'!J372,"")*IF($C372&lt;&gt;"",IF($F372="Halm",Landbrug!E$16*Landbrug!E$17,IF(LEFT($D372,5)="Areal", IF($G372="Ton",Landbrug!E$18,1),1)),1)*IF($F372="Grøntsager",IF($A372="Grøntsager i drivhus",Landbrug!E$51,1-Landbrug!E$51),1)</f>
        <v>#REF!</v>
      </c>
    </row>
    <row r="373" spans="1:10" x14ac:dyDescent="0.25">
      <c r="A373" t="str">
        <f>IF('[1]Processer - data'!A373&lt;&gt;"",'[1]Processer - data'!A373,"")</f>
        <v>Pil- og poppeldyrkning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OC12</v>
      </c>
      <c r="D373" t="str">
        <f>IF('[1]Processer - data'!D373&lt;&gt;"",'[1]Processer - data'!D373,"")</f>
        <v>Areal-pil-poppel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2" t="e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input'!$A$3:$A$230,$A$1)),IF(VLOOKUP($A373,[1]!Table1[#All],2,FALSE)="Resultat",SUMIF($F$1:$F372,$D373,H$1:H372)+SUMIF($F374:$F$490,$D373,H374:H$490),0))*'[1]Processer - data'!H373,"")*IF($C373&lt;&gt;"",IF($F373="Halm",Landbrug!C$16*Landbrug!C$17,IF(LEFT($D373,5)="Areal", IF($G373="Ton",Landbrug!C$18,1),1)),1)*IF($F373="Grøntsager",IF($A373="Grøntsager i drivhus",Landbrug!C$51,1-Landbrug!C$51),1)</f>
        <v>#REF!</v>
      </c>
      <c r="I373" s="303" t="e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input'!$A$3:$A$230,$A$1)),IF(VLOOKUP($A373,[1]!Table1[#All],2,FALSE)="Resultat",SUMIF($F$1:$F372,$D373,I$1:I372)+SUMIF($F374:$F$490,$D373,I374:I$490),0))*'[1]Processer - data'!I373,"")*IF($C373&lt;&gt;"",IF($F373="Halm",Landbrug!D$16*Landbrug!D$17,IF(LEFT($D373,5)="Areal", IF($G373="Ton",Landbrug!D$18,1),1)),1)*IF($F373="Grøntsager",IF($A373="Grøntsager i drivhus",Landbrug!D$51,1-Landbrug!D$51),1)</f>
        <v>#REF!</v>
      </c>
      <c r="J373" s="304" t="e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input'!$A$3:$A$230,$A$1)),IF(VLOOKUP($A373,[1]!Table1[#All],2,FALSE)="Resultat",SUMIF($F$1:$F372,$D373,J$1:J372)+SUMIF($F374:$F$490,$D373,J374:J$490),0))*'[1]Processer - data'!J373,"")*IF($C373&lt;&gt;"",IF($F373="Halm",Landbrug!E$16*Landbrug!E$17,IF(LEFT($D373,5)="Areal", IF($G373="Ton",Landbrug!E$18,1),1)),1)*IF($F373="Grøntsager",IF($A373="Grøntsager i drivhus",Landbrug!E$51,1-Landbrug!E$51),1)</f>
        <v>#REF!</v>
      </c>
    </row>
    <row r="374" spans="1:10" x14ac:dyDescent="0.25">
      <c r="A374" t="str">
        <f>IF('[1]Processer - data'!A374&lt;&gt;"",'[1]Processer - data'!A374,"")</f>
        <v>Pil- og poppeldyrkning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OC12</v>
      </c>
      <c r="D374" t="str">
        <f>IF('[1]Processer - data'!D374&lt;&gt;"",'[1]Processer - data'!D374,"")</f>
        <v>Areal-pil-poppel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2" t="e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input'!$A$3:$A$230,$A$1)),IF(VLOOKUP($A374,[1]!Table1[#All],2,FALSE)="Resultat",SUMIF($F$1:$F373,$D374,H$1:H373)+SUMIF($F375:$F$490,$D374,H375:H$490),0))*'[1]Processer - data'!H374,"")*IF($C374&lt;&gt;"",IF($F374="Halm",Landbrug!C$16*Landbrug!C$17,IF(LEFT($D374,5)="Areal", IF($G374="Ton",Landbrug!C$18,1),1)),1)*IF($F374="Grøntsager",IF($A374="Grøntsager i drivhus",Landbrug!C$51,1-Landbrug!C$51),1)</f>
        <v>#REF!</v>
      </c>
      <c r="I374" s="303" t="e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input'!$A$3:$A$230,$A$1)),IF(VLOOKUP($A374,[1]!Table1[#All],2,FALSE)="Resultat",SUMIF($F$1:$F373,$D374,I$1:I373)+SUMIF($F375:$F$490,$D374,I375:I$490),0))*'[1]Processer - data'!I374,"")*IF($C374&lt;&gt;"",IF($F374="Halm",Landbrug!D$16*Landbrug!D$17,IF(LEFT($D374,5)="Areal", IF($G374="Ton",Landbrug!D$18,1),1)),1)*IF($F374="Grøntsager",IF($A374="Grøntsager i drivhus",Landbrug!D$51,1-Landbrug!D$51),1)</f>
        <v>#REF!</v>
      </c>
      <c r="J374" s="304" t="e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input'!$A$3:$A$230,$A$1)),IF(VLOOKUP($A374,[1]!Table1[#All],2,FALSE)="Resultat",SUMIF($F$1:$F373,$D374,J$1:J373)+SUMIF($F375:$F$490,$D374,J375:J$490),0))*'[1]Processer - data'!J374,"")*IF($C374&lt;&gt;"",IF($F374="Halm",Landbrug!E$16*Landbrug!E$17,IF(LEFT($D374,5)="Areal", IF($G374="Ton",Landbrug!E$18,1),1)),1)*IF($F374="Grøntsager",IF($A374="Grøntsager i drivhus",Landbrug!E$51,1-Landbrug!E$51),1)</f>
        <v>#REF!</v>
      </c>
    </row>
    <row r="375" spans="1:10" x14ac:dyDescent="0.25">
      <c r="A375" t="str">
        <f>IF('[1]Processer - data'!A375&lt;&gt;"",'[1]Processer - data'!A375,"")</f>
        <v>Pil- og poppeldyrkning</v>
      </c>
      <c r="B375" t="str">
        <f>IF('[1]Processer - data'!B375&lt;&gt;"",'[1]Processer - data'!B375,"")</f>
        <v>Økologisk</v>
      </c>
      <c r="C375" t="str">
        <f>IF('[1]Processer - data'!C375&lt;&gt;"",'[1]Processer - data'!C375,"")</f>
        <v>JB1-10</v>
      </c>
      <c r="D375" t="str">
        <f>IF('[1]Processer - data'!D375&lt;&gt;"",'[1]Processer - data'!D375,"")</f>
        <v>Areal-pil-poppel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Pil &amp; poppel</v>
      </c>
      <c r="G375" t="str">
        <f>IF('[1]Processer - data'!G375&lt;&gt;"",'[1]Processer - data'!G375,"")</f>
        <v>Ton</v>
      </c>
      <c r="H375" s="302" t="e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input'!$A$3:$A$230,$A$1)),IF(VLOOKUP($A375,[1]!Table1[#All],2,FALSE)="Resultat",SUMIF($F$1:$F374,$D375,H$1:H374)+SUMIF($F376:$F$490,$D375,H376:H$490),0))*'[1]Processer - data'!H375,"")*IF($C375&lt;&gt;"",IF($F375="Halm",Landbrug!C$16*Landbrug!C$17,IF(LEFT($D375,5)="Areal", IF($G375="Ton",Landbrug!C$18,1),1)),1)*IF($F375="Grøntsager",IF($A375="Grøntsager i drivhus",Landbrug!C$51,1-Landbrug!C$51),1)</f>
        <v>#REF!</v>
      </c>
      <c r="I375" s="303" t="e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input'!$A$3:$A$230,$A$1)),IF(VLOOKUP($A375,[1]!Table1[#All],2,FALSE)="Resultat",SUMIF($F$1:$F374,$D375,I$1:I374)+SUMIF($F376:$F$490,$D375,I376:I$490),0))*'[1]Processer - data'!I375,"")*IF($C375&lt;&gt;"",IF($F375="Halm",Landbrug!D$16*Landbrug!D$17,IF(LEFT($D375,5)="Areal", IF($G375="Ton",Landbrug!D$18,1),1)),1)*IF($F375="Grøntsager",IF($A375="Grøntsager i drivhus",Landbrug!D$51,1-Landbrug!D$51),1)</f>
        <v>#REF!</v>
      </c>
      <c r="J375" s="304" t="e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input'!$A$3:$A$230,$A$1)),IF(VLOOKUP($A375,[1]!Table1[#All],2,FALSE)="Resultat",SUMIF($F$1:$F374,$D375,J$1:J374)+SUMIF($F376:$F$490,$D375,J376:J$490),0))*'[1]Processer - data'!J375,"")*IF($C375&lt;&gt;"",IF($F375="Halm",Landbrug!E$16*Landbrug!E$17,IF(LEFT($D375,5)="Areal", IF($G375="Ton",Landbrug!E$18,1),1)),1)*IF($F375="Grøntsager",IF($A375="Grøntsager i drivhus",Landbrug!E$51,1-Landbrug!E$51),1)</f>
        <v>#REF!</v>
      </c>
    </row>
    <row r="376" spans="1:10" x14ac:dyDescent="0.25">
      <c r="A376" t="str">
        <f>IF('[1]Processer - data'!A376&lt;&gt;"",'[1]Processer - data'!A376,"")</f>
        <v>Pil- og poppeldyrkning</v>
      </c>
      <c r="B376" t="str">
        <f>IF('[1]Processer - data'!B376&lt;&gt;"",'[1]Processer - data'!B376,"")</f>
        <v>Økologisk</v>
      </c>
      <c r="C376" t="str">
        <f>IF('[1]Processer - data'!C376&lt;&gt;"",'[1]Processer - data'!C376,"")</f>
        <v>JB1-10</v>
      </c>
      <c r="D376" t="str">
        <f>IF('[1]Processer - data'!D376&lt;&gt;"",'[1]Processer - data'!D376,"")</f>
        <v>Areal-pil-poppel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2" t="e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input'!$A$3:$A$230,$A$1)),IF(VLOOKUP($A376,[1]!Table1[#All],2,FALSE)="Resultat",SUMIF($F$1:$F375,$D376,H$1:H375)+SUMIF($F377:$F$490,$D376,H377:H$490),0))*'[1]Processer - data'!H376,"")*IF($C376&lt;&gt;"",IF($F376="Halm",Landbrug!C$16*Landbrug!C$17,IF(LEFT($D376,5)="Areal", IF($G376="Ton",Landbrug!C$18,1),1)),1)*IF($F376="Grøntsager",IF($A376="Grøntsager i drivhus",Landbrug!C$51,1-Landbrug!C$51),1)</f>
        <v>#REF!</v>
      </c>
      <c r="I376" s="303" t="e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input'!$A$3:$A$230,$A$1)),IF(VLOOKUP($A376,[1]!Table1[#All],2,FALSE)="Resultat",SUMIF($F$1:$F375,$D376,I$1:I375)+SUMIF($F377:$F$490,$D376,I377:I$490),0))*'[1]Processer - data'!I376,"")*IF($C376&lt;&gt;"",IF($F376="Halm",Landbrug!D$16*Landbrug!D$17,IF(LEFT($D376,5)="Areal", IF($G376="Ton",Landbrug!D$18,1),1)),1)*IF($F376="Grøntsager",IF($A376="Grøntsager i drivhus",Landbrug!D$51,1-Landbrug!D$51),1)</f>
        <v>#REF!</v>
      </c>
      <c r="J376" s="304" t="e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input'!$A$3:$A$230,$A$1)),IF(VLOOKUP($A376,[1]!Table1[#All],2,FALSE)="Resultat",SUMIF($F$1:$F375,$D376,J$1:J375)+SUMIF($F377:$F$490,$D376,J377:J$490),0))*'[1]Processer - data'!J376,"")*IF($C376&lt;&gt;"",IF($F376="Halm",Landbrug!E$16*Landbrug!E$17,IF(LEFT($D376,5)="Areal", IF($G376="Ton",Landbrug!E$18,1),1)),1)*IF($F376="Grøntsager",IF($A376="Grøntsager i drivhus",Landbrug!E$51,1-Landbrug!E$51),1)</f>
        <v>#REF!</v>
      </c>
    </row>
    <row r="377" spans="1:10" x14ac:dyDescent="0.25">
      <c r="A377" t="str">
        <f>IF('[1]Processer - data'!A377&lt;&gt;"",'[1]Processer - data'!A377,"")</f>
        <v>Pil- og poppeldyrkning</v>
      </c>
      <c r="B377" t="str">
        <f>IF('[1]Processer - data'!B377&lt;&gt;"",'[1]Processer - data'!B377,"")</f>
        <v>Økologisk</v>
      </c>
      <c r="C377" t="str">
        <f>IF('[1]Processer - data'!C377&lt;&gt;"",'[1]Processer - data'!C377,"")</f>
        <v>JB1-10</v>
      </c>
      <c r="D377" t="str">
        <f>IF('[1]Processer - data'!D377&lt;&gt;"",'[1]Processer - data'!D377,"")</f>
        <v>Areal-pil-poppel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2" t="e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input'!$A$3:$A$230,$A$1)),IF(VLOOKUP($A377,[1]!Table1[#All],2,FALSE)="Resultat",SUMIF($F$1:$F376,$D377,H$1:H376)+SUMIF($F378:$F$490,$D377,H378:H$490),0))*'[1]Processer - data'!H377,"")*IF($C377&lt;&gt;"",IF($F377="Halm",Landbrug!C$16*Landbrug!C$17,IF(LEFT($D377,5)="Areal", IF($G377="Ton",Landbrug!C$18,1),1)),1)*IF($F377="Grøntsager",IF($A377="Grøntsager i drivhus",Landbrug!C$51,1-Landbrug!C$51),1)</f>
        <v>#REF!</v>
      </c>
      <c r="I377" s="303" t="e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input'!$A$3:$A$230,$A$1)),IF(VLOOKUP($A377,[1]!Table1[#All],2,FALSE)="Resultat",SUMIF($F$1:$F376,$D377,I$1:I376)+SUMIF($F378:$F$490,$D377,I378:I$490),0))*'[1]Processer - data'!I377,"")*IF($C377&lt;&gt;"",IF($F377="Halm",Landbrug!D$16*Landbrug!D$17,IF(LEFT($D377,5)="Areal", IF($G377="Ton",Landbrug!D$18,1),1)),1)*IF($F377="Grøntsager",IF($A377="Grøntsager i drivhus",Landbrug!D$51,1-Landbrug!D$51),1)</f>
        <v>#REF!</v>
      </c>
      <c r="J377" s="304" t="e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input'!$A$3:$A$230,$A$1)),IF(VLOOKUP($A377,[1]!Table1[#All],2,FALSE)="Resultat",SUMIF($F$1:$F376,$D377,J$1:J376)+SUMIF($F378:$F$490,$D377,J378:J$490),0))*'[1]Processer - data'!J377,"")*IF($C377&lt;&gt;"",IF($F377="Halm",Landbrug!E$16*Landbrug!E$17,IF(LEFT($D377,5)="Areal", IF($G377="Ton",Landbrug!E$18,1),1)),1)*IF($F377="Grøntsager",IF($A377="Grøntsager i drivhus",Landbrug!E$51,1-Landbrug!E$51),1)</f>
        <v>#REF!</v>
      </c>
    </row>
    <row r="378" spans="1:10" x14ac:dyDescent="0.25">
      <c r="A378" t="str">
        <f>IF('[1]Processer - data'!A378&lt;&gt;"",'[1]Processer - data'!A378,"")</f>
        <v>Pil- og poppeldyrkning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OC6</v>
      </c>
      <c r="D378" t="str">
        <f>IF('[1]Processer - data'!D378&lt;&gt;"",'[1]Processer - data'!D378,"")</f>
        <v>Areal-pil-poppel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Pil &amp; poppel</v>
      </c>
      <c r="G378" t="str">
        <f>IF('[1]Processer - data'!G378&lt;&gt;"",'[1]Processer - data'!G378,"")</f>
        <v>Ton</v>
      </c>
      <c r="H378" s="302" t="e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input'!$A$3:$A$230,$A$1)),IF(VLOOKUP($A378,[1]!Table1[#All],2,FALSE)="Resultat",SUMIF($F$1:$F377,$D378,H$1:H377)+SUMIF($F379:$F$490,$D378,H379:H$490),0))*'[1]Processer - data'!H378,"")*IF($C378&lt;&gt;"",IF($F378="Halm",Landbrug!C$16*Landbrug!C$17,IF(LEFT($D378,5)="Areal", IF($G378="Ton",Landbrug!C$18,1),1)),1)*IF($F378="Grøntsager",IF($A378="Grøntsager i drivhus",Landbrug!C$51,1-Landbrug!C$51),1)</f>
        <v>#REF!</v>
      </c>
      <c r="I378" s="303" t="e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input'!$A$3:$A$230,$A$1)),IF(VLOOKUP($A378,[1]!Table1[#All],2,FALSE)="Resultat",SUMIF($F$1:$F377,$D378,I$1:I377)+SUMIF($F379:$F$490,$D378,I379:I$490),0))*'[1]Processer - data'!I378,"")*IF($C378&lt;&gt;"",IF($F378="Halm",Landbrug!D$16*Landbrug!D$17,IF(LEFT($D378,5)="Areal", IF($G378="Ton",Landbrug!D$18,1),1)),1)*IF($F378="Grøntsager",IF($A378="Grøntsager i drivhus",Landbrug!D$51,1-Landbrug!D$51),1)</f>
        <v>#REF!</v>
      </c>
      <c r="J378" s="304" t="e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input'!$A$3:$A$230,$A$1)),IF(VLOOKUP($A378,[1]!Table1[#All],2,FALSE)="Resultat",SUMIF($F$1:$F377,$D378,J$1:J377)+SUMIF($F379:$F$490,$D378,J379:J$490),0))*'[1]Processer - data'!J378,"")*IF($C378&lt;&gt;"",IF($F378="Halm",Landbrug!E$16*Landbrug!E$17,IF(LEFT($D378,5)="Areal", IF($G378="Ton",Landbrug!E$18,1),1)),1)*IF($F378="Grøntsager",IF($A378="Grøntsager i drivhus",Landbrug!E$51,1-Landbrug!E$51),1)</f>
        <v>#REF!</v>
      </c>
    </row>
    <row r="379" spans="1:10" x14ac:dyDescent="0.25">
      <c r="A379" t="str">
        <f>IF('[1]Processer - data'!A379&lt;&gt;"",'[1]Processer - data'!A379,"")</f>
        <v>Pil- og poppeldyrkning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OC6</v>
      </c>
      <c r="D379" t="str">
        <f>IF('[1]Processer - data'!D379&lt;&gt;"",'[1]Processer - data'!D379,"")</f>
        <v>Areal-pil-poppel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2" t="e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input'!$A$3:$A$230,$A$1)),IF(VLOOKUP($A379,[1]!Table1[#All],2,FALSE)="Resultat",SUMIF($F$1:$F378,$D379,H$1:H378)+SUMIF($F380:$F$490,$D379,H380:H$490),0))*'[1]Processer - data'!H379,"")*IF($C379&lt;&gt;"",IF($F379="Halm",Landbrug!C$16*Landbrug!C$17,IF(LEFT($D379,5)="Areal", IF($G379="Ton",Landbrug!C$18,1),1)),1)*IF($F379="Grøntsager",IF($A379="Grøntsager i drivhus",Landbrug!C$51,1-Landbrug!C$51),1)</f>
        <v>#REF!</v>
      </c>
      <c r="I379" s="303" t="e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input'!$A$3:$A$230,$A$1)),IF(VLOOKUP($A379,[1]!Table1[#All],2,FALSE)="Resultat",SUMIF($F$1:$F378,$D379,I$1:I378)+SUMIF($F380:$F$490,$D379,I380:I$490),0))*'[1]Processer - data'!I379,"")*IF($C379&lt;&gt;"",IF($F379="Halm",Landbrug!D$16*Landbrug!D$17,IF(LEFT($D379,5)="Areal", IF($G379="Ton",Landbrug!D$18,1),1)),1)*IF($F379="Grøntsager",IF($A379="Grøntsager i drivhus",Landbrug!D$51,1-Landbrug!D$51),1)</f>
        <v>#REF!</v>
      </c>
      <c r="J379" s="304" t="e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input'!$A$3:$A$230,$A$1)),IF(VLOOKUP($A379,[1]!Table1[#All],2,FALSE)="Resultat",SUMIF($F$1:$F378,$D379,J$1:J378)+SUMIF($F380:$F$490,$D379,J380:J$490),0))*'[1]Processer - data'!J379,"")*IF($C379&lt;&gt;"",IF($F379="Halm",Landbrug!E$16*Landbrug!E$17,IF(LEFT($D379,5)="Areal", IF($G379="Ton",Landbrug!E$18,1),1)),1)*IF($F379="Grøntsager",IF($A379="Grøntsager i drivhus",Landbrug!E$51,1-Landbrug!E$51),1)</f>
        <v>#REF!</v>
      </c>
    </row>
    <row r="380" spans="1:10" x14ac:dyDescent="0.25">
      <c r="A380" t="str">
        <f>IF('[1]Processer - data'!A380&lt;&gt;"",'[1]Processer - data'!A380,"")</f>
        <v>Pil- og poppeldyrkning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OC6</v>
      </c>
      <c r="D380" t="str">
        <f>IF('[1]Processer - data'!D380&lt;&gt;"",'[1]Processer - data'!D380,"")</f>
        <v>Areal-pil-poppel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2" t="e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input'!$A$3:$A$230,$A$1)),IF(VLOOKUP($A380,[1]!Table1[#All],2,FALSE)="Resultat",SUMIF($F$1:$F379,$D380,H$1:H379)+SUMIF($F381:$F$490,$D380,H381:H$490),0))*'[1]Processer - data'!H380,"")*IF($C380&lt;&gt;"",IF($F380="Halm",Landbrug!C$16*Landbrug!C$17,IF(LEFT($D380,5)="Areal", IF($G380="Ton",Landbrug!C$18,1),1)),1)*IF($F380="Grøntsager",IF($A380="Grøntsager i drivhus",Landbrug!C$51,1-Landbrug!C$51),1)</f>
        <v>#REF!</v>
      </c>
      <c r="I380" s="303" t="e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input'!$A$3:$A$230,$A$1)),IF(VLOOKUP($A380,[1]!Table1[#All],2,FALSE)="Resultat",SUMIF($F$1:$F379,$D380,I$1:I379)+SUMIF($F381:$F$490,$D380,I381:I$490),0))*'[1]Processer - data'!I380,"")*IF($C380&lt;&gt;"",IF($F380="Halm",Landbrug!D$16*Landbrug!D$17,IF(LEFT($D380,5)="Areal", IF($G380="Ton",Landbrug!D$18,1),1)),1)*IF($F380="Grøntsager",IF($A380="Grøntsager i drivhus",Landbrug!D$51,1-Landbrug!D$51),1)</f>
        <v>#REF!</v>
      </c>
      <c r="J380" s="304" t="e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input'!$A$3:$A$230,$A$1)),IF(VLOOKUP($A380,[1]!Table1[#All],2,FALSE)="Resultat",SUMIF($F$1:$F379,$D380,J$1:J379)+SUMIF($F381:$F$490,$D380,J381:J$490),0))*'[1]Processer - data'!J380,"")*IF($C380&lt;&gt;"",IF($F380="Halm",Landbrug!E$16*Landbrug!E$17,IF(LEFT($D380,5)="Areal", IF($G380="Ton",Landbrug!E$18,1),1)),1)*IF($F380="Grøntsager",IF($A380="Grøntsager i drivhus",Landbrug!E$51,1-Landbrug!E$51),1)</f>
        <v>#REF!</v>
      </c>
    </row>
    <row r="381" spans="1:10" x14ac:dyDescent="0.25">
      <c r="A381" t="str">
        <f>IF('[1]Processer - data'!A381&lt;&gt;"",'[1]Processer - data'!A381,"")</f>
        <v>Pil- og poppeldyrkning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OC12</v>
      </c>
      <c r="D381" t="str">
        <f>IF('[1]Processer - data'!D381&lt;&gt;"",'[1]Processer - data'!D381,"")</f>
        <v>Areal-pil-poppel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Pil &amp; poppel</v>
      </c>
      <c r="G381" t="str">
        <f>IF('[1]Processer - data'!G381&lt;&gt;"",'[1]Processer - data'!G381,"")</f>
        <v>Ton</v>
      </c>
      <c r="H381" s="302" t="e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input'!$A$3:$A$230,$A$1)),IF(VLOOKUP($A381,[1]!Table1[#All],2,FALSE)="Resultat",SUMIF($F$1:$F380,$D381,H$1:H380)+SUMIF($F382:$F$490,$D381,H382:H$490),0))*'[1]Processer - data'!H381,"")*IF($C381&lt;&gt;"",IF($F381="Halm",Landbrug!C$16*Landbrug!C$17,IF(LEFT($D381,5)="Areal", IF($G381="Ton",Landbrug!C$18,1),1)),1)*IF($F381="Grøntsager",IF($A381="Grøntsager i drivhus",Landbrug!C$51,1-Landbrug!C$51),1)</f>
        <v>#REF!</v>
      </c>
      <c r="I381" s="303" t="e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input'!$A$3:$A$230,$A$1)),IF(VLOOKUP($A381,[1]!Table1[#All],2,FALSE)="Resultat",SUMIF($F$1:$F380,$D381,I$1:I380)+SUMIF($F382:$F$490,$D381,I382:I$490),0))*'[1]Processer - data'!I381,"")*IF($C381&lt;&gt;"",IF($F381="Halm",Landbrug!D$16*Landbrug!D$17,IF(LEFT($D381,5)="Areal", IF($G381="Ton",Landbrug!D$18,1),1)),1)*IF($F381="Grøntsager",IF($A381="Grøntsager i drivhus",Landbrug!D$51,1-Landbrug!D$51),1)</f>
        <v>#REF!</v>
      </c>
      <c r="J381" s="304" t="e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input'!$A$3:$A$230,$A$1)),IF(VLOOKUP($A381,[1]!Table1[#All],2,FALSE)="Resultat",SUMIF($F$1:$F380,$D381,J$1:J380)+SUMIF($F382:$F$490,$D381,J382:J$490),0))*'[1]Processer - data'!J381,"")*IF($C381&lt;&gt;"",IF($F381="Halm",Landbrug!E$16*Landbrug!E$17,IF(LEFT($D381,5)="Areal", IF($G381="Ton",Landbrug!E$18,1),1)),1)*IF($F381="Grøntsager",IF($A381="Grøntsager i drivhus",Landbrug!E$51,1-Landbrug!E$51),1)</f>
        <v>#REF!</v>
      </c>
    </row>
    <row r="382" spans="1:10" x14ac:dyDescent="0.25">
      <c r="A382" t="str">
        <f>IF('[1]Processer - data'!A382&lt;&gt;"",'[1]Processer - data'!A382,"")</f>
        <v>Pil- og poppeldyrkning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OC12</v>
      </c>
      <c r="D382" t="str">
        <f>IF('[1]Processer - data'!D382&lt;&gt;"",'[1]Processer - data'!D382,"")</f>
        <v>Areal-pil-poppel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2" t="e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input'!$A$3:$A$230,$A$1)),IF(VLOOKUP($A382,[1]!Table1[#All],2,FALSE)="Resultat",SUMIF($F$1:$F381,$D382,H$1:H381)+SUMIF($F383:$F$490,$D382,H383:H$490),0))*'[1]Processer - data'!H382,"")*IF($C382&lt;&gt;"",IF($F382="Halm",Landbrug!C$16*Landbrug!C$17,IF(LEFT($D382,5)="Areal", IF($G382="Ton",Landbrug!C$18,1),1)),1)*IF($F382="Grøntsager",IF($A382="Grøntsager i drivhus",Landbrug!C$51,1-Landbrug!C$51),1)</f>
        <v>#REF!</v>
      </c>
      <c r="I382" s="303" t="e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input'!$A$3:$A$230,$A$1)),IF(VLOOKUP($A382,[1]!Table1[#All],2,FALSE)="Resultat",SUMIF($F$1:$F381,$D382,I$1:I381)+SUMIF($F383:$F$490,$D382,I383:I$490),0))*'[1]Processer - data'!I382,"")*IF($C382&lt;&gt;"",IF($F382="Halm",Landbrug!D$16*Landbrug!D$17,IF(LEFT($D382,5)="Areal", IF($G382="Ton",Landbrug!D$18,1),1)),1)*IF($F382="Grøntsager",IF($A382="Grøntsager i drivhus",Landbrug!D$51,1-Landbrug!D$51),1)</f>
        <v>#REF!</v>
      </c>
      <c r="J382" s="304" t="e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input'!$A$3:$A$230,$A$1)),IF(VLOOKUP($A382,[1]!Table1[#All],2,FALSE)="Resultat",SUMIF($F$1:$F381,$D382,J$1:J381)+SUMIF($F383:$F$490,$D382,J383:J$490),0))*'[1]Processer - data'!J382,"")*IF($C382&lt;&gt;"",IF($F382="Halm",Landbrug!E$16*Landbrug!E$17,IF(LEFT($D382,5)="Areal", IF($G382="Ton",Landbrug!E$18,1),1)),1)*IF($F382="Grøntsager",IF($A382="Grøntsager i drivhus",Landbrug!E$51,1-Landbrug!E$51),1)</f>
        <v>#REF!</v>
      </c>
    </row>
    <row r="383" spans="1:10" x14ac:dyDescent="0.25">
      <c r="A383" t="str">
        <f>IF('[1]Processer - data'!A383&lt;&gt;"",'[1]Processer - data'!A383,"")</f>
        <v>Pil- og poppeldyrkning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OC12</v>
      </c>
      <c r="D383" t="str">
        <f>IF('[1]Processer - data'!D383&lt;&gt;"",'[1]Processer - data'!D383,"")</f>
        <v>Areal-pil-poppel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2" t="e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input'!$A$3:$A$230,$A$1)),IF(VLOOKUP($A383,[1]!Table1[#All],2,FALSE)="Resultat",SUMIF($F$1:$F382,$D383,H$1:H382)+SUMIF($F384:$F$490,$D383,H384:H$490),0))*'[1]Processer - data'!H383,"")*IF($C383&lt;&gt;"",IF($F383="Halm",Landbrug!C$16*Landbrug!C$17,IF(LEFT($D383,5)="Areal", IF($G383="Ton",Landbrug!C$18,1),1)),1)*IF($F383="Grøntsager",IF($A383="Grøntsager i drivhus",Landbrug!C$51,1-Landbrug!C$51),1)</f>
        <v>#REF!</v>
      </c>
      <c r="I383" s="303" t="e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input'!$A$3:$A$230,$A$1)),IF(VLOOKUP($A383,[1]!Table1[#All],2,FALSE)="Resultat",SUMIF($F$1:$F382,$D383,I$1:I382)+SUMIF($F384:$F$490,$D383,I384:I$490),0))*'[1]Processer - data'!I383,"")*IF($C383&lt;&gt;"",IF($F383="Halm",Landbrug!D$16*Landbrug!D$17,IF(LEFT($D383,5)="Areal", IF($G383="Ton",Landbrug!D$18,1),1)),1)*IF($F383="Grøntsager",IF($A383="Grøntsager i drivhus",Landbrug!D$51,1-Landbrug!D$51),1)</f>
        <v>#REF!</v>
      </c>
      <c r="J383" s="304" t="e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input'!$A$3:$A$230,$A$1)),IF(VLOOKUP($A383,[1]!Table1[#All],2,FALSE)="Resultat",SUMIF($F$1:$F382,$D383,J$1:J382)+SUMIF($F384:$F$490,$D383,J384:J$490),0))*'[1]Processer - data'!J383,"")*IF($C383&lt;&gt;"",IF($F383="Halm",Landbrug!E$16*Landbrug!E$17,IF(LEFT($D383,5)="Areal", IF($G383="Ton",Landbrug!E$18,1),1)),1)*IF($F383="Grøntsager",IF($A383="Grøntsager i drivhus",Landbrug!E$51,1-Landbrug!E$51),1)</f>
        <v>#REF!</v>
      </c>
    </row>
    <row r="384" spans="1:10" x14ac:dyDescent="0.25">
      <c r="A384" t="str">
        <f>IF('[1]Processer - data'!A384&lt;&gt;"",'[1]Processer - data'!A384,"")</f>
        <v>Permanent græs</v>
      </c>
      <c r="B384" t="str">
        <f>IF('[1]Processer - data'!B384&lt;&gt;"",'[1]Processer - data'!B384,"")</f>
        <v>Konventionel</v>
      </c>
      <c r="C384" t="str">
        <f>IF('[1]Processer - data'!C384&lt;&gt;"",'[1]Processer - data'!C384,"")</f>
        <v>JB1-10</v>
      </c>
      <c r="D384" t="str">
        <f>IF('[1]Processer - data'!D384&lt;&gt;"",'[1]Processer - data'!D384,"")</f>
        <v>Areal-permanent græs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Græs</v>
      </c>
      <c r="G384" t="str">
        <f>IF('[1]Processer - data'!G384&lt;&gt;"",'[1]Processer - data'!G384,"")</f>
        <v>Ton</v>
      </c>
      <c r="H384" s="302" t="e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input'!$A$3:$A$230,$A$1)),IF(VLOOKUP($A384,[1]!Table1[#All],2,FALSE)="Resultat",SUMIF($F$1:$F383,$D384,H$1:H383)+SUMIF($F385:$F$490,$D384,H385:H$490),0))*'[1]Processer - data'!H384,"")*IF($C384&lt;&gt;"",IF($F384="Halm",Landbrug!C$16*Landbrug!C$17,IF(LEFT($D384,5)="Areal", IF($G384="Ton",Landbrug!C$18,1),1)),1)*IF($F384="Grøntsager",IF($A384="Grøntsager i drivhus",Landbrug!C$51,1-Landbrug!C$51),1)</f>
        <v>#REF!</v>
      </c>
      <c r="I384" s="303" t="e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input'!$A$3:$A$230,$A$1)),IF(VLOOKUP($A384,[1]!Table1[#All],2,FALSE)="Resultat",SUMIF($F$1:$F383,$D384,I$1:I383)+SUMIF($F385:$F$490,$D384,I385:I$490),0))*'[1]Processer - data'!I384,"")*IF($C384&lt;&gt;"",IF($F384="Halm",Landbrug!D$16*Landbrug!D$17,IF(LEFT($D384,5)="Areal", IF($G384="Ton",Landbrug!D$18,1),1)),1)*IF($F384="Grøntsager",IF($A384="Grøntsager i drivhus",Landbrug!D$51,1-Landbrug!D$51),1)</f>
        <v>#REF!</v>
      </c>
      <c r="J384" s="304" t="e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input'!$A$3:$A$230,$A$1)),IF(VLOOKUP($A384,[1]!Table1[#All],2,FALSE)="Resultat",SUMIF($F$1:$F383,$D384,J$1:J383)+SUMIF($F385:$F$490,$D384,J385:J$490),0))*'[1]Processer - data'!J384,"")*IF($C384&lt;&gt;"",IF($F384="Halm",Landbrug!E$16*Landbrug!E$17,IF(LEFT($D384,5)="Areal", IF($G384="Ton",Landbrug!E$18,1),1)),1)*IF($F384="Grøntsager",IF($A384="Grøntsager i drivhus",Landbrug!E$51,1-Landbrug!E$51),1)</f>
        <v>#REF!</v>
      </c>
    </row>
    <row r="385" spans="1:10" x14ac:dyDescent="0.25">
      <c r="A385" t="str">
        <f>IF('[1]Processer - data'!A385&lt;&gt;"",'[1]Processer - data'!A385,"")</f>
        <v>Permanent græs</v>
      </c>
      <c r="B385" t="str">
        <f>IF('[1]Processer - data'!B385&lt;&gt;"",'[1]Processer - data'!B385,"")</f>
        <v>Konventionel</v>
      </c>
      <c r="C385" t="str">
        <f>IF('[1]Processer - data'!C385&lt;&gt;"",'[1]Processer - data'!C385,"")</f>
        <v>JB1-10</v>
      </c>
      <c r="D385" t="str">
        <f>IF('[1]Processer - data'!D385&lt;&gt;"",'[1]Processer - data'!D385,"")</f>
        <v>Areal-permanent græs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2" t="e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input'!$A$3:$A$230,$A$1)),IF(VLOOKUP($A385,[1]!Table1[#All],2,FALSE)="Resultat",SUMIF($F$1:$F384,$D385,H$1:H384)+SUMIF($F386:$F$490,$D385,H386:H$490),0))*'[1]Processer - data'!H385,"")*IF($C385&lt;&gt;"",IF($F385="Halm",Landbrug!C$16*Landbrug!C$17,IF(LEFT($D385,5)="Areal", IF($G385="Ton",Landbrug!C$18,1),1)),1)*IF($F385="Grøntsager",IF($A385="Grøntsager i drivhus",Landbrug!C$51,1-Landbrug!C$51),1)</f>
        <v>#REF!</v>
      </c>
      <c r="I385" s="303" t="e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input'!$A$3:$A$230,$A$1)),IF(VLOOKUP($A385,[1]!Table1[#All],2,FALSE)="Resultat",SUMIF($F$1:$F384,$D385,I$1:I384)+SUMIF($F386:$F$490,$D385,I386:I$490),0))*'[1]Processer - data'!I385,"")*IF($C385&lt;&gt;"",IF($F385="Halm",Landbrug!D$16*Landbrug!D$17,IF(LEFT($D385,5)="Areal", IF($G385="Ton",Landbrug!D$18,1),1)),1)*IF($F385="Grøntsager",IF($A385="Grøntsager i drivhus",Landbrug!D$51,1-Landbrug!D$51),1)</f>
        <v>#REF!</v>
      </c>
      <c r="J385" s="304" t="e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input'!$A$3:$A$230,$A$1)),IF(VLOOKUP($A385,[1]!Table1[#All],2,FALSE)="Resultat",SUMIF($F$1:$F384,$D385,J$1:J384)+SUMIF($F386:$F$490,$D385,J386:J$490),0))*'[1]Processer - data'!J385,"")*IF($C385&lt;&gt;"",IF($F385="Halm",Landbrug!E$16*Landbrug!E$17,IF(LEFT($D385,5)="Areal", IF($G385="Ton",Landbrug!E$18,1),1)),1)*IF($F385="Grøntsager",IF($A385="Grøntsager i drivhus",Landbrug!E$51,1-Landbrug!E$51),1)</f>
        <v>#REF!</v>
      </c>
    </row>
    <row r="386" spans="1:10" x14ac:dyDescent="0.25">
      <c r="A386" t="str">
        <f>IF('[1]Processer - data'!A386&lt;&gt;"",'[1]Processer - data'!A386,"")</f>
        <v>Permanent græs</v>
      </c>
      <c r="B386" t="str">
        <f>IF('[1]Processer - data'!B386&lt;&gt;"",'[1]Processer - data'!B386,"")</f>
        <v>Konventionel</v>
      </c>
      <c r="C386" t="str">
        <f>IF('[1]Processer - data'!C386&lt;&gt;"",'[1]Processer - data'!C386,"")</f>
        <v>JB1-10</v>
      </c>
      <c r="D386" t="str">
        <f>IF('[1]Processer - data'!D386&lt;&gt;"",'[1]Processer - data'!D386,"")</f>
        <v>Areal-permanent græs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2" t="e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input'!$A$3:$A$230,$A$1)),IF(VLOOKUP($A386,[1]!Table1[#All],2,FALSE)="Resultat",SUMIF($F$1:$F385,$D386,H$1:H385)+SUMIF($F387:$F$490,$D386,H387:H$490),0))*'[1]Processer - data'!H386,"")*IF($C386&lt;&gt;"",IF($F386="Halm",Landbrug!C$16*Landbrug!C$17,IF(LEFT($D386,5)="Areal", IF($G386="Ton",Landbrug!C$18,1),1)),1)*IF($F386="Grøntsager",IF($A386="Grøntsager i drivhus",Landbrug!C$51,1-Landbrug!C$51),1)</f>
        <v>#REF!</v>
      </c>
      <c r="I386" s="303" t="e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input'!$A$3:$A$230,$A$1)),IF(VLOOKUP($A386,[1]!Table1[#All],2,FALSE)="Resultat",SUMIF($F$1:$F385,$D386,I$1:I385)+SUMIF($F387:$F$490,$D386,I387:I$490),0))*'[1]Processer - data'!I386,"")*IF($C386&lt;&gt;"",IF($F386="Halm",Landbrug!D$16*Landbrug!D$17,IF(LEFT($D386,5)="Areal", IF($G386="Ton",Landbrug!D$18,1),1)),1)*IF($F386="Grøntsager",IF($A386="Grøntsager i drivhus",Landbrug!D$51,1-Landbrug!D$51),1)</f>
        <v>#REF!</v>
      </c>
      <c r="J386" s="304" t="e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input'!$A$3:$A$230,$A$1)),IF(VLOOKUP($A386,[1]!Table1[#All],2,FALSE)="Resultat",SUMIF($F$1:$F385,$D386,J$1:J385)+SUMIF($F387:$F$490,$D386,J387:J$490),0))*'[1]Processer - data'!J386,"")*IF($C386&lt;&gt;"",IF($F386="Halm",Landbrug!E$16*Landbrug!E$17,IF(LEFT($D386,5)="Areal", IF($G386="Ton",Landbrug!E$18,1),1)),1)*IF($F386="Grøntsager",IF($A386="Grøntsager i drivhus",Landbrug!E$51,1-Landbrug!E$51),1)</f>
        <v>#REF!</v>
      </c>
    </row>
    <row r="387" spans="1:10" x14ac:dyDescent="0.25">
      <c r="A387" t="str">
        <f>IF('[1]Processer - data'!A387&lt;&gt;"",'[1]Processer - data'!A387,"")</f>
        <v>Permanent græs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OC6</v>
      </c>
      <c r="D387" t="str">
        <f>IF('[1]Processer - data'!D387&lt;&gt;"",'[1]Processer - data'!D387,"")</f>
        <v>Areal-permanent græs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Græs</v>
      </c>
      <c r="G387" t="str">
        <f>IF('[1]Processer - data'!G387&lt;&gt;"",'[1]Processer - data'!G387,"")</f>
        <v>Ton</v>
      </c>
      <c r="H387" s="302" t="e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input'!$A$3:$A$230,$A$1)),IF(VLOOKUP($A387,[1]!Table1[#All],2,FALSE)="Resultat",SUMIF($F$1:$F386,$D387,H$1:H386)+SUMIF($F388:$F$490,$D387,H388:H$490),0))*'[1]Processer - data'!H387,"")*IF($C387&lt;&gt;"",IF($F387="Halm",Landbrug!C$16*Landbrug!C$17,IF(LEFT($D387,5)="Areal", IF($G387="Ton",Landbrug!C$18,1),1)),1)*IF($F387="Grøntsager",IF($A387="Grøntsager i drivhus",Landbrug!C$51,1-Landbrug!C$51),1)</f>
        <v>#REF!</v>
      </c>
      <c r="I387" s="303" t="e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input'!$A$3:$A$230,$A$1)),IF(VLOOKUP($A387,[1]!Table1[#All],2,FALSE)="Resultat",SUMIF($F$1:$F386,$D387,I$1:I386)+SUMIF($F388:$F$490,$D387,I388:I$490),0))*'[1]Processer - data'!I387,"")*IF($C387&lt;&gt;"",IF($F387="Halm",Landbrug!D$16*Landbrug!D$17,IF(LEFT($D387,5)="Areal", IF($G387="Ton",Landbrug!D$18,1),1)),1)*IF($F387="Grøntsager",IF($A387="Grøntsager i drivhus",Landbrug!D$51,1-Landbrug!D$51),1)</f>
        <v>#REF!</v>
      </c>
      <c r="J387" s="304" t="e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input'!$A$3:$A$230,$A$1)),IF(VLOOKUP($A387,[1]!Table1[#All],2,FALSE)="Resultat",SUMIF($F$1:$F386,$D387,J$1:J386)+SUMIF($F388:$F$490,$D387,J388:J$490),0))*'[1]Processer - data'!J387,"")*IF($C387&lt;&gt;"",IF($F387="Halm",Landbrug!E$16*Landbrug!E$17,IF(LEFT($D387,5)="Areal", IF($G387="Ton",Landbrug!E$18,1),1)),1)*IF($F387="Grøntsager",IF($A387="Grøntsager i drivhus",Landbrug!E$51,1-Landbrug!E$51),1)</f>
        <v>#REF!</v>
      </c>
    </row>
    <row r="388" spans="1:10" x14ac:dyDescent="0.25">
      <c r="A388" t="str">
        <f>IF('[1]Processer - data'!A388&lt;&gt;"",'[1]Processer - data'!A388,"")</f>
        <v>Permanent græs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OC6</v>
      </c>
      <c r="D388" t="str">
        <f>IF('[1]Processer - data'!D388&lt;&gt;"",'[1]Processer - data'!D388,"")</f>
        <v>Areal-permanent græs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2" t="e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input'!$A$3:$A$230,$A$1)),IF(VLOOKUP($A388,[1]!Table1[#All],2,FALSE)="Resultat",SUMIF($F$1:$F387,$D388,H$1:H387)+SUMIF($F389:$F$490,$D388,H389:H$490),0))*'[1]Processer - data'!H388,"")*IF($C388&lt;&gt;"",IF($F388="Halm",Landbrug!C$16*Landbrug!C$17,IF(LEFT($D388,5)="Areal", IF($G388="Ton",Landbrug!C$18,1),1)),1)*IF($F388="Grøntsager",IF($A388="Grøntsager i drivhus",Landbrug!C$51,1-Landbrug!C$51),1)</f>
        <v>#REF!</v>
      </c>
      <c r="I388" s="303" t="e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input'!$A$3:$A$230,$A$1)),IF(VLOOKUP($A388,[1]!Table1[#All],2,FALSE)="Resultat",SUMIF($F$1:$F387,$D388,I$1:I387)+SUMIF($F389:$F$490,$D388,I389:I$490),0))*'[1]Processer - data'!I388,"")*IF($C388&lt;&gt;"",IF($F388="Halm",Landbrug!D$16*Landbrug!D$17,IF(LEFT($D388,5)="Areal", IF($G388="Ton",Landbrug!D$18,1),1)),1)*IF($F388="Grøntsager",IF($A388="Grøntsager i drivhus",Landbrug!D$51,1-Landbrug!D$51),1)</f>
        <v>#REF!</v>
      </c>
      <c r="J388" s="304" t="e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input'!$A$3:$A$230,$A$1)),IF(VLOOKUP($A388,[1]!Table1[#All],2,FALSE)="Resultat",SUMIF($F$1:$F387,$D388,J$1:J387)+SUMIF($F389:$F$490,$D388,J389:J$490),0))*'[1]Processer - data'!J388,"")*IF($C388&lt;&gt;"",IF($F388="Halm",Landbrug!E$16*Landbrug!E$17,IF(LEFT($D388,5)="Areal", IF($G388="Ton",Landbrug!E$18,1),1)),1)*IF($F388="Grøntsager",IF($A388="Grøntsager i drivhus",Landbrug!E$51,1-Landbrug!E$51),1)</f>
        <v>#REF!</v>
      </c>
    </row>
    <row r="389" spans="1:10" x14ac:dyDescent="0.25">
      <c r="A389" t="str">
        <f>IF('[1]Processer - data'!A389&lt;&gt;"",'[1]Processer - data'!A389,"")</f>
        <v>Permanent græs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OC6</v>
      </c>
      <c r="D389" t="str">
        <f>IF('[1]Processer - data'!D389&lt;&gt;"",'[1]Processer - data'!D389,"")</f>
        <v>Areal-permanent græs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2" t="e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input'!$A$3:$A$230,$A$1)),IF(VLOOKUP($A389,[1]!Table1[#All],2,FALSE)="Resultat",SUMIF($F$1:$F388,$D389,H$1:H388)+SUMIF($F390:$F$490,$D389,H390:H$490),0))*'[1]Processer - data'!H389,"")*IF($C389&lt;&gt;"",IF($F389="Halm",Landbrug!C$16*Landbrug!C$17,IF(LEFT($D389,5)="Areal", IF($G389="Ton",Landbrug!C$18,1),1)),1)*IF($F389="Grøntsager",IF($A389="Grøntsager i drivhus",Landbrug!C$51,1-Landbrug!C$51),1)</f>
        <v>#REF!</v>
      </c>
      <c r="I389" s="303" t="e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input'!$A$3:$A$230,$A$1)),IF(VLOOKUP($A389,[1]!Table1[#All],2,FALSE)="Resultat",SUMIF($F$1:$F388,$D389,I$1:I388)+SUMIF($F390:$F$490,$D389,I390:I$490),0))*'[1]Processer - data'!I389,"")*IF($C389&lt;&gt;"",IF($F389="Halm",Landbrug!D$16*Landbrug!D$17,IF(LEFT($D389,5)="Areal", IF($G389="Ton",Landbrug!D$18,1),1)),1)*IF($F389="Grøntsager",IF($A389="Grøntsager i drivhus",Landbrug!D$51,1-Landbrug!D$51),1)</f>
        <v>#REF!</v>
      </c>
      <c r="J389" s="304" t="e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input'!$A$3:$A$230,$A$1)),IF(VLOOKUP($A389,[1]!Table1[#All],2,FALSE)="Resultat",SUMIF($F$1:$F388,$D389,J$1:J388)+SUMIF($F390:$F$490,$D389,J390:J$490),0))*'[1]Processer - data'!J389,"")*IF($C389&lt;&gt;"",IF($F389="Halm",Landbrug!E$16*Landbrug!E$17,IF(LEFT($D389,5)="Areal", IF($G389="Ton",Landbrug!E$18,1),1)),1)*IF($F389="Grøntsager",IF($A389="Grøntsager i drivhus",Landbrug!E$51,1-Landbrug!E$51),1)</f>
        <v>#REF!</v>
      </c>
    </row>
    <row r="390" spans="1:10" x14ac:dyDescent="0.25">
      <c r="A390" t="str">
        <f>IF('[1]Processer - data'!A390&lt;&gt;"",'[1]Processer - data'!A390,"")</f>
        <v>Permanent græs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OC12</v>
      </c>
      <c r="D390" t="str">
        <f>IF('[1]Processer - data'!D390&lt;&gt;"",'[1]Processer - data'!D390,"")</f>
        <v>Areal-permanent græs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Græs</v>
      </c>
      <c r="G390" t="str">
        <f>IF('[1]Processer - data'!G390&lt;&gt;"",'[1]Processer - data'!G390,"")</f>
        <v>Ton</v>
      </c>
      <c r="H390" s="302" t="e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input'!$A$3:$A$230,$A$1)),IF(VLOOKUP($A390,[1]!Table1[#All],2,FALSE)="Resultat",SUMIF($F$1:$F389,$D390,H$1:H389)+SUMIF($F391:$F$490,$D390,H391:H$490),0))*'[1]Processer - data'!H390,"")*IF($C390&lt;&gt;"",IF($F390="Halm",Landbrug!C$16*Landbrug!C$17,IF(LEFT($D390,5)="Areal", IF($G390="Ton",Landbrug!C$18,1),1)),1)*IF($F390="Grøntsager",IF($A390="Grøntsager i drivhus",Landbrug!C$51,1-Landbrug!C$51),1)</f>
        <v>#REF!</v>
      </c>
      <c r="I390" s="303" t="e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input'!$A$3:$A$230,$A$1)),IF(VLOOKUP($A390,[1]!Table1[#All],2,FALSE)="Resultat",SUMIF($F$1:$F389,$D390,I$1:I389)+SUMIF($F391:$F$490,$D390,I391:I$490),0))*'[1]Processer - data'!I390,"")*IF($C390&lt;&gt;"",IF($F390="Halm",Landbrug!D$16*Landbrug!D$17,IF(LEFT($D390,5)="Areal", IF($G390="Ton",Landbrug!D$18,1),1)),1)*IF($F390="Grøntsager",IF($A390="Grøntsager i drivhus",Landbrug!D$51,1-Landbrug!D$51),1)</f>
        <v>#REF!</v>
      </c>
      <c r="J390" s="304" t="e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input'!$A$3:$A$230,$A$1)),IF(VLOOKUP($A390,[1]!Table1[#All],2,FALSE)="Resultat",SUMIF($F$1:$F389,$D390,J$1:J389)+SUMIF($F391:$F$490,$D390,J391:J$490),0))*'[1]Processer - data'!J390,"")*IF($C390&lt;&gt;"",IF($F390="Halm",Landbrug!E$16*Landbrug!E$17,IF(LEFT($D390,5)="Areal", IF($G390="Ton",Landbrug!E$18,1),1)),1)*IF($F390="Grøntsager",IF($A390="Grøntsager i drivhus",Landbrug!E$51,1-Landbrug!E$51),1)</f>
        <v>#REF!</v>
      </c>
    </row>
    <row r="391" spans="1:10" x14ac:dyDescent="0.25">
      <c r="A391" t="str">
        <f>IF('[1]Processer - data'!A391&lt;&gt;"",'[1]Processer - data'!A391,"")</f>
        <v>Permanent græs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OC12</v>
      </c>
      <c r="D391" t="str">
        <f>IF('[1]Processer - data'!D391&lt;&gt;"",'[1]Processer - data'!D391,"")</f>
        <v>Areal-permanent græs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2" t="e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input'!$A$3:$A$230,$A$1)),IF(VLOOKUP($A391,[1]!Table1[#All],2,FALSE)="Resultat",SUMIF($F$1:$F390,$D391,H$1:H390)+SUMIF($F392:$F$490,$D391,H392:H$490),0))*'[1]Processer - data'!H391,"")*IF($C391&lt;&gt;"",IF($F391="Halm",Landbrug!C$16*Landbrug!C$17,IF(LEFT($D391,5)="Areal", IF($G391="Ton",Landbrug!C$18,1),1)),1)*IF($F391="Grøntsager",IF($A391="Grøntsager i drivhus",Landbrug!C$51,1-Landbrug!C$51),1)</f>
        <v>#REF!</v>
      </c>
      <c r="I391" s="303" t="e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input'!$A$3:$A$230,$A$1)),IF(VLOOKUP($A391,[1]!Table1[#All],2,FALSE)="Resultat",SUMIF($F$1:$F390,$D391,I$1:I390)+SUMIF($F392:$F$490,$D391,I392:I$490),0))*'[1]Processer - data'!I391,"")*IF($C391&lt;&gt;"",IF($F391="Halm",Landbrug!D$16*Landbrug!D$17,IF(LEFT($D391,5)="Areal", IF($G391="Ton",Landbrug!D$18,1),1)),1)*IF($F391="Grøntsager",IF($A391="Grøntsager i drivhus",Landbrug!D$51,1-Landbrug!D$51),1)</f>
        <v>#REF!</v>
      </c>
      <c r="J391" s="304" t="e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input'!$A$3:$A$230,$A$1)),IF(VLOOKUP($A391,[1]!Table1[#All],2,FALSE)="Resultat",SUMIF($F$1:$F390,$D391,J$1:J390)+SUMIF($F392:$F$490,$D391,J392:J$490),0))*'[1]Processer - data'!J391,"")*IF($C391&lt;&gt;"",IF($F391="Halm",Landbrug!E$16*Landbrug!E$17,IF(LEFT($D391,5)="Areal", IF($G391="Ton",Landbrug!E$18,1),1)),1)*IF($F391="Grøntsager",IF($A391="Grøntsager i drivhus",Landbrug!E$51,1-Landbrug!E$51),1)</f>
        <v>#REF!</v>
      </c>
    </row>
    <row r="392" spans="1:10" x14ac:dyDescent="0.25">
      <c r="A392" t="str">
        <f>IF('[1]Processer - data'!A392&lt;&gt;"",'[1]Processer - data'!A392,"")</f>
        <v>Permanent græs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OC12</v>
      </c>
      <c r="D392" t="str">
        <f>IF('[1]Processer - data'!D392&lt;&gt;"",'[1]Processer - data'!D392,"")</f>
        <v>Areal-permanent græs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2" t="e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input'!$A$3:$A$230,$A$1)),IF(VLOOKUP($A392,[1]!Table1[#All],2,FALSE)="Resultat",SUMIF($F$1:$F391,$D392,H$1:H391)+SUMIF($F393:$F$490,$D392,H393:H$490),0))*'[1]Processer - data'!H392,"")*IF($C392&lt;&gt;"",IF($F392="Halm",Landbrug!C$16*Landbrug!C$17,IF(LEFT($D392,5)="Areal", IF($G392="Ton",Landbrug!C$18,1),1)),1)*IF($F392="Grøntsager",IF($A392="Grøntsager i drivhus",Landbrug!C$51,1-Landbrug!C$51),1)</f>
        <v>#REF!</v>
      </c>
      <c r="I392" s="303" t="e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input'!$A$3:$A$230,$A$1)),IF(VLOOKUP($A392,[1]!Table1[#All],2,FALSE)="Resultat",SUMIF($F$1:$F391,$D392,I$1:I391)+SUMIF($F393:$F$490,$D392,I393:I$490),0))*'[1]Processer - data'!I392,"")*IF($C392&lt;&gt;"",IF($F392="Halm",Landbrug!D$16*Landbrug!D$17,IF(LEFT($D392,5)="Areal", IF($G392="Ton",Landbrug!D$18,1),1)),1)*IF($F392="Grøntsager",IF($A392="Grøntsager i drivhus",Landbrug!D$51,1-Landbrug!D$51),1)</f>
        <v>#REF!</v>
      </c>
      <c r="J392" s="304" t="e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input'!$A$3:$A$230,$A$1)),IF(VLOOKUP($A392,[1]!Table1[#All],2,FALSE)="Resultat",SUMIF($F$1:$F391,$D392,J$1:J391)+SUMIF($F393:$F$490,$D392,J393:J$490),0))*'[1]Processer - data'!J392,"")*IF($C392&lt;&gt;"",IF($F392="Halm",Landbrug!E$16*Landbrug!E$17,IF(LEFT($D392,5)="Areal", IF($G392="Ton",Landbrug!E$18,1),1)),1)*IF($F392="Grøntsager",IF($A392="Grøntsager i drivhus",Landbrug!E$51,1-Landbrug!E$51),1)</f>
        <v>#REF!</v>
      </c>
    </row>
    <row r="393" spans="1:10" x14ac:dyDescent="0.25">
      <c r="A393" t="str">
        <f>IF('[1]Processer - data'!A393&lt;&gt;"",'[1]Processer - data'!A393,"")</f>
        <v>Permanent græs</v>
      </c>
      <c r="B393" t="str">
        <f>IF('[1]Processer - data'!B393&lt;&gt;"",'[1]Processer - data'!B393,"")</f>
        <v>Økologisk</v>
      </c>
      <c r="C393" t="str">
        <f>IF('[1]Processer - data'!C393&lt;&gt;"",'[1]Processer - data'!C393,"")</f>
        <v>JB1-10</v>
      </c>
      <c r="D393" t="str">
        <f>IF('[1]Processer - data'!D393&lt;&gt;"",'[1]Processer - data'!D393,"")</f>
        <v>Areal-permanent græs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Græs</v>
      </c>
      <c r="G393" t="str">
        <f>IF('[1]Processer - data'!G393&lt;&gt;"",'[1]Processer - data'!G393,"")</f>
        <v>Ton</v>
      </c>
      <c r="H393" s="302" t="e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input'!$A$3:$A$230,$A$1)),IF(VLOOKUP($A393,[1]!Table1[#All],2,FALSE)="Resultat",SUMIF($F$1:$F392,$D393,H$1:H392)+SUMIF($F394:$F$490,$D393,H394:H$490),0))*'[1]Processer - data'!H393,"")*IF($C393&lt;&gt;"",IF($F393="Halm",Landbrug!C$16*Landbrug!C$17,IF(LEFT($D393,5)="Areal", IF($G393="Ton",Landbrug!C$18,1),1)),1)*IF($F393="Grøntsager",IF($A393="Grøntsager i drivhus",Landbrug!C$51,1-Landbrug!C$51),1)</f>
        <v>#REF!</v>
      </c>
      <c r="I393" s="303" t="e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input'!$A$3:$A$230,$A$1)),IF(VLOOKUP($A393,[1]!Table1[#All],2,FALSE)="Resultat",SUMIF($F$1:$F392,$D393,I$1:I392)+SUMIF($F394:$F$490,$D393,I394:I$490),0))*'[1]Processer - data'!I393,"")*IF($C393&lt;&gt;"",IF($F393="Halm",Landbrug!D$16*Landbrug!D$17,IF(LEFT($D393,5)="Areal", IF($G393="Ton",Landbrug!D$18,1),1)),1)*IF($F393="Grøntsager",IF($A393="Grøntsager i drivhus",Landbrug!D$51,1-Landbrug!D$51),1)</f>
        <v>#REF!</v>
      </c>
      <c r="J393" s="304" t="e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input'!$A$3:$A$230,$A$1)),IF(VLOOKUP($A393,[1]!Table1[#All],2,FALSE)="Resultat",SUMIF($F$1:$F392,$D393,J$1:J392)+SUMIF($F394:$F$490,$D393,J394:J$490),0))*'[1]Processer - data'!J393,"")*IF($C393&lt;&gt;"",IF($F393="Halm",Landbrug!E$16*Landbrug!E$17,IF(LEFT($D393,5)="Areal", IF($G393="Ton",Landbrug!E$18,1),1)),1)*IF($F393="Grøntsager",IF($A393="Grøntsager i drivhus",Landbrug!E$51,1-Landbrug!E$51),1)</f>
        <v>#REF!</v>
      </c>
    </row>
    <row r="394" spans="1:10" x14ac:dyDescent="0.25">
      <c r="A394" t="str">
        <f>IF('[1]Processer - data'!A394&lt;&gt;"",'[1]Processer - data'!A394,"")</f>
        <v>Permanent græs</v>
      </c>
      <c r="B394" t="str">
        <f>IF('[1]Processer - data'!B394&lt;&gt;"",'[1]Processer - data'!B394,"")</f>
        <v>Økologisk</v>
      </c>
      <c r="C394" t="str">
        <f>IF('[1]Processer - data'!C394&lt;&gt;"",'[1]Processer - data'!C394,"")</f>
        <v>JB1-10</v>
      </c>
      <c r="D394" t="str">
        <f>IF('[1]Processer - data'!D394&lt;&gt;"",'[1]Processer - data'!D394,"")</f>
        <v>Areal-permanent græs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2" t="e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input'!$A$3:$A$230,$A$1)),IF(VLOOKUP($A394,[1]!Table1[#All],2,FALSE)="Resultat",SUMIF($F$1:$F393,$D394,H$1:H393)+SUMIF($F395:$F$490,$D394,H395:H$490),0))*'[1]Processer - data'!H394,"")*IF($C394&lt;&gt;"",IF($F394="Halm",Landbrug!C$16*Landbrug!C$17,IF(LEFT($D394,5)="Areal", IF($G394="Ton",Landbrug!C$18,1),1)),1)*IF($F394="Grøntsager",IF($A394="Grøntsager i drivhus",Landbrug!C$51,1-Landbrug!C$51),1)</f>
        <v>#REF!</v>
      </c>
      <c r="I394" s="303" t="e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input'!$A$3:$A$230,$A$1)),IF(VLOOKUP($A394,[1]!Table1[#All],2,FALSE)="Resultat",SUMIF($F$1:$F393,$D394,I$1:I393)+SUMIF($F395:$F$490,$D394,I395:I$490),0))*'[1]Processer - data'!I394,"")*IF($C394&lt;&gt;"",IF($F394="Halm",Landbrug!D$16*Landbrug!D$17,IF(LEFT($D394,5)="Areal", IF($G394="Ton",Landbrug!D$18,1),1)),1)*IF($F394="Grøntsager",IF($A394="Grøntsager i drivhus",Landbrug!D$51,1-Landbrug!D$51),1)</f>
        <v>#REF!</v>
      </c>
      <c r="J394" s="304" t="e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input'!$A$3:$A$230,$A$1)),IF(VLOOKUP($A394,[1]!Table1[#All],2,FALSE)="Resultat",SUMIF($F$1:$F393,$D394,J$1:J393)+SUMIF($F395:$F$490,$D394,J395:J$490),0))*'[1]Processer - data'!J394,"")*IF($C394&lt;&gt;"",IF($F394="Halm",Landbrug!E$16*Landbrug!E$17,IF(LEFT($D394,5)="Areal", IF($G394="Ton",Landbrug!E$18,1),1)),1)*IF($F394="Grøntsager",IF($A394="Grøntsager i drivhus",Landbrug!E$51,1-Landbrug!E$51),1)</f>
        <v>#REF!</v>
      </c>
    </row>
    <row r="395" spans="1:10" x14ac:dyDescent="0.25">
      <c r="A395" t="str">
        <f>IF('[1]Processer - data'!A395&lt;&gt;"",'[1]Processer - data'!A395,"")</f>
        <v>Permanent græs</v>
      </c>
      <c r="B395" t="str">
        <f>IF('[1]Processer - data'!B395&lt;&gt;"",'[1]Processer - data'!B395,"")</f>
        <v>Økologisk</v>
      </c>
      <c r="C395" t="str">
        <f>IF('[1]Processer - data'!C395&lt;&gt;"",'[1]Processer - data'!C395,"")</f>
        <v>JB1-10</v>
      </c>
      <c r="D395" t="str">
        <f>IF('[1]Processer - data'!D395&lt;&gt;"",'[1]Processer - data'!D395,"")</f>
        <v>Areal-permanent græs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2" t="e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input'!$A$3:$A$230,$A$1)),IF(VLOOKUP($A395,[1]!Table1[#All],2,FALSE)="Resultat",SUMIF($F$1:$F394,$D395,H$1:H394)+SUMIF($F396:$F$490,$D395,H396:H$490),0))*'[1]Processer - data'!H395,"")*IF($C395&lt;&gt;"",IF($F395="Halm",Landbrug!C$16*Landbrug!C$17,IF(LEFT($D395,5)="Areal", IF($G395="Ton",Landbrug!C$18,1),1)),1)*IF($F395="Grøntsager",IF($A395="Grøntsager i drivhus",Landbrug!C$51,1-Landbrug!C$51),1)</f>
        <v>#REF!</v>
      </c>
      <c r="I395" s="303" t="e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input'!$A$3:$A$230,$A$1)),IF(VLOOKUP($A395,[1]!Table1[#All],2,FALSE)="Resultat",SUMIF($F$1:$F394,$D395,I$1:I394)+SUMIF($F396:$F$490,$D395,I396:I$490),0))*'[1]Processer - data'!I395,"")*IF($C395&lt;&gt;"",IF($F395="Halm",Landbrug!D$16*Landbrug!D$17,IF(LEFT($D395,5)="Areal", IF($G395="Ton",Landbrug!D$18,1),1)),1)*IF($F395="Grøntsager",IF($A395="Grøntsager i drivhus",Landbrug!D$51,1-Landbrug!D$51),1)</f>
        <v>#REF!</v>
      </c>
      <c r="J395" s="304" t="e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input'!$A$3:$A$230,$A$1)),IF(VLOOKUP($A395,[1]!Table1[#All],2,FALSE)="Resultat",SUMIF($F$1:$F394,$D395,J$1:J394)+SUMIF($F396:$F$490,$D395,J396:J$490),0))*'[1]Processer - data'!J395,"")*IF($C395&lt;&gt;"",IF($F395="Halm",Landbrug!E$16*Landbrug!E$17,IF(LEFT($D395,5)="Areal", IF($G395="Ton",Landbrug!E$18,1),1)),1)*IF($F395="Grøntsager",IF($A395="Grøntsager i drivhus",Landbrug!E$51,1-Landbrug!E$51),1)</f>
        <v>#REF!</v>
      </c>
    </row>
    <row r="396" spans="1:10" x14ac:dyDescent="0.25">
      <c r="A396" t="str">
        <f>IF('[1]Processer - data'!A396&lt;&gt;"",'[1]Processer - data'!A396,"")</f>
        <v>Permanent græs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OC6</v>
      </c>
      <c r="D396" t="str">
        <f>IF('[1]Processer - data'!D396&lt;&gt;"",'[1]Processer - data'!D396,"")</f>
        <v>Areal-permanent græs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Græs</v>
      </c>
      <c r="G396" t="str">
        <f>IF('[1]Processer - data'!G396&lt;&gt;"",'[1]Processer - data'!G396,"")</f>
        <v>Ton</v>
      </c>
      <c r="H396" s="302" t="e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input'!$A$3:$A$230,$A$1)),IF(VLOOKUP($A396,[1]!Table1[#All],2,FALSE)="Resultat",SUMIF($F$1:$F395,$D396,H$1:H395)+SUMIF($F397:$F$490,$D396,H397:H$490),0))*'[1]Processer - data'!H396,"")*IF($C396&lt;&gt;"",IF($F396="Halm",Landbrug!C$16*Landbrug!C$17,IF(LEFT($D396,5)="Areal", IF($G396="Ton",Landbrug!C$18,1),1)),1)*IF($F396="Grøntsager",IF($A396="Grøntsager i drivhus",Landbrug!C$51,1-Landbrug!C$51),1)</f>
        <v>#REF!</v>
      </c>
      <c r="I396" s="303" t="e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input'!$A$3:$A$230,$A$1)),IF(VLOOKUP($A396,[1]!Table1[#All],2,FALSE)="Resultat",SUMIF($F$1:$F395,$D396,I$1:I395)+SUMIF($F397:$F$490,$D396,I397:I$490),0))*'[1]Processer - data'!I396,"")*IF($C396&lt;&gt;"",IF($F396="Halm",Landbrug!D$16*Landbrug!D$17,IF(LEFT($D396,5)="Areal", IF($G396="Ton",Landbrug!D$18,1),1)),1)*IF($F396="Grøntsager",IF($A396="Grøntsager i drivhus",Landbrug!D$51,1-Landbrug!D$51),1)</f>
        <v>#REF!</v>
      </c>
      <c r="J396" s="304" t="e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input'!$A$3:$A$230,$A$1)),IF(VLOOKUP($A396,[1]!Table1[#All],2,FALSE)="Resultat",SUMIF($F$1:$F395,$D396,J$1:J395)+SUMIF($F397:$F$490,$D396,J397:J$490),0))*'[1]Processer - data'!J396,"")*IF($C396&lt;&gt;"",IF($F396="Halm",Landbrug!E$16*Landbrug!E$17,IF(LEFT($D396,5)="Areal", IF($G396="Ton",Landbrug!E$18,1),1)),1)*IF($F396="Grøntsager",IF($A396="Grøntsager i drivhus",Landbrug!E$51,1-Landbrug!E$51),1)</f>
        <v>#REF!</v>
      </c>
    </row>
    <row r="397" spans="1:10" x14ac:dyDescent="0.25">
      <c r="A397" t="str">
        <f>IF('[1]Processer - data'!A397&lt;&gt;"",'[1]Processer - data'!A397,"")</f>
        <v>Permanent græs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OC6</v>
      </c>
      <c r="D397" t="str">
        <f>IF('[1]Processer - data'!D397&lt;&gt;"",'[1]Processer - data'!D397,"")</f>
        <v>Areal-permanent græs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2" t="e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input'!$A$3:$A$230,$A$1)),IF(VLOOKUP($A397,[1]!Table1[#All],2,FALSE)="Resultat",SUMIF($F$1:$F396,$D397,H$1:H396)+SUMIF($F398:$F$490,$D397,H398:H$490),0))*'[1]Processer - data'!H397,"")*IF($C397&lt;&gt;"",IF($F397="Halm",Landbrug!C$16*Landbrug!C$17,IF(LEFT($D397,5)="Areal", IF($G397="Ton",Landbrug!C$18,1),1)),1)*IF($F397="Grøntsager",IF($A397="Grøntsager i drivhus",Landbrug!C$51,1-Landbrug!C$51),1)</f>
        <v>#REF!</v>
      </c>
      <c r="I397" s="303" t="e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input'!$A$3:$A$230,$A$1)),IF(VLOOKUP($A397,[1]!Table1[#All],2,FALSE)="Resultat",SUMIF($F$1:$F396,$D397,I$1:I396)+SUMIF($F398:$F$490,$D397,I398:I$490),0))*'[1]Processer - data'!I397,"")*IF($C397&lt;&gt;"",IF($F397="Halm",Landbrug!D$16*Landbrug!D$17,IF(LEFT($D397,5)="Areal", IF($G397="Ton",Landbrug!D$18,1),1)),1)*IF($F397="Grøntsager",IF($A397="Grøntsager i drivhus",Landbrug!D$51,1-Landbrug!D$51),1)</f>
        <v>#REF!</v>
      </c>
      <c r="J397" s="304" t="e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input'!$A$3:$A$230,$A$1)),IF(VLOOKUP($A397,[1]!Table1[#All],2,FALSE)="Resultat",SUMIF($F$1:$F396,$D397,J$1:J396)+SUMIF($F398:$F$490,$D397,J398:J$490),0))*'[1]Processer - data'!J397,"")*IF($C397&lt;&gt;"",IF($F397="Halm",Landbrug!E$16*Landbrug!E$17,IF(LEFT($D397,5)="Areal", IF($G397="Ton",Landbrug!E$18,1),1)),1)*IF($F397="Grøntsager",IF($A397="Grøntsager i drivhus",Landbrug!E$51,1-Landbrug!E$51),1)</f>
        <v>#REF!</v>
      </c>
    </row>
    <row r="398" spans="1:10" x14ac:dyDescent="0.25">
      <c r="A398" t="str">
        <f>IF('[1]Processer - data'!A398&lt;&gt;"",'[1]Processer - data'!A398,"")</f>
        <v>Permanent græs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OC6</v>
      </c>
      <c r="D398" t="str">
        <f>IF('[1]Processer - data'!D398&lt;&gt;"",'[1]Processer - data'!D398,"")</f>
        <v>Areal-permanent græs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2" t="e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input'!$A$3:$A$230,$A$1)),IF(VLOOKUP($A398,[1]!Table1[#All],2,FALSE)="Resultat",SUMIF($F$1:$F397,$D398,H$1:H397)+SUMIF($F399:$F$490,$D398,H399:H$490),0))*'[1]Processer - data'!H398,"")*IF($C398&lt;&gt;"",IF($F398="Halm",Landbrug!C$16*Landbrug!C$17,IF(LEFT($D398,5)="Areal", IF($G398="Ton",Landbrug!C$18,1),1)),1)*IF($F398="Grøntsager",IF($A398="Grøntsager i drivhus",Landbrug!C$51,1-Landbrug!C$51),1)</f>
        <v>#REF!</v>
      </c>
      <c r="I398" s="303" t="e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input'!$A$3:$A$230,$A$1)),IF(VLOOKUP($A398,[1]!Table1[#All],2,FALSE)="Resultat",SUMIF($F$1:$F397,$D398,I$1:I397)+SUMIF($F399:$F$490,$D398,I399:I$490),0))*'[1]Processer - data'!I398,"")*IF($C398&lt;&gt;"",IF($F398="Halm",Landbrug!D$16*Landbrug!D$17,IF(LEFT($D398,5)="Areal", IF($G398="Ton",Landbrug!D$18,1),1)),1)*IF($F398="Grøntsager",IF($A398="Grøntsager i drivhus",Landbrug!D$51,1-Landbrug!D$51),1)</f>
        <v>#REF!</v>
      </c>
      <c r="J398" s="304" t="e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input'!$A$3:$A$230,$A$1)),IF(VLOOKUP($A398,[1]!Table1[#All],2,FALSE)="Resultat",SUMIF($F$1:$F397,$D398,J$1:J397)+SUMIF($F399:$F$490,$D398,J399:J$490),0))*'[1]Processer - data'!J398,"")*IF($C398&lt;&gt;"",IF($F398="Halm",Landbrug!E$16*Landbrug!E$17,IF(LEFT($D398,5)="Areal", IF($G398="Ton",Landbrug!E$18,1),1)),1)*IF($F398="Grøntsager",IF($A398="Grøntsager i drivhus",Landbrug!E$51,1-Landbrug!E$51),1)</f>
        <v>#REF!</v>
      </c>
    </row>
    <row r="399" spans="1:10" x14ac:dyDescent="0.25">
      <c r="A399" t="str">
        <f>IF('[1]Processer - data'!A399&lt;&gt;"",'[1]Processer - data'!A399,"")</f>
        <v>Permanent græs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OC12</v>
      </c>
      <c r="D399" t="str">
        <f>IF('[1]Processer - data'!D399&lt;&gt;"",'[1]Processer - data'!D399,"")</f>
        <v>Areal-permanent græs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Græs</v>
      </c>
      <c r="G399" t="str">
        <f>IF('[1]Processer - data'!G399&lt;&gt;"",'[1]Processer - data'!G399,"")</f>
        <v>Ton</v>
      </c>
      <c r="H399" s="302" t="e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input'!$A$3:$A$230,$A$1)),IF(VLOOKUP($A399,[1]!Table1[#All],2,FALSE)="Resultat",SUMIF($F$1:$F398,$D399,H$1:H398)+SUMIF($F400:$F$490,$D399,H400:H$490),0))*'[1]Processer - data'!H399,"")*IF($C399&lt;&gt;"",IF($F399="Halm",Landbrug!C$16*Landbrug!C$17,IF(LEFT($D399,5)="Areal", IF($G399="Ton",Landbrug!C$18,1),1)),1)*IF($F399="Grøntsager",IF($A399="Grøntsager i drivhus",Landbrug!C$51,1-Landbrug!C$51),1)</f>
        <v>#REF!</v>
      </c>
      <c r="I399" s="303" t="e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input'!$A$3:$A$230,$A$1)),IF(VLOOKUP($A399,[1]!Table1[#All],2,FALSE)="Resultat",SUMIF($F$1:$F398,$D399,I$1:I398)+SUMIF($F400:$F$490,$D399,I400:I$490),0))*'[1]Processer - data'!I399,"")*IF($C399&lt;&gt;"",IF($F399="Halm",Landbrug!D$16*Landbrug!D$17,IF(LEFT($D399,5)="Areal", IF($G399="Ton",Landbrug!D$18,1),1)),1)*IF($F399="Grøntsager",IF($A399="Grøntsager i drivhus",Landbrug!D$51,1-Landbrug!D$51),1)</f>
        <v>#REF!</v>
      </c>
      <c r="J399" s="304" t="e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input'!$A$3:$A$230,$A$1)),IF(VLOOKUP($A399,[1]!Table1[#All],2,FALSE)="Resultat",SUMIF($F$1:$F398,$D399,J$1:J398)+SUMIF($F400:$F$490,$D399,J400:J$490),0))*'[1]Processer - data'!J399,"")*IF($C399&lt;&gt;"",IF($F399="Halm",Landbrug!E$16*Landbrug!E$17,IF(LEFT($D399,5)="Areal", IF($G399="Ton",Landbrug!E$18,1),1)),1)*IF($F399="Grøntsager",IF($A399="Grøntsager i drivhus",Landbrug!E$51,1-Landbrug!E$51),1)</f>
        <v>#REF!</v>
      </c>
    </row>
    <row r="400" spans="1:10" x14ac:dyDescent="0.25">
      <c r="A400" t="str">
        <f>IF('[1]Processer - data'!A400&lt;&gt;"",'[1]Processer - data'!A400,"")</f>
        <v>Permanent græs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OC12</v>
      </c>
      <c r="D400" t="str">
        <f>IF('[1]Processer - data'!D400&lt;&gt;"",'[1]Processer - data'!D400,"")</f>
        <v>Areal-permanent græs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2" t="e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input'!$A$3:$A$230,$A$1)),IF(VLOOKUP($A400,[1]!Table1[#All],2,FALSE)="Resultat",SUMIF($F$1:$F399,$D400,H$1:H399)+SUMIF($F401:$F$490,$D400,H401:H$490),0))*'[1]Processer - data'!H400,"")*IF($C400&lt;&gt;"",IF($F400="Halm",Landbrug!C$16*Landbrug!C$17,IF(LEFT($D400,5)="Areal", IF($G400="Ton",Landbrug!C$18,1),1)),1)*IF($F400="Grøntsager",IF($A400="Grøntsager i drivhus",Landbrug!C$51,1-Landbrug!C$51),1)</f>
        <v>#REF!</v>
      </c>
      <c r="I400" s="303" t="e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input'!$A$3:$A$230,$A$1)),IF(VLOOKUP($A400,[1]!Table1[#All],2,FALSE)="Resultat",SUMIF($F$1:$F399,$D400,I$1:I399)+SUMIF($F401:$F$490,$D400,I401:I$490),0))*'[1]Processer - data'!I400,"")*IF($C400&lt;&gt;"",IF($F400="Halm",Landbrug!D$16*Landbrug!D$17,IF(LEFT($D400,5)="Areal", IF($G400="Ton",Landbrug!D$18,1),1)),1)*IF($F400="Grøntsager",IF($A400="Grøntsager i drivhus",Landbrug!D$51,1-Landbrug!D$51),1)</f>
        <v>#REF!</v>
      </c>
      <c r="J400" s="304" t="e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input'!$A$3:$A$230,$A$1)),IF(VLOOKUP($A400,[1]!Table1[#All],2,FALSE)="Resultat",SUMIF($F$1:$F399,$D400,J$1:J399)+SUMIF($F401:$F$490,$D400,J401:J$490),0))*'[1]Processer - data'!J400,"")*IF($C400&lt;&gt;"",IF($F400="Halm",Landbrug!E$16*Landbrug!E$17,IF(LEFT($D400,5)="Areal", IF($G400="Ton",Landbrug!E$18,1),1)),1)*IF($F400="Grøntsager",IF($A400="Grøntsager i drivhus",Landbrug!E$51,1-Landbrug!E$51),1)</f>
        <v>#REF!</v>
      </c>
    </row>
    <row r="401" spans="1:10" x14ac:dyDescent="0.25">
      <c r="A401" t="str">
        <f>IF('[1]Processer - data'!A401&lt;&gt;"",'[1]Processer - data'!A401,"")</f>
        <v>Permanent græs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OC12</v>
      </c>
      <c r="D401" t="str">
        <f>IF('[1]Processer - data'!D401&lt;&gt;"",'[1]Processer - data'!D401,"")</f>
        <v>Areal-permanent græs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2" t="e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input'!$A$3:$A$230,$A$1)),IF(VLOOKUP($A401,[1]!Table1[#All],2,FALSE)="Resultat",SUMIF($F$1:$F400,$D401,H$1:H400)+SUMIF($F402:$F$490,$D401,H402:H$490),0))*'[1]Processer - data'!H401,"")*IF($C401&lt;&gt;"",IF($F401="Halm",Landbrug!C$16*Landbrug!C$17,IF(LEFT($D401,5)="Areal", IF($G401="Ton",Landbrug!C$18,1),1)),1)*IF($F401="Grøntsager",IF($A401="Grøntsager i drivhus",Landbrug!C$51,1-Landbrug!C$51),1)</f>
        <v>#REF!</v>
      </c>
      <c r="I401" s="303" t="e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input'!$A$3:$A$230,$A$1)),IF(VLOOKUP($A401,[1]!Table1[#All],2,FALSE)="Resultat",SUMIF($F$1:$F400,$D401,I$1:I400)+SUMIF($F402:$F$490,$D401,I402:I$490),0))*'[1]Processer - data'!I401,"")*IF($C401&lt;&gt;"",IF($F401="Halm",Landbrug!D$16*Landbrug!D$17,IF(LEFT($D401,5)="Areal", IF($G401="Ton",Landbrug!D$18,1),1)),1)*IF($F401="Grøntsager",IF($A401="Grøntsager i drivhus",Landbrug!D$51,1-Landbrug!D$51),1)</f>
        <v>#REF!</v>
      </c>
      <c r="J401" s="304" t="e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input'!$A$3:$A$230,$A$1)),IF(VLOOKUP($A401,[1]!Table1[#All],2,FALSE)="Resultat",SUMIF($F$1:$F400,$D401,J$1:J400)+SUMIF($F402:$F$490,$D401,J402:J$490),0))*'[1]Processer - data'!J401,"")*IF($C401&lt;&gt;"",IF($F401="Halm",Landbrug!E$16*Landbrug!E$17,IF(LEFT($D401,5)="Areal", IF($G401="Ton",Landbrug!E$18,1),1)),1)*IF($F401="Grøntsager",IF($A401="Grøntsager i drivhus",Landbrug!E$51,1-Landbrug!E$51),1)</f>
        <v>#REF!</v>
      </c>
    </row>
    <row r="402" spans="1:10" x14ac:dyDescent="0.25">
      <c r="A402" t="str">
        <f>IF('[1]Processer - data'!A402&lt;&gt;"",'[1]Processer - data'!A402,"")</f>
        <v>Tømmerproduktion</v>
      </c>
      <c r="B402" t="str">
        <f>IF('[1]Processer - data'!B402&lt;&gt;"",'[1]Processer - data'!B402,"")</f>
        <v/>
      </c>
      <c r="C402" t="str">
        <f>IF('[1]Processer - data'!C402&lt;&gt;"",'[1]Processer - data'!C402,"")</f>
        <v/>
      </c>
      <c r="D402" t="str">
        <f>IF('[1]Processer - data'!D402&lt;&gt;"",'[1]Processer - data'!D402,"")</f>
        <v>Træer</v>
      </c>
      <c r="E402" t="str">
        <f>IF('[1]Processer - data'!E402&lt;&gt;"",'[1]Processer - data'!E402,"")</f>
        <v>m3</v>
      </c>
      <c r="F402" t="str">
        <f>IF('[1]Processer - data'!F402&lt;&gt;"",'[1]Processer - data'!F402,"")</f>
        <v>Træmaterialer</v>
      </c>
      <c r="G402" t="str">
        <f>IF('[1]Processer - data'!G402&lt;&gt;"",'[1]Processer - data'!G402,"")</f>
        <v>m3</v>
      </c>
      <c r="H402" s="302" t="e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input'!$A$3:$A$230,$A$1)),IF(VLOOKUP($A402,[1]!Table1[#All],2,FALSE)="Resultat",SUMIF($F$1:$F401,$D402,H$1:H401)+SUMIF($F403:$F$490,$D402,H403:H$490),0))*'[1]Processer - data'!H402,"")*IF($C402&lt;&gt;"",IF($F402="Halm",Landbrug!C$16*Landbrug!C$17,IF(LEFT($D402,5)="Areal", IF($G402="Ton",Landbrug!C$18,1),1)),1)*IF($F402="Grøntsager",IF($A402="Grøntsager i drivhus",Landbrug!C$51,1-Landbrug!C$51),1)</f>
        <v>#REF!</v>
      </c>
      <c r="I402" s="303" t="e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input'!$A$3:$A$230,$A$1)),IF(VLOOKUP($A402,[1]!Table1[#All],2,FALSE)="Resultat",SUMIF($F$1:$F401,$D402,I$1:I401)+SUMIF($F403:$F$490,$D402,I403:I$490),0))*'[1]Processer - data'!I402,"")*IF($C402&lt;&gt;"",IF($F402="Halm",Landbrug!D$16*Landbrug!D$17,IF(LEFT($D402,5)="Areal", IF($G402="Ton",Landbrug!D$18,1),1)),1)*IF($F402="Grøntsager",IF($A402="Grøntsager i drivhus",Landbrug!D$51,1-Landbrug!D$51),1)</f>
        <v>#REF!</v>
      </c>
      <c r="J402" s="304" t="e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input'!$A$3:$A$230,$A$1)),IF(VLOOKUP($A402,[1]!Table1[#All],2,FALSE)="Resultat",SUMIF($F$1:$F401,$D402,J$1:J401)+SUMIF($F403:$F$490,$D402,J403:J$490),0))*'[1]Processer - data'!J402,"")*IF($C402&lt;&gt;"",IF($F402="Halm",Landbrug!E$16*Landbrug!E$17,IF(LEFT($D402,5)="Areal", IF($G402="Ton",Landbrug!E$18,1),1)),1)*IF($F402="Grøntsager",IF($A402="Grøntsager i drivhus",Landbrug!E$51,1-Landbrug!E$51),1)</f>
        <v>#REF!</v>
      </c>
    </row>
    <row r="403" spans="1:10" x14ac:dyDescent="0.25">
      <c r="A403" t="str">
        <f>IF('[1]Processer - data'!A403&lt;&gt;"",'[1]Processer - data'!A403,"")</f>
        <v>Tømmerproduktion</v>
      </c>
      <c r="B403" t="str">
        <f>IF('[1]Processer - data'!B403&lt;&gt;"",'[1]Processer - data'!B403,"")</f>
        <v/>
      </c>
      <c r="C403" t="str">
        <f>IF('[1]Processer - data'!C403&lt;&gt;"",'[1]Processer - data'!C403,"")</f>
        <v/>
      </c>
      <c r="D403" t="str">
        <f>IF('[1]Processer - data'!D403&lt;&gt;"",'[1]Processer - data'!D403,"")</f>
        <v>Træer</v>
      </c>
      <c r="E403" t="str">
        <f>IF('[1]Processer - data'!E403&lt;&gt;"",'[1]Processer - data'!E403,"")</f>
        <v>m3</v>
      </c>
      <c r="F403" t="str">
        <f>IF('[1]Processer - data'!F403&lt;&gt;"",'[1]Processer - data'!F403,"")</f>
        <v>Træ til energi</v>
      </c>
      <c r="G403" t="str">
        <f>IF('[1]Processer - data'!G403&lt;&gt;"",'[1]Processer - data'!G403,"")</f>
        <v>m3</v>
      </c>
      <c r="H403" s="302" t="e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input'!$A$3:$A$230,$A$1)),IF(VLOOKUP($A403,[1]!Table1[#All],2,FALSE)="Resultat",SUMIF($F$1:$F402,$D403,H$1:H402)+SUMIF($F404:$F$490,$D403,H404:H$490),0))*'[1]Processer - data'!H403,"")*IF($C403&lt;&gt;"",IF($F403="Halm",Landbrug!C$16*Landbrug!C$17,IF(LEFT($D403,5)="Areal", IF($G403="Ton",Landbrug!C$18,1),1)),1)*IF($F403="Grøntsager",IF($A403="Grøntsager i drivhus",Landbrug!C$51,1-Landbrug!C$51),1)</f>
        <v>#REF!</v>
      </c>
      <c r="I403" s="303" t="e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input'!$A$3:$A$230,$A$1)),IF(VLOOKUP($A403,[1]!Table1[#All],2,FALSE)="Resultat",SUMIF($F$1:$F402,$D403,I$1:I402)+SUMIF($F404:$F$490,$D403,I404:I$490),0))*'[1]Processer - data'!I403,"")*IF($C403&lt;&gt;"",IF($F403="Halm",Landbrug!D$16*Landbrug!D$17,IF(LEFT($D403,5)="Areal", IF($G403="Ton",Landbrug!D$18,1),1)),1)*IF($F403="Grøntsager",IF($A403="Grøntsager i drivhus",Landbrug!D$51,1-Landbrug!D$51),1)</f>
        <v>#REF!</v>
      </c>
      <c r="J403" s="304" t="e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input'!$A$3:$A$230,$A$1)),IF(VLOOKUP($A403,[1]!Table1[#All],2,FALSE)="Resultat",SUMIF($F$1:$F402,$D403,J$1:J402)+SUMIF($F404:$F$490,$D403,J404:J$490),0))*'[1]Processer - data'!J403,"")*IF($C403&lt;&gt;"",IF($F403="Halm",Landbrug!E$16*Landbrug!E$17,IF(LEFT($D403,5)="Areal", IF($G403="Ton",Landbrug!E$18,1),1)),1)*IF($F403="Grøntsager",IF($A403="Grøntsager i drivhus",Landbrug!E$51,1-Landbrug!E$51),1)</f>
        <v>#REF!</v>
      </c>
    </row>
    <row r="404" spans="1:10" x14ac:dyDescent="0.25">
      <c r="A404" t="str">
        <f>IF('[1]Processer - data'!A404&lt;&gt;"",'[1]Processer - data'!A404,"")</f>
        <v>Mejeri</v>
      </c>
      <c r="B404" t="str">
        <f>IF('[1]Processer - data'!B404&lt;&gt;"",'[1]Processer - data'!B404,"")</f>
        <v/>
      </c>
      <c r="C404" t="str">
        <f>IF('[1]Processer - data'!C404&lt;&gt;"",'[1]Processer - data'!C404,"")</f>
        <v/>
      </c>
      <c r="D404" t="str">
        <f>IF('[1]Processer - data'!D404&lt;&gt;"",'[1]Processer - data'!D404,"")</f>
        <v>Råmælk</v>
      </c>
      <c r="E404" t="str">
        <f>IF('[1]Processer - data'!E404&lt;&gt;"",'[1]Processer - data'!E404,"")</f>
        <v>Ton</v>
      </c>
      <c r="F404" t="str">
        <f>IF('[1]Processer - data'!F404&lt;&gt;"",'[1]Processer - data'!F404,"")</f>
        <v>Mejeriprodukter</v>
      </c>
      <c r="G404" t="str">
        <f>IF('[1]Processer - data'!G404&lt;&gt;"",'[1]Processer - data'!G404,"")</f>
        <v>Ton</v>
      </c>
      <c r="H404" s="302" t="e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input'!$A$3:$A$230,$A$1)),IF(VLOOKUP($A404,[1]!Table1[#All],2,FALSE)="Resultat",SUMIF($F$1:$F403,$D404,H$1:H403)+SUMIF($F405:$F$490,$D404,H405:H$490),0))*'[1]Processer - data'!H404,"")*IF($C404&lt;&gt;"",IF($F404="Halm",Landbrug!C$16*Landbrug!C$17,IF(LEFT($D404,5)="Areal", IF($G404="Ton",Landbrug!C$18,1),1)),1)*IF($F404="Grøntsager",IF($A404="Grøntsager i drivhus",Landbrug!C$51,1-Landbrug!C$51),1)</f>
        <v>#REF!</v>
      </c>
      <c r="I404" s="303" t="e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input'!$A$3:$A$230,$A$1)),IF(VLOOKUP($A404,[1]!Table1[#All],2,FALSE)="Resultat",SUMIF($F$1:$F403,$D404,I$1:I403)+SUMIF($F405:$F$490,$D404,I405:I$490),0))*'[1]Processer - data'!I404,"")*IF($C404&lt;&gt;"",IF($F404="Halm",Landbrug!D$16*Landbrug!D$17,IF(LEFT($D404,5)="Areal", IF($G404="Ton",Landbrug!D$18,1),1)),1)*IF($F404="Grøntsager",IF($A404="Grøntsager i drivhus",Landbrug!D$51,1-Landbrug!D$51),1)</f>
        <v>#REF!</v>
      </c>
      <c r="J404" s="304" t="e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input'!$A$3:$A$230,$A$1)),IF(VLOOKUP($A404,[1]!Table1[#All],2,FALSE)="Resultat",SUMIF($F$1:$F403,$D404,J$1:J403)+SUMIF($F405:$F$490,$D404,J405:J$490),0))*'[1]Processer - data'!J404,"")*IF($C404&lt;&gt;"",IF($F404="Halm",Landbrug!E$16*Landbrug!E$17,IF(LEFT($D404,5)="Areal", IF($G404="Ton",Landbrug!E$18,1),1)),1)*IF($F404="Grøntsager",IF($A404="Grøntsager i drivhus",Landbrug!E$51,1-Landbrug!E$51),1)</f>
        <v>#REF!</v>
      </c>
    </row>
    <row r="405" spans="1:10" x14ac:dyDescent="0.25">
      <c r="A405" t="str">
        <f>IF('[1]Processer - data'!A405&lt;&gt;"",'[1]Processer - data'!A405,"")</f>
        <v>Mejeri</v>
      </c>
      <c r="B405" t="str">
        <f>IF('[1]Processer - data'!B405&lt;&gt;"",'[1]Processer - data'!B405,"")</f>
        <v/>
      </c>
      <c r="C405" t="str">
        <f>IF('[1]Processer - data'!C405&lt;&gt;"",'[1]Processer - data'!C405,"")</f>
        <v/>
      </c>
      <c r="D405" t="str">
        <f>IF('[1]Processer - data'!D405&lt;&gt;"",'[1]Processer - data'!D405,"")</f>
        <v>Råmælk</v>
      </c>
      <c r="E405" t="str">
        <f>IF('[1]Processer - data'!E405&lt;&gt;"",'[1]Processer - data'!E405,"")</f>
        <v>Ton</v>
      </c>
      <c r="F405" t="str">
        <f>IF('[1]Processer - data'!F405&lt;&gt;"",'[1]Processer - data'!F405,"")</f>
        <v>Spildevandsslam</v>
      </c>
      <c r="G405" t="str">
        <f>IF('[1]Processer - data'!G405&lt;&gt;"",'[1]Processer - data'!G405,"")</f>
        <v>Ton</v>
      </c>
      <c r="H405" s="302" t="e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input'!$A$3:$A$230,$A$1)),IF(VLOOKUP($A405,[1]!Table1[#All],2,FALSE)="Resultat",SUMIF($F$1:$F404,$D405,H$1:H404)+SUMIF($F407:$F$490,$D405,H407:H$490),0))*'[1]Processer - data'!H405,"")*IF($C405&lt;&gt;"",IF($F405="Halm",Landbrug!C$16*Landbrug!C$17,IF(LEFT($D405,5)="Areal", IF($G405="Ton",Landbrug!C$18,1),1)),1)*IF($F405="Grøntsager",IF($A405="Grøntsager i drivhus",Landbrug!C$51,1-Landbrug!C$51),1)</f>
        <v>#REF!</v>
      </c>
      <c r="I405" s="303" t="e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input'!$A$3:$A$230,$A$1)),IF(VLOOKUP($A405,[1]!Table1[#All],2,FALSE)="Resultat",SUMIF($F$1:$F404,$D405,I$1:I404)+SUMIF($F407:$F$490,$D405,I407:I$490),0))*'[1]Processer - data'!I405,"")*IF($C405&lt;&gt;"",IF($F405="Halm",Landbrug!D$16*Landbrug!D$17,IF(LEFT($D405,5)="Areal", IF($G405="Ton",Landbrug!D$18,1),1)),1)*IF($F405="Grøntsager",IF($A405="Grøntsager i drivhus",Landbrug!D$51,1-Landbrug!D$51),1)</f>
        <v>#REF!</v>
      </c>
      <c r="J405" s="304" t="e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input'!$A$3:$A$230,$A$1)),IF(VLOOKUP($A405,[1]!Table1[#All],2,FALSE)="Resultat",SUMIF($F$1:$F404,$D405,J$1:J404)+SUMIF($F407:$F$490,$D405,J407:J$490),0))*'[1]Processer - data'!J405,"")*IF($C405&lt;&gt;"",IF($F405="Halm",Landbrug!E$16*Landbrug!E$17,IF(LEFT($D405,5)="Areal", IF($G405="Ton",Landbrug!E$18,1),1)),1)*IF($F405="Grøntsager",IF($A405="Grøntsager i drivhus",Landbrug!E$51,1-Landbrug!E$51),1)</f>
        <v>#REF!</v>
      </c>
    </row>
    <row r="406" spans="1:10" s="171" customFormat="1" x14ac:dyDescent="0.25">
      <c r="A406" s="171" t="str">
        <f>IF('[1]Processer - data'!A406&lt;&gt;"",'[1]Processer - data'!A406,"")</f>
        <v>Mejeri</v>
      </c>
      <c r="B406" s="171" t="str">
        <f>IF('[1]Processer - data'!B406&lt;&gt;"",'[1]Processer - data'!B406,"")</f>
        <v/>
      </c>
      <c r="C406" s="171" t="str">
        <f>IF('[1]Processer - data'!C406&lt;&gt;"",'[1]Processer - data'!C406,"")</f>
        <v/>
      </c>
      <c r="D406" s="171" t="str">
        <f>IF('[1]Processer - data'!D406&lt;&gt;"",'[1]Processer - data'!D406,"")</f>
        <v>Råmælk</v>
      </c>
      <c r="E406" s="171" t="str">
        <f>IF('[1]Processer - data'!E406&lt;&gt;"",'[1]Processer - data'!E406,"")</f>
        <v>Ton</v>
      </c>
      <c r="F406" s="171" t="str">
        <f>IF('[1]Processer - data'!F406&lt;&gt;"",'[1]Processer - data'!F406,"")</f>
        <v>Industriaffald</v>
      </c>
      <c r="G406" s="171" t="str">
        <f>IF('[1]Processer - data'!G406&lt;&gt;"",'[1]Processer - data'!G406,"")</f>
        <v>Ton</v>
      </c>
      <c r="H406" s="302" t="e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input'!$A$3:$A$230,$A$1)),IF(VLOOKUP($A406,[1]!Table1[#All],2,FALSE)="Resultat",SUMIF($F$1:$F405,$D406,H$1:H405)+SUMIF($F408:$F$490,$D406,H408:H$490),0))*'[1]Processer - data'!H406,"")*IF($C406&lt;&gt;"",IF($F406="Halm",Landbrug!C$16*Landbrug!C$17,IF(LEFT($D406,5)="Areal", IF($G406="Ton",Landbrug!C$18,1),1)),1)*IF($F406="Grøntsager",IF($A406="Grøntsager i drivhus",Landbrug!C$51,1-Landbrug!C$51),1)</f>
        <v>#REF!</v>
      </c>
      <c r="I406" s="303" t="e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input'!$A$3:$A$230,$A$1)),IF(VLOOKUP($A406,[1]!Table1[#All],2,FALSE)="Resultat",SUMIF($F$1:$F405,$D406,I$1:I405)+SUMIF($F408:$F$490,$D406,I408:I$490),0))*'[1]Processer - data'!I406,"")*IF($C406&lt;&gt;"",IF($F406="Halm",Landbrug!D$16*Landbrug!D$17,IF(LEFT($D406,5)="Areal", IF($G406="Ton",Landbrug!D$18,1),1)),1)*IF($F406="Grøntsager",IF($A406="Grøntsager i drivhus",Landbrug!D$51,1-Landbrug!D$51),1)</f>
        <v>#REF!</v>
      </c>
      <c r="J406" s="304" t="e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input'!$A$3:$A$230,$A$1)),IF(VLOOKUP($A406,[1]!Table1[#All],2,FALSE)="Resultat",SUMIF($F$1:$F405,$D406,J$1:J405)+SUMIF($F408:$F$490,$D406,J408:J$490),0))*'[1]Processer - data'!J406,"")*IF($C406&lt;&gt;"",IF($F406="Halm",Landbrug!E$16*Landbrug!E$17,IF(LEFT($D406,5)="Areal", IF($G406="Ton",Landbrug!E$18,1),1)),1)*IF($F406="Grøntsager",IF($A406="Grøntsager i drivhus",Landbrug!E$51,1-Landbrug!E$51),1)</f>
        <v>#REF!</v>
      </c>
    </row>
    <row r="407" spans="1:10" x14ac:dyDescent="0.25">
      <c r="A407" t="str">
        <f>IF('[1]Processer - data'!A407&lt;&gt;"",'[1]Processer - data'!A407,"")</f>
        <v>Mejeri</v>
      </c>
      <c r="B407" t="str">
        <f>IF('[1]Processer - data'!B407&lt;&gt;"",'[1]Processer - data'!B407,"")</f>
        <v/>
      </c>
      <c r="C407" t="str">
        <f>IF('[1]Processer - data'!C407&lt;&gt;"",'[1]Processer - data'!C407,"")</f>
        <v/>
      </c>
      <c r="D407" t="str">
        <f>IF('[1]Processer - data'!D407&lt;&gt;"",'[1]Processer - data'!D407,"")</f>
        <v>Råmælk</v>
      </c>
      <c r="E407" t="str">
        <f>IF('[1]Processer - data'!E407&lt;&gt;"",'[1]Processer - data'!E407,"")</f>
        <v>Ton</v>
      </c>
      <c r="F407" t="str">
        <f>IF('[1]Processer - data'!F407&lt;&gt;"",'[1]Processer - data'!F407,"")</f>
        <v>Mælk til foder</v>
      </c>
      <c r="G407" t="str">
        <f>IF('[1]Processer - data'!G407&lt;&gt;"",'[1]Processer - data'!G407,"")</f>
        <v>Ton</v>
      </c>
      <c r="H407" s="302" t="e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input'!$A$3:$A$230,$A$1)),IF(VLOOKUP($A407,[1]!Table1[#All],2,FALSE)="Resultat",SUMIF($F$1:$F405,$D407,H$1:H405)+SUMIF($F408:$F$490,$D407,H408:H$490),0))*'[1]Processer - data'!H407,"")*IF($C407&lt;&gt;"",IF($F407="Halm",Landbrug!C$16*Landbrug!C$17,IF(LEFT($D407,5)="Areal", IF($G407="Ton",Landbrug!C$18,1),1)),1)*IF($F407="Grøntsager",IF($A407="Grøntsager i drivhus",Landbrug!C$51,1-Landbrug!C$51),1)</f>
        <v>#REF!</v>
      </c>
      <c r="I407" s="303" t="e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input'!$A$3:$A$230,$A$1)),IF(VLOOKUP($A407,[1]!Table1[#All],2,FALSE)="Resultat",SUMIF($F$1:$F405,$D407,I$1:I405)+SUMIF($F408:$F$490,$D407,I408:I$490),0))*'[1]Processer - data'!I407,"")*IF($C407&lt;&gt;"",IF($F407="Halm",Landbrug!D$16*Landbrug!D$17,IF(LEFT($D407,5)="Areal", IF($G407="Ton",Landbrug!D$18,1),1)),1)*IF($F407="Grøntsager",IF($A407="Grøntsager i drivhus",Landbrug!D$51,1-Landbrug!D$51),1)</f>
        <v>#REF!</v>
      </c>
      <c r="J407" s="304" t="e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input'!$A$3:$A$230,$A$1)),IF(VLOOKUP($A407,[1]!Table1[#All],2,FALSE)="Resultat",SUMIF($F$1:$F405,$D407,J$1:J405)+SUMIF($F408:$F$490,$D407,J408:J$490),0))*'[1]Processer - data'!J407,"")*IF($C407&lt;&gt;"",IF($F407="Halm",Landbrug!E$16*Landbrug!E$17,IF(LEFT($D407,5)="Areal", IF($G407="Ton",Landbrug!E$18,1),1)),1)*IF($F407="Grøntsager",IF($A407="Grøntsager i drivhus",Landbrug!E$51,1-Landbrug!E$51),1)</f>
        <v>#REF!</v>
      </c>
    </row>
    <row r="408" spans="1:10" x14ac:dyDescent="0.25">
      <c r="A408" t="str">
        <f>IF('[1]Processer - data'!A408&lt;&gt;"",'[1]Processer - data'!A408,"")</f>
        <v>Slagteri</v>
      </c>
      <c r="B408" t="str">
        <f>IF('[1]Processer - data'!B408&lt;&gt;"",'[1]Processer - data'!B408,"")</f>
        <v/>
      </c>
      <c r="C408" t="str">
        <f>IF('[1]Processer - data'!C408&lt;&gt;"",'[1]Processer - data'!C408,"")</f>
        <v/>
      </c>
      <c r="D408" t="str">
        <f>IF('[1]Processer - data'!D408&lt;&gt;"",'[1]Processer - data'!D408,"")</f>
        <v>Slagtesvin</v>
      </c>
      <c r="E408" t="str">
        <f>IF('[1]Processer - data'!E408&lt;&gt;"",'[1]Processer - data'!E408,"")</f>
        <v>Antal</v>
      </c>
      <c r="F408" t="str">
        <f>IF('[1]Processer - data'!F408&lt;&gt;"",'[1]Processer - data'!F408,"")</f>
        <v>Svinekød</v>
      </c>
      <c r="G408" t="str">
        <f>IF('[1]Processer - data'!G408&lt;&gt;"",'[1]Processer - data'!G408,"")</f>
        <v>Ton</v>
      </c>
      <c r="H408" s="302" t="e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input'!$A$3:$A$230,$A$1)),IF(VLOOKUP($A408,[1]!Table1[#All],2,FALSE)="Resultat",SUMIF($F$1:$F407,$D408,H$1:H407)+SUMIF($F409:$F$490,$D408,H409:H$490),0))*'[1]Processer - data'!H408,"")*IF($C408&lt;&gt;"",IF($F408="Halm",Landbrug!C$16*Landbrug!C$17,IF(LEFT($D408,5)="Areal", IF($G408="Ton",Landbrug!C$18,1),1)),1)*IF($F408="Grøntsager",IF($A408="Grøntsager i drivhus",Landbrug!C$51,1-Landbrug!C$51),1)</f>
        <v>#REF!</v>
      </c>
      <c r="I408" s="303" t="e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input'!$A$3:$A$230,$A$1)),IF(VLOOKUP($A408,[1]!Table1[#All],2,FALSE)="Resultat",SUMIF($F$1:$F407,$D408,I$1:I407)+SUMIF($F409:$F$490,$D408,I409:I$490),0))*'[1]Processer - data'!I408,"")*IF($C408&lt;&gt;"",IF($F408="Halm",Landbrug!D$16*Landbrug!D$17,IF(LEFT($D408,5)="Areal", IF($G408="Ton",Landbrug!D$18,1),1)),1)*IF($F408="Grøntsager",IF($A408="Grøntsager i drivhus",Landbrug!D$51,1-Landbrug!D$51),1)</f>
        <v>#REF!</v>
      </c>
      <c r="J408" s="304" t="e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input'!$A$3:$A$230,$A$1)),IF(VLOOKUP($A408,[1]!Table1[#All],2,FALSE)="Resultat",SUMIF($F$1:$F407,$D408,J$1:J407)+SUMIF($F409:$F$490,$D408,J409:J$490),0))*'[1]Processer - data'!J408,"")*IF($C408&lt;&gt;"",IF($F408="Halm",Landbrug!E$16*Landbrug!E$17,IF(LEFT($D408,5)="Areal", IF($G408="Ton",Landbrug!E$18,1),1)),1)*IF($F408="Grøntsager",IF($A408="Grøntsager i drivhus",Landbrug!E$51,1-Landbrug!E$51),1)</f>
        <v>#REF!</v>
      </c>
    </row>
    <row r="409" spans="1:10" x14ac:dyDescent="0.25">
      <c r="A409" t="str">
        <f>IF('[1]Processer - data'!A409&lt;&gt;"",'[1]Processer - data'!A409,"")</f>
        <v>Slagteri</v>
      </c>
      <c r="B409" t="str">
        <f>IF('[1]Processer - data'!B409&lt;&gt;"",'[1]Processer - data'!B409,"")</f>
        <v/>
      </c>
      <c r="C409" t="str">
        <f>IF('[1]Processer - data'!C409&lt;&gt;"",'[1]Processer - data'!C409,"")</f>
        <v/>
      </c>
      <c r="D409" t="str">
        <f>IF('[1]Processer - data'!D409&lt;&gt;"",'[1]Processer - data'!D409,"")</f>
        <v>Slagtesvin</v>
      </c>
      <c r="E409" t="str">
        <f>IF('[1]Processer - data'!E409&lt;&gt;"",'[1]Processer - data'!E409,"")</f>
        <v>Antal</v>
      </c>
      <c r="F409" t="str">
        <f>IF('[1]Processer - data'!F409&lt;&gt;"",'[1]Processer - data'!F409,"")</f>
        <v>Industriaffald</v>
      </c>
      <c r="G409" t="str">
        <f>IF('[1]Processer - data'!G409&lt;&gt;"",'[1]Processer - data'!G409,"")</f>
        <v>Ton</v>
      </c>
      <c r="H409" s="302" t="e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input'!$A$3:$A$230,$A$1)),IF(VLOOKUP($A409,[1]!Table1[#All],2,FALSE)="Resultat",SUMIF($F$1:$F408,$D409,H$1:H408)+SUMIF($F410:$F$490,$D409,H410:H$490),0))*'[1]Processer - data'!H409,"")*IF($C409&lt;&gt;"",IF($F409="Halm",Landbrug!C$16*Landbrug!C$17,IF(LEFT($D409,5)="Areal", IF($G409="Ton",Landbrug!C$18,1),1)),1)*IF($F409="Grøntsager",IF($A409="Grøntsager i drivhus",Landbrug!C$51,1-Landbrug!C$51),1)</f>
        <v>#REF!</v>
      </c>
      <c r="I409" s="303" t="e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input'!$A$3:$A$230,$A$1)),IF(VLOOKUP($A409,[1]!Table1[#All],2,FALSE)="Resultat",SUMIF($F$1:$F408,$D409,I$1:I408)+SUMIF($F410:$F$490,$D409,I410:I$490),0))*'[1]Processer - data'!I409,"")*IF($C409&lt;&gt;"",IF($F409="Halm",Landbrug!D$16*Landbrug!D$17,IF(LEFT($D409,5)="Areal", IF($G409="Ton",Landbrug!D$18,1),1)),1)*IF($F409="Grøntsager",IF($A409="Grøntsager i drivhus",Landbrug!D$51,1-Landbrug!D$51),1)</f>
        <v>#REF!</v>
      </c>
      <c r="J409" s="304" t="e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input'!$A$3:$A$230,$A$1)),IF(VLOOKUP($A409,[1]!Table1[#All],2,FALSE)="Resultat",SUMIF($F$1:$F408,$D409,J$1:J408)+SUMIF($F410:$F$490,$D409,J410:J$490),0))*'[1]Processer - data'!J409,"")*IF($C409&lt;&gt;"",IF($F409="Halm",Landbrug!E$16*Landbrug!E$17,IF(LEFT($D409,5)="Areal", IF($G409="Ton",Landbrug!E$18,1),1)),1)*IF($F409="Grøntsager",IF($A409="Grøntsager i drivhus",Landbrug!E$51,1-Landbrug!E$51),1)</f>
        <v>#REF!</v>
      </c>
    </row>
    <row r="410" spans="1:10" x14ac:dyDescent="0.25">
      <c r="A410" t="str">
        <f>IF('[1]Processer - data'!A410&lt;&gt;"",'[1]Processer - data'!A410,"")</f>
        <v>Slagteri</v>
      </c>
      <c r="B410" t="str">
        <f>IF('[1]Processer - data'!B410&lt;&gt;"",'[1]Processer - data'!B410,"")</f>
        <v/>
      </c>
      <c r="C410" t="str">
        <f>IF('[1]Processer - data'!C410&lt;&gt;"",'[1]Processer - data'!C410,"")</f>
        <v/>
      </c>
      <c r="D410" t="str">
        <f>IF('[1]Processer - data'!D410&lt;&gt;"",'[1]Processer - data'!D410,"")</f>
        <v>Slagtesvin</v>
      </c>
      <c r="E410" t="str">
        <f>IF('[1]Processer - data'!E410&lt;&gt;"",'[1]Processer - data'!E410,"")</f>
        <v>Antal</v>
      </c>
      <c r="F410" t="str">
        <f>IF('[1]Processer - data'!F410&lt;&gt;"",'[1]Processer - data'!F410,"")</f>
        <v>Slagteriaffald til foder</v>
      </c>
      <c r="G410" t="str">
        <f>IF('[1]Processer - data'!G410&lt;&gt;"",'[1]Processer - data'!G410,"")</f>
        <v>Ton</v>
      </c>
      <c r="H410" s="302" t="e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input'!$A$3:$A$230,$A$1)),IF(VLOOKUP($A410,[1]!Table1[#All],2,FALSE)="Resultat",SUMIF($F$1:$F409,$D410,H$1:H409)+SUMIF($F411:$F$490,$D410,H411:H$490),0))*'[1]Processer - data'!H410,"")*IF($C410&lt;&gt;"",IF($F410="Halm",Landbrug!C$16*Landbrug!C$17,IF(LEFT($D410,5)="Areal", IF($G410="Ton",Landbrug!C$18,1),1)),1)*IF($F410="Grøntsager",IF($A410="Grøntsager i drivhus",Landbrug!C$51,1-Landbrug!C$51),1)</f>
        <v>#REF!</v>
      </c>
      <c r="I410" s="303" t="e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input'!$A$3:$A$230,$A$1)),IF(VLOOKUP($A410,[1]!Table1[#All],2,FALSE)="Resultat",SUMIF($F$1:$F409,$D410,I$1:I409)+SUMIF($F411:$F$490,$D410,I411:I$490),0))*'[1]Processer - data'!I410,"")*IF($C410&lt;&gt;"",IF($F410="Halm",Landbrug!D$16*Landbrug!D$17,IF(LEFT($D410,5)="Areal", IF($G410="Ton",Landbrug!D$18,1),1)),1)*IF($F410="Grøntsager",IF($A410="Grøntsager i drivhus",Landbrug!D$51,1-Landbrug!D$51),1)</f>
        <v>#REF!</v>
      </c>
      <c r="J410" s="304" t="e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input'!$A$3:$A$230,$A$1)),IF(VLOOKUP($A410,[1]!Table1[#All],2,FALSE)="Resultat",SUMIF($F$1:$F409,$D410,J$1:J409)+SUMIF($F411:$F$490,$D410,J411:J$490),0))*'[1]Processer - data'!J410,"")*IF($C410&lt;&gt;"",IF($F410="Halm",Landbrug!E$16*Landbrug!E$17,IF(LEFT($D410,5)="Areal", IF($G410="Ton",Landbrug!E$18,1),1)),1)*IF($F410="Grøntsager",IF($A410="Grøntsager i drivhus",Landbrug!E$51,1-Landbrug!E$51),1)</f>
        <v>#REF!</v>
      </c>
    </row>
    <row r="411" spans="1:10" x14ac:dyDescent="0.25">
      <c r="A411" t="str">
        <f>IF('[1]Processer - data'!A411&lt;&gt;"",'[1]Processer - data'!A411,"")</f>
        <v>Slagteri</v>
      </c>
      <c r="B411" t="str">
        <f>IF('[1]Processer - data'!B411&lt;&gt;"",'[1]Processer - data'!B411,"")</f>
        <v/>
      </c>
      <c r="C411" t="str">
        <f>IF('[1]Processer - data'!C411&lt;&gt;"",'[1]Processer - data'!C411,"")</f>
        <v/>
      </c>
      <c r="D411" t="str">
        <f>IF('[1]Processer - data'!D411&lt;&gt;"",'[1]Processer - data'!D411,"")</f>
        <v>Slagtesvin</v>
      </c>
      <c r="E411" t="str">
        <f>IF('[1]Processer - data'!E411&lt;&gt;"",'[1]Processer - data'!E411,"")</f>
        <v>Antal</v>
      </c>
      <c r="F411" t="str">
        <f>IF('[1]Processer - data'!F411&lt;&gt;"",'[1]Processer - data'!F411,"")</f>
        <v>Slagteriaffald til andet</v>
      </c>
      <c r="G411" t="str">
        <f>IF('[1]Processer - data'!G411&lt;&gt;"",'[1]Processer - data'!G411,"")</f>
        <v>Ton</v>
      </c>
      <c r="H411" s="302" t="e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input'!$A$3:$A$230,$A$1)),IF(VLOOKUP($A411,[1]!Table1[#All],2,FALSE)="Resultat",SUMIF($F$1:$F410,$D411,H$1:H410)+SUMIF($F412:$F$490,$D411,H412:H$490),0))*'[1]Processer - data'!H411,"")*IF($C411&lt;&gt;"",IF($F411="Halm",Landbrug!C$16*Landbrug!C$17,IF(LEFT($D411,5)="Areal", IF($G411="Ton",Landbrug!C$18,1),1)),1)*IF($F411="Grøntsager",IF($A411="Grøntsager i drivhus",Landbrug!C$51,1-Landbrug!C$51),1)</f>
        <v>#REF!</v>
      </c>
      <c r="I411" s="303" t="e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input'!$A$3:$A$230,$A$1)),IF(VLOOKUP($A411,[1]!Table1[#All],2,FALSE)="Resultat",SUMIF($F$1:$F410,$D411,I$1:I410)+SUMIF($F412:$F$490,$D411,I412:I$490),0))*'[1]Processer - data'!I411,"")*IF($C411&lt;&gt;"",IF($F411="Halm",Landbrug!D$16*Landbrug!D$17,IF(LEFT($D411,5)="Areal", IF($G411="Ton",Landbrug!D$18,1),1)),1)*IF($F411="Grøntsager",IF($A411="Grøntsager i drivhus",Landbrug!D$51,1-Landbrug!D$51),1)</f>
        <v>#REF!</v>
      </c>
      <c r="J411" s="304" t="e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input'!$A$3:$A$230,$A$1)),IF(VLOOKUP($A411,[1]!Table1[#All],2,FALSE)="Resultat",SUMIF($F$1:$F410,$D411,J$1:J410)+SUMIF($F412:$F$490,$D411,J412:J$490),0))*'[1]Processer - data'!J411,"")*IF($C411&lt;&gt;"",IF($F411="Halm",Landbrug!E$16*Landbrug!E$17,IF(LEFT($D411,5)="Areal", IF($G411="Ton",Landbrug!E$18,1),1)),1)*IF($F411="Grøntsager",IF($A411="Grøntsager i drivhus",Landbrug!E$51,1-Landbrug!E$51),1)</f>
        <v>#REF!</v>
      </c>
    </row>
    <row r="412" spans="1:10" x14ac:dyDescent="0.25">
      <c r="A412" t="str">
        <f>IF('[1]Processer - data'!A412&lt;&gt;"",'[1]Processer - data'!A412,"")</f>
        <v>Slagteri</v>
      </c>
      <c r="B412" t="str">
        <f>IF('[1]Processer - data'!B412&lt;&gt;"",'[1]Processer - data'!B412,"")</f>
        <v/>
      </c>
      <c r="C412" t="str">
        <f>IF('[1]Processer - data'!C412&lt;&gt;"",'[1]Processer - data'!C412,"")</f>
        <v/>
      </c>
      <c r="D412" t="str">
        <f>IF('[1]Processer - data'!D412&lt;&gt;"",'[1]Processer - data'!D412,"")</f>
        <v>Slagtekøer</v>
      </c>
      <c r="E412" t="str">
        <f>IF('[1]Processer - data'!E412&lt;&gt;"",'[1]Processer - data'!E412,"")</f>
        <v>Antal</v>
      </c>
      <c r="F412" t="str">
        <f>IF('[1]Processer - data'!F412&lt;&gt;"",'[1]Processer - data'!F412,"")</f>
        <v>Oksekød</v>
      </c>
      <c r="G412" t="str">
        <f>IF('[1]Processer - data'!G412&lt;&gt;"",'[1]Processer - data'!G412,"")</f>
        <v>Ton</v>
      </c>
      <c r="H412" s="302" t="e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input'!$A$3:$A$230,$A$1)),IF(VLOOKUP($A412,[1]!Table1[#All],2,FALSE)="Resultat",SUMIF($F$1:$F411,$D412,H$1:H411)+SUMIF($F413:$F$490,$D412,H413:H$490),0))*'[1]Processer - data'!H412,"")*IF($C412&lt;&gt;"",IF($F412="Halm",Landbrug!C$16*Landbrug!C$17,IF(LEFT($D412,5)="Areal", IF($G412="Ton",Landbrug!C$18,1),1)),1)*IF($F412="Grøntsager",IF($A412="Grøntsager i drivhus",Landbrug!C$51,1-Landbrug!C$51),1)</f>
        <v>#REF!</v>
      </c>
      <c r="I412" s="303" t="e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input'!$A$3:$A$230,$A$1)),IF(VLOOKUP($A412,[1]!Table1[#All],2,FALSE)="Resultat",SUMIF($F$1:$F411,$D412,I$1:I411)+SUMIF($F413:$F$490,$D412,I413:I$490),0))*'[1]Processer - data'!I412,"")*IF($C412&lt;&gt;"",IF($F412="Halm",Landbrug!D$16*Landbrug!D$17,IF(LEFT($D412,5)="Areal", IF($G412="Ton",Landbrug!D$18,1),1)),1)*IF($F412="Grøntsager",IF($A412="Grøntsager i drivhus",Landbrug!D$51,1-Landbrug!D$51),1)</f>
        <v>#REF!</v>
      </c>
      <c r="J412" s="304" t="e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input'!$A$3:$A$230,$A$1)),IF(VLOOKUP($A412,[1]!Table1[#All],2,FALSE)="Resultat",SUMIF($F$1:$F411,$D412,J$1:J411)+SUMIF($F413:$F$490,$D412,J413:J$490),0))*'[1]Processer - data'!J412,"")*IF($C412&lt;&gt;"",IF($F412="Halm",Landbrug!E$16*Landbrug!E$17,IF(LEFT($D412,5)="Areal", IF($G412="Ton",Landbrug!E$18,1),1)),1)*IF($F412="Grøntsager",IF($A412="Grøntsager i drivhus",Landbrug!E$51,1-Landbrug!E$51),1)</f>
        <v>#REF!</v>
      </c>
    </row>
    <row r="413" spans="1:10" x14ac:dyDescent="0.25">
      <c r="A413" t="str">
        <f>IF('[1]Processer - data'!A413&lt;&gt;"",'[1]Processer - data'!A413,"")</f>
        <v>Slagteri</v>
      </c>
      <c r="B413" t="str">
        <f>IF('[1]Processer - data'!B413&lt;&gt;"",'[1]Processer - data'!B413,"")</f>
        <v/>
      </c>
      <c r="C413" t="str">
        <f>IF('[1]Processer - data'!C413&lt;&gt;"",'[1]Processer - data'!C413,"")</f>
        <v/>
      </c>
      <c r="D413" t="str">
        <f>IF('[1]Processer - data'!D413&lt;&gt;"",'[1]Processer - data'!D413,"")</f>
        <v>Slagtekøer</v>
      </c>
      <c r="E413" t="str">
        <f>IF('[1]Processer - data'!E413&lt;&gt;"",'[1]Processer - data'!E413,"")</f>
        <v>Antal</v>
      </c>
      <c r="F413" t="str">
        <f>IF('[1]Processer - data'!F413&lt;&gt;"",'[1]Processer - data'!F413,"")</f>
        <v>Industriaffald</v>
      </c>
      <c r="G413" t="str">
        <f>IF('[1]Processer - data'!G413&lt;&gt;"",'[1]Processer - data'!G413,"")</f>
        <v>Ton</v>
      </c>
      <c r="H413" s="302" t="e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input'!$A$3:$A$230,$A$1)),IF(VLOOKUP($A413,[1]!Table1[#All],2,FALSE)="Resultat",SUMIF($F$1:$F412,$D413,H$1:H412)+SUMIF($F414:$F$490,$D413,H414:H$490),0))*'[1]Processer - data'!H413,"")*IF($C413&lt;&gt;"",IF($F413="Halm",Landbrug!C$16*Landbrug!C$17,IF(LEFT($D413,5)="Areal", IF($G413="Ton",Landbrug!C$18,1),1)),1)*IF($F413="Grøntsager",IF($A413="Grøntsager i drivhus",Landbrug!C$51,1-Landbrug!C$51),1)</f>
        <v>#REF!</v>
      </c>
      <c r="I413" s="303" t="e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input'!$A$3:$A$230,$A$1)),IF(VLOOKUP($A413,[1]!Table1[#All],2,FALSE)="Resultat",SUMIF($F$1:$F412,$D413,I$1:I412)+SUMIF($F414:$F$490,$D413,I414:I$490),0))*'[1]Processer - data'!I413,"")*IF($C413&lt;&gt;"",IF($F413="Halm",Landbrug!D$16*Landbrug!D$17,IF(LEFT($D413,5)="Areal", IF($G413="Ton",Landbrug!D$18,1),1)),1)*IF($F413="Grøntsager",IF($A413="Grøntsager i drivhus",Landbrug!D$51,1-Landbrug!D$51),1)</f>
        <v>#REF!</v>
      </c>
      <c r="J413" s="304" t="e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input'!$A$3:$A$230,$A$1)),IF(VLOOKUP($A413,[1]!Table1[#All],2,FALSE)="Resultat",SUMIF($F$1:$F412,$D413,J$1:J412)+SUMIF($F414:$F$490,$D413,J414:J$490),0))*'[1]Processer - data'!J413,"")*IF($C413&lt;&gt;"",IF($F413="Halm",Landbrug!E$16*Landbrug!E$17,IF(LEFT($D413,5)="Areal", IF($G413="Ton",Landbrug!E$18,1),1)),1)*IF($F413="Grøntsager",IF($A413="Grøntsager i drivhus",Landbrug!E$51,1-Landbrug!E$51),1)</f>
        <v>#REF!</v>
      </c>
    </row>
    <row r="414" spans="1:10" x14ac:dyDescent="0.25">
      <c r="A414" t="str">
        <f>IF('[1]Processer - data'!A414&lt;&gt;"",'[1]Processer - data'!A414,"")</f>
        <v>Slagteri</v>
      </c>
      <c r="B414" t="str">
        <f>IF('[1]Processer - data'!B414&lt;&gt;"",'[1]Processer - data'!B414,"")</f>
        <v/>
      </c>
      <c r="C414" t="str">
        <f>IF('[1]Processer - data'!C414&lt;&gt;"",'[1]Processer - data'!C414,"")</f>
        <v/>
      </c>
      <c r="D414" t="str">
        <f>IF('[1]Processer - data'!D414&lt;&gt;"",'[1]Processer - data'!D414,"")</f>
        <v>Slagtekøer</v>
      </c>
      <c r="E414" t="str">
        <f>IF('[1]Processer - data'!E414&lt;&gt;"",'[1]Processer - data'!E414,"")</f>
        <v>Antal</v>
      </c>
      <c r="F414" t="str">
        <f>IF('[1]Processer - data'!F414&lt;&gt;"",'[1]Processer - data'!F414,"")</f>
        <v>Slagteriaffald til foder</v>
      </c>
      <c r="G414" t="str">
        <f>IF('[1]Processer - data'!G414&lt;&gt;"",'[1]Processer - data'!G414,"")</f>
        <v>Ton</v>
      </c>
      <c r="H414" s="302" t="e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input'!$A$3:$A$230,$A$1)),IF(VLOOKUP($A414,[1]!Table1[#All],2,FALSE)="Resultat",SUMIF($F$1:$F413,$D414,H$1:H413)+SUMIF($F415:$F$490,$D414,H415:H$490),0))*'[1]Processer - data'!H414,"")*IF($C414&lt;&gt;"",IF($F414="Halm",Landbrug!C$16*Landbrug!C$17,IF(LEFT($D414,5)="Areal", IF($G414="Ton",Landbrug!C$18,1),1)),1)*IF($F414="Grøntsager",IF($A414="Grøntsager i drivhus",Landbrug!C$51,1-Landbrug!C$51),1)</f>
        <v>#REF!</v>
      </c>
      <c r="I414" s="303" t="e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input'!$A$3:$A$230,$A$1)),IF(VLOOKUP($A414,[1]!Table1[#All],2,FALSE)="Resultat",SUMIF($F$1:$F413,$D414,I$1:I413)+SUMIF($F415:$F$490,$D414,I415:I$490),0))*'[1]Processer - data'!I414,"")*IF($C414&lt;&gt;"",IF($F414="Halm",Landbrug!D$16*Landbrug!D$17,IF(LEFT($D414,5)="Areal", IF($G414="Ton",Landbrug!D$18,1),1)),1)*IF($F414="Grøntsager",IF($A414="Grøntsager i drivhus",Landbrug!D$51,1-Landbrug!D$51),1)</f>
        <v>#REF!</v>
      </c>
      <c r="J414" s="304" t="e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input'!$A$3:$A$230,$A$1)),IF(VLOOKUP($A414,[1]!Table1[#All],2,FALSE)="Resultat",SUMIF($F$1:$F413,$D414,J$1:J413)+SUMIF($F415:$F$490,$D414,J415:J$490),0))*'[1]Processer - data'!J414,"")*IF($C414&lt;&gt;"",IF($F414="Halm",Landbrug!E$16*Landbrug!E$17,IF(LEFT($D414,5)="Areal", IF($G414="Ton",Landbrug!E$18,1),1)),1)*IF($F414="Grøntsager",IF($A414="Grøntsager i drivhus",Landbrug!E$51,1-Landbrug!E$51),1)</f>
        <v>#REF!</v>
      </c>
    </row>
    <row r="415" spans="1:10" x14ac:dyDescent="0.25">
      <c r="A415" t="str">
        <f>IF('[1]Processer - data'!A415&lt;&gt;"",'[1]Processer - data'!A415,"")</f>
        <v>Slagteri</v>
      </c>
      <c r="B415" t="str">
        <f>IF('[1]Processer - data'!B415&lt;&gt;"",'[1]Processer - data'!B415,"")</f>
        <v/>
      </c>
      <c r="C415" t="str">
        <f>IF('[1]Processer - data'!C415&lt;&gt;"",'[1]Processer - data'!C415,"")</f>
        <v/>
      </c>
      <c r="D415" t="str">
        <f>IF('[1]Processer - data'!D415&lt;&gt;"",'[1]Processer - data'!D415,"")</f>
        <v>Slagtekøer</v>
      </c>
      <c r="E415" t="str">
        <f>IF('[1]Processer - data'!E415&lt;&gt;"",'[1]Processer - data'!E415,"")</f>
        <v>Antal</v>
      </c>
      <c r="F415" t="str">
        <f>IF('[1]Processer - data'!F415&lt;&gt;"",'[1]Processer - data'!F415,"")</f>
        <v>Slagteriaffald til andet</v>
      </c>
      <c r="G415" t="str">
        <f>IF('[1]Processer - data'!G415&lt;&gt;"",'[1]Processer - data'!G415,"")</f>
        <v>Ton</v>
      </c>
      <c r="H415" s="302" t="e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input'!$A$3:$A$230,$A$1)),IF(VLOOKUP($A415,[1]!Table1[#All],2,FALSE)="Resultat",SUMIF($F$1:$F414,$D415,H$1:H414)+SUMIF($F416:$F$490,$D415,H416:H$490),0))*'[1]Processer - data'!H415,"")*IF($C415&lt;&gt;"",IF($F415="Halm",Landbrug!C$16*Landbrug!C$17,IF(LEFT($D415,5)="Areal", IF($G415="Ton",Landbrug!C$18,1),1)),1)*IF($F415="Grøntsager",IF($A415="Grøntsager i drivhus",Landbrug!C$51,1-Landbrug!C$51),1)</f>
        <v>#REF!</v>
      </c>
      <c r="I415" s="303" t="e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input'!$A$3:$A$230,$A$1)),IF(VLOOKUP($A415,[1]!Table1[#All],2,FALSE)="Resultat",SUMIF($F$1:$F414,$D415,I$1:I414)+SUMIF($F416:$F$490,$D415,I416:I$490),0))*'[1]Processer - data'!I415,"")*IF($C415&lt;&gt;"",IF($F415="Halm",Landbrug!D$16*Landbrug!D$17,IF(LEFT($D415,5)="Areal", IF($G415="Ton",Landbrug!D$18,1),1)),1)*IF($F415="Grøntsager",IF($A415="Grøntsager i drivhus",Landbrug!D$51,1-Landbrug!D$51),1)</f>
        <v>#REF!</v>
      </c>
      <c r="J415" s="304" t="e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input'!$A$3:$A$230,$A$1)),IF(VLOOKUP($A415,[1]!Table1[#All],2,FALSE)="Resultat",SUMIF($F$1:$F414,$D415,J$1:J414)+SUMIF($F416:$F$490,$D415,J416:J$490),0))*'[1]Processer - data'!J415,"")*IF($C415&lt;&gt;"",IF($F415="Halm",Landbrug!E$16*Landbrug!E$17,IF(LEFT($D415,5)="Areal", IF($G415="Ton",Landbrug!E$18,1),1)),1)*IF($F415="Grøntsager",IF($A415="Grøntsager i drivhus",Landbrug!E$51,1-Landbrug!E$51),1)</f>
        <v>#REF!</v>
      </c>
    </row>
    <row r="416" spans="1:10" x14ac:dyDescent="0.25">
      <c r="A416" t="str">
        <f>IF('[1]Processer - data'!A416&lt;&gt;"",'[1]Processer - data'!A416,"")</f>
        <v>Slagteri</v>
      </c>
      <c r="B416" t="str">
        <f>IF('[1]Processer - data'!B416&lt;&gt;"",'[1]Processer - data'!B416,"")</f>
        <v/>
      </c>
      <c r="C416" t="str">
        <f>IF('[1]Processer - data'!C416&lt;&gt;"",'[1]Processer - data'!C416,"")</f>
        <v/>
      </c>
      <c r="D416" t="str">
        <f>IF('[1]Processer - data'!D416&lt;&gt;"",'[1]Processer - data'!D416,"")</f>
        <v>Slagtefjerkræ</v>
      </c>
      <c r="E416" t="str">
        <f>IF('[1]Processer - data'!E416&lt;&gt;"",'[1]Processer - data'!E416,"")</f>
        <v>Antal</v>
      </c>
      <c r="F416" t="str">
        <f>IF('[1]Processer - data'!F416&lt;&gt;"",'[1]Processer - data'!F416,"")</f>
        <v>Fjerkrækød</v>
      </c>
      <c r="G416" t="str">
        <f>IF('[1]Processer - data'!G416&lt;&gt;"",'[1]Processer - data'!G416,"")</f>
        <v>Ton</v>
      </c>
      <c r="H416" s="302" t="e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input'!$A$3:$A$230,$A$1)),IF(VLOOKUP($A416,[1]!Table1[#All],2,FALSE)="Resultat",SUMIF($F$1:$F415,$D416,H$1:H415)+SUMIF($F417:$F$490,$D416,H417:H$490),0))*'[1]Processer - data'!H416,"")*IF($C416&lt;&gt;"",IF($F416="Halm",Landbrug!C$16*Landbrug!C$17,IF(LEFT($D416,5)="Areal", IF($G416="Ton",Landbrug!C$18,1),1)),1)*IF($F416="Grøntsager",IF($A416="Grøntsager i drivhus",Landbrug!C$51,1-Landbrug!C$51),1)</f>
        <v>#REF!</v>
      </c>
      <c r="I416" s="303" t="e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input'!$A$3:$A$230,$A$1)),IF(VLOOKUP($A416,[1]!Table1[#All],2,FALSE)="Resultat",SUMIF($F$1:$F415,$D416,I$1:I415)+SUMIF($F417:$F$490,$D416,I417:I$490),0))*'[1]Processer - data'!I416,"")*IF($C416&lt;&gt;"",IF($F416="Halm",Landbrug!D$16*Landbrug!D$17,IF(LEFT($D416,5)="Areal", IF($G416="Ton",Landbrug!D$18,1),1)),1)*IF($F416="Grøntsager",IF($A416="Grøntsager i drivhus",Landbrug!D$51,1-Landbrug!D$51),1)</f>
        <v>#REF!</v>
      </c>
      <c r="J416" s="304" t="e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input'!$A$3:$A$230,$A$1)),IF(VLOOKUP($A416,[1]!Table1[#All],2,FALSE)="Resultat",SUMIF($F$1:$F415,$D416,J$1:J415)+SUMIF($F417:$F$490,$D416,J417:J$490),0))*'[1]Processer - data'!J416,"")*IF($C416&lt;&gt;"",IF($F416="Halm",Landbrug!E$16*Landbrug!E$17,IF(LEFT($D416,5)="Areal", IF($G416="Ton",Landbrug!E$18,1),1)),1)*IF($F416="Grøntsager",IF($A416="Grøntsager i drivhus",Landbrug!E$51,1-Landbrug!E$51),1)</f>
        <v>#REF!</v>
      </c>
    </row>
    <row r="417" spans="1:10" ht="15.75" thickBot="1" x14ac:dyDescent="0.3">
      <c r="A417" t="str">
        <f>IF('[1]Processer - data'!A417&lt;&gt;"",'[1]Processer - data'!A417,"")</f>
        <v>Slagteri</v>
      </c>
      <c r="B417" t="str">
        <f>IF('[1]Processer - data'!B417&lt;&gt;"",'[1]Processer - data'!B417,"")</f>
        <v/>
      </c>
      <c r="C417" t="str">
        <f>IF('[1]Processer - data'!C417&lt;&gt;"",'[1]Processer - data'!C417,"")</f>
        <v/>
      </c>
      <c r="D417" t="str">
        <f>IF('[1]Processer - data'!D417&lt;&gt;"",'[1]Processer - data'!D417,"")</f>
        <v>Slagtefjerkræ</v>
      </c>
      <c r="E417" t="str">
        <f>IF('[1]Processer - data'!E417&lt;&gt;"",'[1]Processer - data'!E417,"")</f>
        <v>Antal</v>
      </c>
      <c r="F417" t="str">
        <f>IF('[1]Processer - data'!F417&lt;&gt;"",'[1]Processer - data'!F417,"")</f>
        <v>Industriaffald</v>
      </c>
      <c r="G417" t="str">
        <f>IF('[1]Processer - data'!G417&lt;&gt;"",'[1]Processer - data'!G417,"")</f>
        <v>Ton</v>
      </c>
      <c r="H417" s="308" t="e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input'!$A$3:$A$230,$A$1)),IF(VLOOKUP($A417,[1]!Table1[#All],2,FALSE)="Resultat",SUMIF($F$1:$F416,$D417,H$1:H416)+SUMIF($F418:$F$490,$D417,H418:H$490),0))*'[1]Processer - data'!H417,"")*IF($C417&lt;&gt;"",IF($F417="Halm",Landbrug!C$16*Landbrug!C$17,IF(LEFT($D417,5)="Areal", IF($G417="Ton",Landbrug!C$18,1),1)),1)*IF($F417="Grøntsager",IF($A417="Grøntsager i drivhus",Landbrug!C$51,1-Landbrug!C$51),1)</f>
        <v>#REF!</v>
      </c>
      <c r="I417" s="309" t="e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input'!$A$3:$A$230,$A$1)),IF(VLOOKUP($A417,[1]!Table1[#All],2,FALSE)="Resultat",SUMIF($F$1:$F416,$D417,I$1:I416)+SUMIF($F418:$F$490,$D417,I418:I$490),0))*'[1]Processer - data'!I417,"")*IF($C417&lt;&gt;"",IF($F417="Halm",Landbrug!D$16*Landbrug!D$17,IF(LEFT($D417,5)="Areal", IF($G417="Ton",Landbrug!D$18,1),1)),1)*IF($F417="Grøntsager",IF($A417="Grøntsager i drivhus",Landbrug!D$51,1-Landbrug!D$51),1)</f>
        <v>#REF!</v>
      </c>
      <c r="J417" s="310" t="e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input'!$A$3:$A$230,$A$1)),IF(VLOOKUP($A417,[1]!Table1[#All],2,FALSE)="Resultat",SUMIF($F$1:$F416,$D417,J$1:J416)+SUMIF($F418:$F$490,$D417,J418:J$490),0))*'[1]Processer - data'!J417,"")*IF($C417&lt;&gt;"",IF($F417="Halm",Landbrug!E$16*Landbrug!E$17,IF(LEFT($D417,5)="Areal", IF($G417="Ton",Landbrug!E$18,1),1)),1)*IF($F417="Grøntsager",IF($A417="Grøntsager i drivhus",Landbrug!E$51,1-Landbrug!E$51),1)</f>
        <v>#REF!</v>
      </c>
    </row>
    <row r="418" spans="1:10" x14ac:dyDescent="0.25">
      <c r="A418" t="str">
        <f>IF('[1]Processer - data'!A418&lt;&gt;"",'[1]Processer - data'!A418,"")</f>
        <v>Foderproduktion</v>
      </c>
      <c r="B418" t="str">
        <f>IF('[1]Processer - data'!B418&lt;&gt;"",'[1]Processer - data'!B418,"")</f>
        <v/>
      </c>
      <c r="C418" t="str">
        <f>IF('[1]Processer - data'!C418&lt;&gt;"",'[1]Processer - data'!C418,"")</f>
        <v/>
      </c>
      <c r="D418" t="str">
        <f>IF('[1]Processer - data'!D418&lt;&gt;"",'[1]Processer - data'!D418,"")</f>
        <v>Korn</v>
      </c>
      <c r="E418" t="str">
        <f>IF('[1]Processer - data'!E418&lt;&gt;"",'[1]Processer - data'!E418,"")</f>
        <v>Ton</v>
      </c>
      <c r="F418" t="str">
        <f>IF('[1]Processer - data'!F418&lt;&gt;"",'[1]Processer - data'!F418,"")</f>
        <v>Foder</v>
      </c>
      <c r="G418" t="str">
        <f>IF('[1]Processer - data'!G418&lt;&gt;"",'[1]Processer - data'!G418,"")</f>
        <v>FE</v>
      </c>
      <c r="H418" s="277" t="e">
        <f>SUMIFS('Forbrug af biomasse'!$E$1:$E$425,'Forbrug af biomasse'!$A$1:$A$425,$F418,'Forbrug af biomasse'!$C$1:$C$425,$D418,'Forbrug af biomasse'!$B$1:$B$425,$A$1,'Forbrug af biomasse'!$D$1:$D$425,H$2)*'[1]Processer - data'!H418</f>
        <v>#REF!</v>
      </c>
      <c r="I418" s="278" t="e">
        <f>SUMIFS('Forbrug af biomasse'!$E$1:$E$425,'Forbrug af biomasse'!$A$1:$A$425,$F418,'Forbrug af biomasse'!$C$1:$C$425,$D418,'Forbrug af biomasse'!$B$1:$B$425,$A$1,'Forbrug af biomasse'!$D$1:$D$425,I$2)*'[1]Processer - data'!I418</f>
        <v>#REF!</v>
      </c>
      <c r="J418" s="279" t="e">
        <f>SUMIFS('Forbrug af biomasse'!$E$1:$E$425,'Forbrug af biomasse'!$A$1:$A$425,$F418,'Forbrug af biomasse'!$C$1:$C$425,$D418,'Forbrug af biomasse'!$B$1:$B$425,$A$1,'Forbrug af biomasse'!$D$1:$D$425,J$2)*'[1]Processer - data'!J418</f>
        <v>#REF!</v>
      </c>
    </row>
    <row r="419" spans="1:10" x14ac:dyDescent="0.25">
      <c r="A419" t="str">
        <f>IF('[1]Processer - data'!A419&lt;&gt;"",'[1]Processer - data'!A419,"")</f>
        <v>Foderproduktion</v>
      </c>
      <c r="B419" t="str">
        <f>IF('[1]Processer - data'!B419&lt;&gt;"",'[1]Processer - data'!B419,"")</f>
        <v/>
      </c>
      <c r="C419" t="str">
        <f>IF('[1]Processer - data'!C419&lt;&gt;"",'[1]Processer - data'!C419,"")</f>
        <v/>
      </c>
      <c r="D419" t="str">
        <f>IF('[1]Processer - data'!D419&lt;&gt;"",'[1]Processer - data'!D419,"")</f>
        <v>Halm</v>
      </c>
      <c r="E419" t="str">
        <f>IF('[1]Processer - data'!E419&lt;&gt;"",'[1]Processer - data'!E419,"")</f>
        <v>Ton</v>
      </c>
      <c r="F419" t="str">
        <f>IF('[1]Processer - data'!F419&lt;&gt;"",'[1]Processer - data'!F419,"")</f>
        <v>Foder</v>
      </c>
      <c r="G419" t="str">
        <f>IF('[1]Processer - data'!G419&lt;&gt;"",'[1]Processer - data'!G419,"")</f>
        <v>FE</v>
      </c>
      <c r="H419" s="280" t="e">
        <f>SUMIFS('Forbrug af biomasse'!$E$1:$E$425,'Forbrug af biomasse'!$A$1:$A$425,$F419,'Forbrug af biomasse'!$C$1:$C$425,$D419,'Forbrug af biomasse'!$B$1:$B$425,$A$1,'Forbrug af biomasse'!$D$1:$D$425,H$2)*'[1]Processer - data'!H419</f>
        <v>#REF!</v>
      </c>
      <c r="I419" s="281" t="e">
        <f>SUMIFS('Forbrug af biomasse'!$E$1:$E$425,'Forbrug af biomasse'!$A$1:$A$425,$F419,'Forbrug af biomasse'!$C$1:$C$425,$D419,'Forbrug af biomasse'!$B$1:$B$425,$A$1,'Forbrug af biomasse'!$D$1:$D$425,I$2)*'[1]Processer - data'!I419</f>
        <v>#REF!</v>
      </c>
      <c r="J419" s="282" t="e">
        <f>SUMIFS('Forbrug af biomasse'!$E$1:$E$425,'Forbrug af biomasse'!$A$1:$A$425,$F419,'Forbrug af biomasse'!$C$1:$C$425,$D419,'Forbrug af biomasse'!$B$1:$B$425,$A$1,'Forbrug af biomasse'!$D$1:$D$425,J$2)*'[1]Processer - data'!J419</f>
        <v>#REF!</v>
      </c>
    </row>
    <row r="420" spans="1:10" x14ac:dyDescent="0.25">
      <c r="A420" t="str">
        <f>IF('[1]Processer - data'!A420&lt;&gt;"",'[1]Processer - data'!A420,"")</f>
        <v>Foderproduktion</v>
      </c>
      <c r="B420" t="str">
        <f>IF('[1]Processer - data'!B420&lt;&gt;"",'[1]Processer - data'!B420,"")</f>
        <v/>
      </c>
      <c r="C420" t="str">
        <f>IF('[1]Processer - data'!C420&lt;&gt;"",'[1]Processer - data'!C420,"")</f>
        <v/>
      </c>
      <c r="D420" t="str">
        <f>IF('[1]Processer - data'!D420&lt;&gt;"",'[1]Processer - data'!D420,"")</f>
        <v>Kartofler</v>
      </c>
      <c r="E420" t="str">
        <f>IF('[1]Processer - data'!E420&lt;&gt;"",'[1]Processer - data'!E420,"")</f>
        <v>Ton</v>
      </c>
      <c r="F420" t="str">
        <f>IF('[1]Processer - data'!F420&lt;&gt;"",'[1]Processer - data'!F420,"")</f>
        <v>Foder</v>
      </c>
      <c r="G420" t="str">
        <f>IF('[1]Processer - data'!G420&lt;&gt;"",'[1]Processer - data'!G420,"")</f>
        <v>FE</v>
      </c>
      <c r="H420" s="280" t="e">
        <f>SUMIFS('Forbrug af biomasse'!$E$1:$E$425,'Forbrug af biomasse'!$A$1:$A$425,$F420,'Forbrug af biomasse'!$C$1:$C$425,$D420,'Forbrug af biomasse'!$B$1:$B$425,$A$1,'Forbrug af biomasse'!$D$1:$D$425,H$2)*'[1]Processer - data'!H420</f>
        <v>#REF!</v>
      </c>
      <c r="I420" s="281" t="e">
        <f>SUMIFS('Forbrug af biomasse'!$E$1:$E$425,'Forbrug af biomasse'!$A$1:$A$425,$F420,'Forbrug af biomasse'!$C$1:$C$425,$D420,'Forbrug af biomasse'!$B$1:$B$425,$A$1,'Forbrug af biomasse'!$D$1:$D$425,I$2)*'[1]Processer - data'!I420</f>
        <v>#REF!</v>
      </c>
      <c r="J420" s="282" t="e">
        <f>SUMIFS('Forbrug af biomasse'!$E$1:$E$425,'Forbrug af biomasse'!$A$1:$A$425,$F420,'Forbrug af biomasse'!$C$1:$C$425,$D420,'Forbrug af biomasse'!$B$1:$B$425,$A$1,'Forbrug af biomasse'!$D$1:$D$425,J$2)*'[1]Processer - data'!J420</f>
        <v>#REF!</v>
      </c>
    </row>
    <row r="421" spans="1:10" x14ac:dyDescent="0.25">
      <c r="A421" t="str">
        <f>IF('[1]Processer - data'!A421&lt;&gt;"",'[1]Processer - data'!A421,"")</f>
        <v>Foderproduktion</v>
      </c>
      <c r="B421" t="str">
        <f>IF('[1]Processer - data'!B421&lt;&gt;"",'[1]Processer - data'!B421,"")</f>
        <v/>
      </c>
      <c r="C421" t="str">
        <f>IF('[1]Processer - data'!C421&lt;&gt;"",'[1]Processer - data'!C421,"")</f>
        <v/>
      </c>
      <c r="D421" t="str">
        <f>IF('[1]Processer - data'!D421&lt;&gt;"",'[1]Processer - data'!D421,"")</f>
        <v>Bælgsæd</v>
      </c>
      <c r="E421" t="str">
        <f>IF('[1]Processer - data'!E421&lt;&gt;"",'[1]Processer - data'!E421,"")</f>
        <v>Ton</v>
      </c>
      <c r="F421" t="str">
        <f>IF('[1]Processer - data'!F421&lt;&gt;"",'[1]Processer - data'!F421,"")</f>
        <v>Foder</v>
      </c>
      <c r="G421" t="str">
        <f>IF('[1]Processer - data'!G421&lt;&gt;"",'[1]Processer - data'!G421,"")</f>
        <v>FE</v>
      </c>
      <c r="H421" s="280" t="e">
        <f>SUMIFS('Forbrug af biomasse'!$E$1:$E$425,'Forbrug af biomasse'!$A$1:$A$425,$F421,'Forbrug af biomasse'!$C$1:$C$425,$D421,'Forbrug af biomasse'!$B$1:$B$425,$A$1,'Forbrug af biomasse'!$D$1:$D$425,H$2)*'[1]Processer - data'!H421</f>
        <v>#REF!</v>
      </c>
      <c r="I421" s="281" t="e">
        <f>SUMIFS('Forbrug af biomasse'!$E$1:$E$425,'Forbrug af biomasse'!$A$1:$A$425,$F421,'Forbrug af biomasse'!$C$1:$C$425,$D421,'Forbrug af biomasse'!$B$1:$B$425,$A$1,'Forbrug af biomasse'!$D$1:$D$425,I$2)*'[1]Processer - data'!I421</f>
        <v>#REF!</v>
      </c>
      <c r="J421" s="282" t="e">
        <f>SUMIFS('Forbrug af biomasse'!$E$1:$E$425,'Forbrug af biomasse'!$A$1:$A$425,$F421,'Forbrug af biomasse'!$C$1:$C$425,$D421,'Forbrug af biomasse'!$B$1:$B$425,$A$1,'Forbrug af biomasse'!$D$1:$D$425,J$2)*'[1]Processer - data'!J421</f>
        <v>#REF!</v>
      </c>
    </row>
    <row r="422" spans="1:10" x14ac:dyDescent="0.25">
      <c r="A422" t="str">
        <f>IF('[1]Processer - data'!A422&lt;&gt;"",'[1]Processer - data'!A422,"")</f>
        <v>Foderproduktion</v>
      </c>
      <c r="B422" t="str">
        <f>IF('[1]Processer - data'!B422&lt;&gt;"",'[1]Processer - data'!B422,"")</f>
        <v/>
      </c>
      <c r="C422" t="str">
        <f>IF('[1]Processer - data'!C422&lt;&gt;"",'[1]Processer - data'!C422,"")</f>
        <v/>
      </c>
      <c r="D422" t="str">
        <f>IF('[1]Processer - data'!D422&lt;&gt;"",'[1]Processer - data'!D422,"")</f>
        <v>Roer</v>
      </c>
      <c r="E422" t="str">
        <f>IF('[1]Processer - data'!E422&lt;&gt;"",'[1]Processer - data'!E422,"")</f>
        <v>Ton</v>
      </c>
      <c r="F422" t="str">
        <f>IF('[1]Processer - data'!F422&lt;&gt;"",'[1]Processer - data'!F422,"")</f>
        <v>Foder</v>
      </c>
      <c r="G422" t="str">
        <f>IF('[1]Processer - data'!G422&lt;&gt;"",'[1]Processer - data'!G422,"")</f>
        <v>FE</v>
      </c>
      <c r="H422" s="280" t="e">
        <f>SUMIFS('Forbrug af biomasse'!$E$1:$E$425,'Forbrug af biomasse'!$A$1:$A$425,$F422,'Forbrug af biomasse'!$C$1:$C$425,$D422,'Forbrug af biomasse'!$B$1:$B$425,$A$1,'Forbrug af biomasse'!$D$1:$D$425,H$2)*'[1]Processer - data'!H422</f>
        <v>#REF!</v>
      </c>
      <c r="I422" s="281" t="e">
        <f>SUMIFS('Forbrug af biomasse'!$E$1:$E$425,'Forbrug af biomasse'!$A$1:$A$425,$F422,'Forbrug af biomasse'!$C$1:$C$425,$D422,'Forbrug af biomasse'!$B$1:$B$425,$A$1,'Forbrug af biomasse'!$D$1:$D$425,I$2)*'[1]Processer - data'!I422</f>
        <v>#REF!</v>
      </c>
      <c r="J422" s="282" t="e">
        <f>SUMIFS('Forbrug af biomasse'!$E$1:$E$425,'Forbrug af biomasse'!$A$1:$A$425,$F422,'Forbrug af biomasse'!$C$1:$C$425,$D422,'Forbrug af biomasse'!$B$1:$B$425,$A$1,'Forbrug af biomasse'!$D$1:$D$425,J$2)*'[1]Processer - data'!J422</f>
        <v>#REF!</v>
      </c>
    </row>
    <row r="423" spans="1:10" x14ac:dyDescent="0.25">
      <c r="A423" t="str">
        <f>IF('[1]Processer - data'!A423&lt;&gt;"",'[1]Processer - data'!A423,"")</f>
        <v>Foderproduktion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Majs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Foder</v>
      </c>
      <c r="G423" t="str">
        <f>IF('[1]Processer - data'!G423&lt;&gt;"",'[1]Processer - data'!G423,"")</f>
        <v>FE</v>
      </c>
      <c r="H423" s="280" t="e">
        <f>SUMIFS('Forbrug af biomasse'!$E$1:$E$425,'Forbrug af biomasse'!$A$1:$A$425,$F423,'Forbrug af biomasse'!$C$1:$C$425,$D423,'Forbrug af biomasse'!$B$1:$B$425,$A$1,'Forbrug af biomasse'!$D$1:$D$425,H$2)*'[1]Processer - data'!H423</f>
        <v>#REF!</v>
      </c>
      <c r="I423" s="281" t="e">
        <f>SUMIFS('Forbrug af biomasse'!$E$1:$E$425,'Forbrug af biomasse'!$A$1:$A$425,$F423,'Forbrug af biomasse'!$C$1:$C$425,$D423,'Forbrug af biomasse'!$B$1:$B$425,$A$1,'Forbrug af biomasse'!$D$1:$D$425,I$2)*'[1]Processer - data'!I423</f>
        <v>#REF!</v>
      </c>
      <c r="J423" s="282" t="e">
        <f>SUMIFS('Forbrug af biomasse'!$E$1:$E$425,'Forbrug af biomasse'!$A$1:$A$425,$F423,'Forbrug af biomasse'!$C$1:$C$425,$D423,'Forbrug af biomasse'!$B$1:$B$425,$A$1,'Forbrug af biomasse'!$D$1:$D$425,J$2)*'[1]Processer - data'!J423</f>
        <v>#REF!</v>
      </c>
    </row>
    <row r="424" spans="1:10" x14ac:dyDescent="0.25">
      <c r="A424" t="str">
        <f>IF('[1]Processer - data'!A424&lt;&gt;"",'[1]Processer - data'!A424,"")</f>
        <v>Foderproduktion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Rapskage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Foder</v>
      </c>
      <c r="G424" t="str">
        <f>IF('[1]Processer - data'!G424&lt;&gt;"",'[1]Processer - data'!G424,"")</f>
        <v>FE</v>
      </c>
      <c r="H424" s="280" t="e">
        <f>SUMIFS('Forbrug af biomasse'!$E$1:$E$425,'Forbrug af biomasse'!$A$1:$A$425,$F424,'Forbrug af biomasse'!$C$1:$C$425,$D424,'Forbrug af biomasse'!$B$1:$B$425,$A$1,'Forbrug af biomasse'!$D$1:$D$425,H$2)*'[1]Processer - data'!H424</f>
        <v>#REF!</v>
      </c>
      <c r="I424" s="281" t="e">
        <f>SUMIFS('Forbrug af biomasse'!$E$1:$E$425,'Forbrug af biomasse'!$A$1:$A$425,$F424,'Forbrug af biomasse'!$C$1:$C$425,$D424,'Forbrug af biomasse'!$B$1:$B$425,$A$1,'Forbrug af biomasse'!$D$1:$D$425,I$2)*'[1]Processer - data'!I424</f>
        <v>#REF!</v>
      </c>
      <c r="J424" s="282" t="e">
        <f>SUMIFS('Forbrug af biomasse'!$E$1:$E$425,'Forbrug af biomasse'!$A$1:$A$425,$F424,'Forbrug af biomasse'!$C$1:$C$425,$D424,'Forbrug af biomasse'!$B$1:$B$425,$A$1,'Forbrug af biomasse'!$D$1:$D$425,J$2)*'[1]Processer - data'!J424</f>
        <v>#REF!</v>
      </c>
    </row>
    <row r="425" spans="1:10" x14ac:dyDescent="0.25">
      <c r="A425" t="str">
        <f>IF('[1]Processer - data'!A425&lt;&gt;"",'[1]Processer - data'!A425,"")</f>
        <v>Foderproduktion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Tang</v>
      </c>
      <c r="E425" t="str">
        <f>IF('[1]Processer - data'!E425&lt;&gt;"",'[1]Processer - data'!E425,"")</f>
        <v>Ton</v>
      </c>
      <c r="F425" t="str">
        <f>IF('[1]Processer - data'!F425&lt;&gt;"",'[1]Processer - data'!F425,"")</f>
        <v>Foder</v>
      </c>
      <c r="G425" t="str">
        <f>IF('[1]Processer - data'!G425&lt;&gt;"",'[1]Processer - data'!G425,"")</f>
        <v>FE</v>
      </c>
      <c r="H425" s="280" t="e">
        <f>SUMIFS('Forbrug af biomasse'!$E$1:$E$425,'Forbrug af biomasse'!$A$1:$A$425,$F425,'Forbrug af biomasse'!$C$1:$C$425,$D425,'Forbrug af biomasse'!$B$1:$B$425,$A$1,'Forbrug af biomasse'!$D$1:$D$425,H$2)*'[1]Processer - data'!H425</f>
        <v>#REF!</v>
      </c>
      <c r="I425" s="281" t="e">
        <f>SUMIFS('Forbrug af biomasse'!$E$1:$E$425,'Forbrug af biomasse'!$A$1:$A$425,$F425,'Forbrug af biomasse'!$C$1:$C$425,$D425,'Forbrug af biomasse'!$B$1:$B$425,$A$1,'Forbrug af biomasse'!$D$1:$D$425,I$2)*'[1]Processer - data'!I425</f>
        <v>#REF!</v>
      </c>
      <c r="J425" s="282" t="e">
        <f>SUMIFS('Forbrug af biomasse'!$E$1:$E$425,'Forbrug af biomasse'!$A$1:$A$425,$F425,'Forbrug af biomasse'!$C$1:$C$425,$D425,'Forbrug af biomasse'!$B$1:$B$425,$A$1,'Forbrug af biomasse'!$D$1:$D$425,J$2)*'[1]Processer - data'!J425</f>
        <v>#REF!</v>
      </c>
    </row>
    <row r="426" spans="1:10" x14ac:dyDescent="0.25">
      <c r="A426" t="str">
        <f>IF('[1]Processer - data'!A426&lt;&gt;"",'[1]Processer - data'!A426,"")</f>
        <v>Foderproduktion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Muslinger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Foder</v>
      </c>
      <c r="G426" t="str">
        <f>IF('[1]Processer - data'!G426&lt;&gt;"",'[1]Processer - data'!G426,"")</f>
        <v>FE</v>
      </c>
      <c r="H426" s="280" t="e">
        <f>SUMIFS('Forbrug af biomasse'!$E$1:$E$425,'Forbrug af biomasse'!$A$1:$A$425,$F426,'Forbrug af biomasse'!$C$1:$C$425,$D426,'Forbrug af biomasse'!$B$1:$B$425,$A$1,'Forbrug af biomasse'!$D$1:$D$425,H$2)*'[1]Processer - data'!H426</f>
        <v>#REF!</v>
      </c>
      <c r="I426" s="281" t="e">
        <f>SUMIFS('Forbrug af biomasse'!$E$1:$E$425,'Forbrug af biomasse'!$A$1:$A$425,$F426,'Forbrug af biomasse'!$C$1:$C$425,$D426,'Forbrug af biomasse'!$B$1:$B$425,$A$1,'Forbrug af biomasse'!$D$1:$D$425,I$2)*'[1]Processer - data'!I426</f>
        <v>#REF!</v>
      </c>
      <c r="J426" s="282" t="e">
        <f>SUMIFS('Forbrug af biomasse'!$E$1:$E$425,'Forbrug af biomasse'!$A$1:$A$425,$F426,'Forbrug af biomasse'!$C$1:$C$425,$D426,'Forbrug af biomasse'!$B$1:$B$425,$A$1,'Forbrug af biomasse'!$D$1:$D$425,J$2)*'[1]Processer - data'!J426</f>
        <v>#REF!</v>
      </c>
    </row>
    <row r="427" spans="1:10" x14ac:dyDescent="0.25">
      <c r="A427" t="str">
        <f>IF('[1]Processer - data'!A427&lt;&gt;"",'[1]Processer - data'!A427,"")</f>
        <v>Foderproduktion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Græs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Foder</v>
      </c>
      <c r="G427" t="str">
        <f>IF('[1]Processer - data'!G427&lt;&gt;"",'[1]Processer - data'!G427,"")</f>
        <v>FE</v>
      </c>
      <c r="H427" s="280" t="e">
        <f>SUMIFS('Forbrug af biomasse'!$E$1:$E$425,'Forbrug af biomasse'!$A$1:$A$425,$F427,'Forbrug af biomasse'!$C$1:$C$425,$D427,'Forbrug af biomasse'!$B$1:$B$425,$A$1,'Forbrug af biomasse'!$D$1:$D$425,H$2)*'[1]Processer - data'!H427</f>
        <v>#REF!</v>
      </c>
      <c r="I427" s="281" t="e">
        <f>SUMIFS('Forbrug af biomasse'!$E$1:$E$425,'Forbrug af biomasse'!$A$1:$A$425,$F427,'Forbrug af biomasse'!$C$1:$C$425,$D427,'Forbrug af biomasse'!$B$1:$B$425,$A$1,'Forbrug af biomasse'!$D$1:$D$425,I$2)*'[1]Processer - data'!I427</f>
        <v>#REF!</v>
      </c>
      <c r="J427" s="282" t="e">
        <f>SUMIFS('Forbrug af biomasse'!$E$1:$E$425,'Forbrug af biomasse'!$A$1:$A$425,$F427,'Forbrug af biomasse'!$C$1:$C$425,$D427,'Forbrug af biomasse'!$B$1:$B$425,$A$1,'Forbrug af biomasse'!$D$1:$D$425,J$2)*'[1]Processer - data'!J427</f>
        <v>#REF!</v>
      </c>
    </row>
    <row r="428" spans="1:10" x14ac:dyDescent="0.25">
      <c r="A428" t="str">
        <f>IF('[1]Processer - data'!A428&lt;&gt;"",'[1]Processer - data'!A428,"")</f>
        <v>Foderproduktion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Mælk til foder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Foder</v>
      </c>
      <c r="G428" t="str">
        <f>IF('[1]Processer - data'!G428&lt;&gt;"",'[1]Processer - data'!G428,"")</f>
        <v>FE</v>
      </c>
      <c r="H428" s="280" t="e">
        <f>SUMIFS('Forbrug af biomasse'!$E$1:$E$425,'Forbrug af biomasse'!$A$1:$A$425,$F428,'Forbrug af biomasse'!$C$1:$C$425,$D428,'Forbrug af biomasse'!$B$1:$B$425,$A$1,'Forbrug af biomasse'!$D$1:$D$425,H$2)*'[1]Processer - data'!H428</f>
        <v>#REF!</v>
      </c>
      <c r="I428" s="281" t="e">
        <f>SUMIFS('Forbrug af biomasse'!$E$1:$E$425,'Forbrug af biomasse'!$A$1:$A$425,$F428,'Forbrug af biomasse'!$C$1:$C$425,$D428,'Forbrug af biomasse'!$B$1:$B$425,$A$1,'Forbrug af biomasse'!$D$1:$D$425,I$2)*'[1]Processer - data'!I428</f>
        <v>#REF!</v>
      </c>
      <c r="J428" s="282" t="e">
        <f>SUMIFS('Forbrug af biomasse'!$E$1:$E$425,'Forbrug af biomasse'!$A$1:$A$425,$F428,'Forbrug af biomasse'!$C$1:$C$425,$D428,'Forbrug af biomasse'!$B$1:$B$425,$A$1,'Forbrug af biomasse'!$D$1:$D$425,J$2)*'[1]Processer - data'!J428</f>
        <v>#REF!</v>
      </c>
    </row>
    <row r="429" spans="1:10" x14ac:dyDescent="0.25">
      <c r="A429" t="str">
        <f>IF('[1]Processer - data'!A429&lt;&gt;"",'[1]Processer - data'!A429,"")</f>
        <v>Foderproduktion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Fiberfraktion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Foder</v>
      </c>
      <c r="G429" t="str">
        <f>IF('[1]Processer - data'!G429&lt;&gt;"",'[1]Processer - data'!G429,"")</f>
        <v>FE</v>
      </c>
      <c r="H429" s="280" t="e">
        <f>SUMIFS('Forbrug af biomasse'!$E$1:$E$425,'Forbrug af biomasse'!$A$1:$A$425,$F429,'Forbrug af biomasse'!$C$1:$C$425,$D429,'Forbrug af biomasse'!$B$1:$B$425,$A$1,'Forbrug af biomasse'!$D$1:$D$425,H$2)*'[1]Processer - data'!H429</f>
        <v>#REF!</v>
      </c>
      <c r="I429" s="281" t="e">
        <f>SUMIFS('Forbrug af biomasse'!$E$1:$E$425,'Forbrug af biomasse'!$A$1:$A$425,$F429,'Forbrug af biomasse'!$C$1:$C$425,$D429,'Forbrug af biomasse'!$B$1:$B$425,$A$1,'Forbrug af biomasse'!$D$1:$D$425,I$2)*'[1]Processer - data'!I429</f>
        <v>#REF!</v>
      </c>
      <c r="J429" s="282" t="e">
        <f>SUMIFS('Forbrug af biomasse'!$E$1:$E$425,'Forbrug af biomasse'!$A$1:$A$425,$F429,'Forbrug af biomasse'!$C$1:$C$425,$D429,'Forbrug af biomasse'!$B$1:$B$425,$A$1,'Forbrug af biomasse'!$D$1:$D$425,J$2)*'[1]Processer - data'!J429</f>
        <v>#REF!</v>
      </c>
    </row>
    <row r="430" spans="1:10" x14ac:dyDescent="0.25">
      <c r="A430" t="str">
        <f>IF('[1]Processer - data'!A430&lt;&gt;"",'[1]Processer - data'!A430,"")</f>
        <v>Foderproduktion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Græsprotein</v>
      </c>
      <c r="E430" t="str">
        <f>IF('[1]Processer - data'!E430&lt;&gt;"",'[1]Processer - data'!E430,"")</f>
        <v>Ton</v>
      </c>
      <c r="F430" t="str">
        <f>IF('[1]Processer - data'!F430&lt;&gt;"",'[1]Processer - data'!F430,"")</f>
        <v>Foder</v>
      </c>
      <c r="G430" t="str">
        <f>IF('[1]Processer - data'!G430&lt;&gt;"",'[1]Processer - data'!G430,"")</f>
        <v>FE</v>
      </c>
      <c r="H430" s="280" t="e">
        <f>SUMIFS('Forbrug af biomasse'!$E$1:$E$425,'Forbrug af biomasse'!$A$1:$A$425,$F430,'Forbrug af biomasse'!$C$1:$C$425,$D430,'Forbrug af biomasse'!$B$1:$B$425,$A$1,'Forbrug af biomasse'!$D$1:$D$425,H$2)*'[1]Processer - data'!H430</f>
        <v>#REF!</v>
      </c>
      <c r="I430" s="281" t="e">
        <f>SUMIFS('Forbrug af biomasse'!$E$1:$E$425,'Forbrug af biomasse'!$A$1:$A$425,$F430,'Forbrug af biomasse'!$C$1:$C$425,$D430,'Forbrug af biomasse'!$B$1:$B$425,$A$1,'Forbrug af biomasse'!$D$1:$D$425,I$2)*'[1]Processer - data'!I430</f>
        <v>#REF!</v>
      </c>
      <c r="J430" s="282" t="e">
        <f>SUMIFS('Forbrug af biomasse'!$E$1:$E$425,'Forbrug af biomasse'!$A$1:$A$425,$F430,'Forbrug af biomasse'!$C$1:$C$425,$D430,'Forbrug af biomasse'!$B$1:$B$425,$A$1,'Forbrug af biomasse'!$D$1:$D$425,J$2)*'[1]Processer - data'!J430</f>
        <v>#REF!</v>
      </c>
    </row>
    <row r="431" spans="1:10" x14ac:dyDescent="0.25">
      <c r="A431" t="str">
        <f>IF('[1]Processer - data'!A431&lt;&gt;"",'[1]Processer - data'!A431,"")</f>
        <v>Foderproduktion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Slagteriaffald til foder</v>
      </c>
      <c r="E431" t="str">
        <f>IF('[1]Processer - data'!E431&lt;&gt;"",'[1]Processer - data'!E431,"")</f>
        <v>Ton</v>
      </c>
      <c r="F431" t="str">
        <f>IF('[1]Processer - data'!F431&lt;&gt;"",'[1]Processer - data'!F431,"")</f>
        <v>Foder</v>
      </c>
      <c r="G431" t="str">
        <f>IF('[1]Processer - data'!G431&lt;&gt;"",'[1]Processer - data'!G431,"")</f>
        <v>FE</v>
      </c>
      <c r="H431" s="280" t="e">
        <f>SUMIFS('Forbrug af biomasse'!$E$1:$E$425,'Forbrug af biomasse'!$A$1:$A$425,$F431,'Forbrug af biomasse'!$C$1:$C$425,$D431,'Forbrug af biomasse'!$B$1:$B$425,$A$1,'Forbrug af biomasse'!$D$1:$D$425,H$2)*'[1]Processer - data'!H431</f>
        <v>#REF!</v>
      </c>
      <c r="I431" s="281" t="e">
        <f>SUMIFS('Forbrug af biomasse'!$E$1:$E$425,'Forbrug af biomasse'!$A$1:$A$425,$F431,'Forbrug af biomasse'!$C$1:$C$425,$D431,'Forbrug af biomasse'!$B$1:$B$425,$A$1,'Forbrug af biomasse'!$D$1:$D$425,I$2)*'[1]Processer - data'!I431</f>
        <v>#REF!</v>
      </c>
      <c r="J431" s="282" t="e">
        <f>SUMIFS('Forbrug af biomasse'!$E$1:$E$425,'Forbrug af biomasse'!$A$1:$A$425,$F431,'Forbrug af biomasse'!$C$1:$C$425,$D431,'Forbrug af biomasse'!$B$1:$B$425,$A$1,'Forbrug af biomasse'!$D$1:$D$425,J$2)*'[1]Processer - data'!J431</f>
        <v>#REF!</v>
      </c>
    </row>
    <row r="432" spans="1:10" x14ac:dyDescent="0.25">
      <c r="A432" t="str">
        <f>IF('[1]Processer - data'!A432&lt;&gt;"",'[1]Processer - data'!A432,"")</f>
        <v>Foderproduktion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Import af foder</v>
      </c>
      <c r="E432" t="str">
        <f>IF('[1]Processer - data'!E432&lt;&gt;"",'[1]Processer - data'!E432,"")</f>
        <v>Ton</v>
      </c>
      <c r="F432" t="str">
        <f>IF('[1]Processer - data'!F432&lt;&gt;"",'[1]Processer - data'!F432,"")</f>
        <v>Foder</v>
      </c>
      <c r="G432" t="str">
        <f>IF('[1]Processer - data'!G432&lt;&gt;"",'[1]Processer - data'!G432,"")</f>
        <v>FE</v>
      </c>
      <c r="H432" s="280" t="e">
        <f>SUMIFS('Forbrug af biomasse'!$E$1:$E$425,'Forbrug af biomasse'!$A$1:$A$425,$F432,'Forbrug af biomasse'!$C$1:$C$425,$D432,'Forbrug af biomasse'!$B$1:$B$425,$A$1,'Forbrug af biomasse'!$D$1:$D$425,H$2)*'[1]Processer - data'!H432</f>
        <v>#REF!</v>
      </c>
      <c r="I432" s="281" t="e">
        <f>SUMIFS('Forbrug af biomasse'!$E$1:$E$425,'Forbrug af biomasse'!$A$1:$A$425,$F432,'Forbrug af biomasse'!$C$1:$C$425,$D432,'Forbrug af biomasse'!$B$1:$B$425,$A$1,'Forbrug af biomasse'!$D$1:$D$425,I$2)*'[1]Processer - data'!I432</f>
        <v>#REF!</v>
      </c>
      <c r="J432" s="282" t="e">
        <f>SUMIFS('Forbrug af biomasse'!$E$1:$E$425,'Forbrug af biomasse'!$A$1:$A$425,$F432,'Forbrug af biomasse'!$C$1:$C$425,$D432,'Forbrug af biomasse'!$B$1:$B$425,$A$1,'Forbrug af biomasse'!$D$1:$D$425,J$2)*'[1]Processer - data'!J432</f>
        <v>#REF!</v>
      </c>
    </row>
    <row r="433" spans="1:10" x14ac:dyDescent="0.25">
      <c r="A433" t="str">
        <f>IF('[1]Processer - data'!A433&lt;&gt;"",'[1]Processer - data'!A433,"")</f>
        <v>Biogasanlæg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Halm</v>
      </c>
      <c r="E433" t="str">
        <f>IF('[1]Processer - data'!E433&lt;&gt;"",'[1]Processer - data'!E433,"")</f>
        <v>Ton</v>
      </c>
      <c r="F433" t="str">
        <f>IF('[1]Processer - data'!F433&lt;&gt;"",'[1]Processer - data'!F433,"")</f>
        <v>Biogas</v>
      </c>
      <c r="G433" t="str">
        <f>IF('[1]Processer - data'!G433&lt;&gt;"",'[1]Processer - data'!G433,"")</f>
        <v>Nm3 CH4</v>
      </c>
      <c r="H433" s="280" t="e">
        <f>SUMIFS('Forbrug af biomasse'!$E$1:$E$425,'Forbrug af biomasse'!$A$1:$A$425,$F433,'Forbrug af biomasse'!$C$1:$C$425,$D433,'Forbrug af biomasse'!$B$1:$B$425,$A$1,'Forbrug af biomasse'!$D$1:$D$425,H$2)*'[1]Processer - data'!H433*IFERROR(VLOOKUP($D433,Biogasanlæg!$F$3:$G$8,2,FALSE),1)</f>
        <v>#REF!</v>
      </c>
      <c r="I433" s="281" t="e">
        <f>SUMIFS('Forbrug af biomasse'!$E$1:$E$425,'Forbrug af biomasse'!$A$1:$A$425,$F433,'Forbrug af biomasse'!$C$1:$C$425,$D433,'Forbrug af biomasse'!$B$1:$B$425,$A$1,'Forbrug af biomasse'!$D$1:$D$425,I$2)*'[1]Processer - data'!I433*IFERROR(VLOOKUP($D433,Biogasanlæg!$F$3:$G$8,2,FALSE),1)</f>
        <v>#REF!</v>
      </c>
      <c r="J433" s="282" t="e">
        <f>SUMIFS('Forbrug af biomasse'!$E$1:$E$425,'Forbrug af biomasse'!$A$1:$A$425,$F433,'Forbrug af biomasse'!$C$1:$C$425,$D433,'Forbrug af biomasse'!$B$1:$B$425,$A$1,'Forbrug af biomasse'!$D$1:$D$425,J$2)*'[1]Processer - data'!J433*IFERROR(VLOOKUP($D433,Biogasanlæg!$F$3:$G$8,2,FALSE),1)</f>
        <v>#REF!</v>
      </c>
    </row>
    <row r="434" spans="1:10" x14ac:dyDescent="0.25">
      <c r="A434" t="str">
        <f>IF('[1]Processer - data'!A434&lt;&gt;"",'[1]Processer - data'!A434,"")</f>
        <v>Biogasanlæg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Korn</v>
      </c>
      <c r="E434" t="str">
        <f>IF('[1]Processer - data'!E434&lt;&gt;"",'[1]Processer - data'!E434,"")</f>
        <v>Ton</v>
      </c>
      <c r="F434" t="str">
        <f>IF('[1]Processer - data'!F434&lt;&gt;"",'[1]Processer - data'!F434,"")</f>
        <v>Biogas</v>
      </c>
      <c r="G434" t="str">
        <f>IF('[1]Processer - data'!G434&lt;&gt;"",'[1]Processer - data'!G434,"")</f>
        <v>Nm3 CH4</v>
      </c>
      <c r="H434" s="280" t="e">
        <f>SUMIFS('Forbrug af biomasse'!$E$1:$E$425,'Forbrug af biomasse'!$A$1:$A$425,$F434,'Forbrug af biomasse'!$C$1:$C$425,$D434,'Forbrug af biomasse'!$B$1:$B$425,$A$1,'Forbrug af biomasse'!$D$1:$D$425,H$2)*'[1]Processer - data'!H434*IFERROR(VLOOKUP($D434,Biogasanlæg!$F$3:$G$8,2,FALSE),1)</f>
        <v>#REF!</v>
      </c>
      <c r="I434" s="281" t="e">
        <f>SUMIFS('Forbrug af biomasse'!$E$1:$E$425,'Forbrug af biomasse'!$A$1:$A$425,$F434,'Forbrug af biomasse'!$C$1:$C$425,$D434,'Forbrug af biomasse'!$B$1:$B$425,$A$1,'Forbrug af biomasse'!$D$1:$D$425,I$2)*'[1]Processer - data'!I434*IFERROR(VLOOKUP($D434,Biogasanlæg!$F$3:$G$8,2,FALSE),1)</f>
        <v>#REF!</v>
      </c>
      <c r="J434" s="282" t="e">
        <f>SUMIFS('Forbrug af biomasse'!$E$1:$E$425,'Forbrug af biomasse'!$A$1:$A$425,$F434,'Forbrug af biomasse'!$C$1:$C$425,$D434,'Forbrug af biomasse'!$B$1:$B$425,$A$1,'Forbrug af biomasse'!$D$1:$D$425,J$2)*'[1]Processer - data'!J434*IFERROR(VLOOKUP($D434,Biogasanlæg!$F$3:$G$8,2,FALSE),1)</f>
        <v>#REF!</v>
      </c>
    </row>
    <row r="435" spans="1:10" x14ac:dyDescent="0.25">
      <c r="A435" t="str">
        <f>IF('[1]Processer - data'!A435&lt;&gt;"",'[1]Processer - data'!A435,"")</f>
        <v>Biogasanlæg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Græs</v>
      </c>
      <c r="E435" t="str">
        <f>IF('[1]Processer - data'!E435&lt;&gt;"",'[1]Processer - data'!E435,"")</f>
        <v>Ton</v>
      </c>
      <c r="F435" t="str">
        <f>IF('[1]Processer - data'!F435&lt;&gt;"",'[1]Processer - data'!F435,"")</f>
        <v>Biogas</v>
      </c>
      <c r="G435" t="str">
        <f>IF('[1]Processer - data'!G435&lt;&gt;"",'[1]Processer - data'!G435,"")</f>
        <v>Nm3 CH4</v>
      </c>
      <c r="H435" s="280" t="e">
        <f>SUMIFS('Forbrug af biomasse'!$E$1:$E$425,'Forbrug af biomasse'!$A$1:$A$425,$F435,'Forbrug af biomasse'!$C$1:$C$425,$D435,'Forbrug af biomasse'!$B$1:$B$425,$A$1,'Forbrug af biomasse'!$D$1:$D$425,H$2)*'[1]Processer - data'!H435*IFERROR(VLOOKUP($D435,Biogasanlæg!$F$3:$G$8,2,FALSE),1)</f>
        <v>#REF!</v>
      </c>
      <c r="I435" s="281" t="e">
        <f>SUMIFS('Forbrug af biomasse'!$E$1:$E$425,'Forbrug af biomasse'!$A$1:$A$425,$F435,'Forbrug af biomasse'!$C$1:$C$425,$D435,'Forbrug af biomasse'!$B$1:$B$425,$A$1,'Forbrug af biomasse'!$D$1:$D$425,I$2)*'[1]Processer - data'!I435*IFERROR(VLOOKUP($D435,Biogasanlæg!$F$3:$G$8,2,FALSE),1)</f>
        <v>#REF!</v>
      </c>
      <c r="J435" s="282" t="e">
        <f>SUMIFS('Forbrug af biomasse'!$E$1:$E$425,'Forbrug af biomasse'!$A$1:$A$425,$F435,'Forbrug af biomasse'!$C$1:$C$425,$D435,'Forbrug af biomasse'!$B$1:$B$425,$A$1,'Forbrug af biomasse'!$D$1:$D$425,J$2)*'[1]Processer - data'!J435*IFERROR(VLOOKUP($D435,Biogasanlæg!$F$3:$G$8,2,FALSE),1)</f>
        <v>#REF!</v>
      </c>
    </row>
    <row r="436" spans="1:10" x14ac:dyDescent="0.25">
      <c r="A436" t="str">
        <f>IF('[1]Processer - data'!A436&lt;&gt;"",'[1]Processer - data'!A436,"")</f>
        <v>Biogasanlæg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Svinegylle</v>
      </c>
      <c r="E436" t="str">
        <f>IF('[1]Processer - data'!E436&lt;&gt;"",'[1]Processer - data'!E436,"")</f>
        <v>Ton</v>
      </c>
      <c r="F436" t="str">
        <f>IF('[1]Processer - data'!F436&lt;&gt;"",'[1]Processer - data'!F436,"")</f>
        <v>Biogas</v>
      </c>
      <c r="G436" t="str">
        <f>IF('[1]Processer - data'!G436&lt;&gt;"",'[1]Processer - data'!G436,"")</f>
        <v>Nm3 CH4</v>
      </c>
      <c r="H436" s="280" t="e">
        <f>SUMIFS('Forbrug af biomasse'!$E$1:$E$425,'Forbrug af biomasse'!$A$1:$A$425,$F436,'Forbrug af biomasse'!$C$1:$C$425,$D436,'Forbrug af biomasse'!$B$1:$B$425,$A$1,'Forbrug af biomasse'!$D$1:$D$425,H$2)*'[1]Processer - data'!H436*IFERROR(VLOOKUP($D436,Biogasanlæg!$F$3:$G$8,2,FALSE),1)</f>
        <v>#REF!</v>
      </c>
      <c r="I436" s="281" t="e">
        <f>SUMIFS('Forbrug af biomasse'!$E$1:$E$425,'Forbrug af biomasse'!$A$1:$A$425,$F436,'Forbrug af biomasse'!$C$1:$C$425,$D436,'Forbrug af biomasse'!$B$1:$B$425,$A$1,'Forbrug af biomasse'!$D$1:$D$425,I$2)*'[1]Processer - data'!I436*IFERROR(VLOOKUP($D436,Biogasanlæg!$F$3:$G$8,2,FALSE),1)</f>
        <v>#REF!</v>
      </c>
      <c r="J436" s="282" t="e">
        <f>SUMIFS('Forbrug af biomasse'!$E$1:$E$425,'Forbrug af biomasse'!$A$1:$A$425,$F436,'Forbrug af biomasse'!$C$1:$C$425,$D436,'Forbrug af biomasse'!$B$1:$B$425,$A$1,'Forbrug af biomasse'!$D$1:$D$425,J$2)*'[1]Processer - data'!J436*IFERROR(VLOOKUP($D436,Biogasanlæg!$F$3:$G$8,2,FALSE),1)</f>
        <v>#REF!</v>
      </c>
    </row>
    <row r="437" spans="1:10" s="171" customFormat="1" x14ac:dyDescent="0.25">
      <c r="A437" s="171" t="str">
        <f>IF('[1]Processer - data'!A437&lt;&gt;"",'[1]Processer - data'!A437,"")</f>
        <v>Biogasanlæg</v>
      </c>
      <c r="B437" s="171" t="str">
        <f>IF('[1]Processer - data'!B437&lt;&gt;"",'[1]Processer - data'!B437,"")</f>
        <v/>
      </c>
      <c r="C437" s="171" t="str">
        <f>IF('[1]Processer - data'!C437&lt;&gt;"",'[1]Processer - data'!C437,"")</f>
        <v/>
      </c>
      <c r="D437" s="171" t="str">
        <f>IF('[1]Processer - data'!D437&lt;&gt;"",'[1]Processer - data'!D437,"")</f>
        <v>Svinegylle</v>
      </c>
      <c r="E437" s="171" t="str">
        <f>IF('[1]Processer - data'!E437&lt;&gt;"",'[1]Processer - data'!E437,"")</f>
        <v>Ton</v>
      </c>
      <c r="F437" s="171" t="str">
        <f>IF('[1]Processer - data'!F437&lt;&gt;"",'[1]Processer - data'!F437,"")</f>
        <v>CO2 - atmosfære</v>
      </c>
      <c r="G437" s="171" t="str">
        <f>IF('[1]Processer - data'!G437&lt;&gt;"",'[1]Processer - data'!G437,"")</f>
        <v>t CO2-ækvivalenter</v>
      </c>
      <c r="H437" s="286" t="e">
        <f>SUMIFS('Forbrug af biomasse'!$E$1:$E$425,'Forbrug af biomasse'!$A$1:$A$425,"Biogas",'Forbrug af biomasse'!$C$1:$C$425,$D437,'Forbrug af biomasse'!$B$1:$B$425,$A$1,'Forbrug af biomasse'!$D$1:$D$425,H$2)*'[1]Processer - data'!H437*IFERROR(VLOOKUP($D437,Biogasanlæg!$F$3:$G$8,2,FALSE),1)</f>
        <v>#REF!</v>
      </c>
      <c r="I437" s="287" t="e">
        <f>SUMIFS('Forbrug af biomasse'!$E$1:$E$425,'Forbrug af biomasse'!$A$1:$A$425,"Biogas",'Forbrug af biomasse'!$C$1:$C$425,$D437,'Forbrug af biomasse'!$B$1:$B$425,$A$1,'Forbrug af biomasse'!$D$1:$D$425,I$2)*'[1]Processer - data'!I437*IFERROR(VLOOKUP($D437,Biogasanlæg!$F$3:$G$8,2,FALSE),1)</f>
        <v>#REF!</v>
      </c>
      <c r="J437" s="288" t="e">
        <f>SUMIFS('Forbrug af biomasse'!$E$1:$E$425,'Forbrug af biomasse'!$A$1:$A$425,"Biogas",'Forbrug af biomasse'!$C$1:$C$425,$D437,'Forbrug af biomasse'!$B$1:$B$425,$A$1,'Forbrug af biomasse'!$D$1:$D$425,J$2)*'[1]Processer - data'!J437*IFERROR(VLOOKUP($D437,Biogasanlæg!$F$3:$G$8,2,FALSE),1)</f>
        <v>#REF!</v>
      </c>
    </row>
    <row r="438" spans="1:10" x14ac:dyDescent="0.25">
      <c r="A438" s="171" t="str">
        <f>IF('[1]Processer - data'!A438&lt;&gt;"",'[1]Processer - data'!A438,"")</f>
        <v>Biogasanlæg</v>
      </c>
      <c r="B438" s="171" t="str">
        <f>IF('[1]Processer - data'!B438&lt;&gt;"",'[1]Processer - data'!B438,"")</f>
        <v/>
      </c>
      <c r="C438" s="171" t="str">
        <f>IF('[1]Processer - data'!C438&lt;&gt;"",'[1]Processer - data'!C438,"")</f>
        <v/>
      </c>
      <c r="D438" s="171" t="str">
        <f>IF('[1]Processer - data'!D438&lt;&gt;"",'[1]Processer - data'!D438,"")</f>
        <v>Kvæggylle</v>
      </c>
      <c r="E438" s="171" t="str">
        <f>IF('[1]Processer - data'!E438&lt;&gt;"",'[1]Processer - data'!E438,"")</f>
        <v>Ton</v>
      </c>
      <c r="F438" s="171" t="str">
        <f>IF('[1]Processer - data'!F438&lt;&gt;"",'[1]Processer - data'!F438,"")</f>
        <v>Biogas</v>
      </c>
      <c r="G438" s="171" t="str">
        <f>IF('[1]Processer - data'!G438&lt;&gt;"",'[1]Processer - data'!G438,"")</f>
        <v>Nm3 CH4</v>
      </c>
      <c r="H438" s="280" t="e">
        <f>SUMIFS('Forbrug af biomasse'!$E$1:$E$425,'Forbrug af biomasse'!$A$1:$A$425,$F438,'Forbrug af biomasse'!$C$1:$C$425,$D438,'Forbrug af biomasse'!$B$1:$B$425,$A$1,'Forbrug af biomasse'!$D$1:$D$425,H$2)*'[1]Processer - data'!H438*IFERROR(VLOOKUP($D438,Biogasanlæg!$F$3:$G$8,2,FALSE),1)</f>
        <v>#REF!</v>
      </c>
      <c r="I438" s="281" t="e">
        <f>SUMIFS('Forbrug af biomasse'!$E$1:$E$425,'Forbrug af biomasse'!$A$1:$A$425,$F438,'Forbrug af biomasse'!$C$1:$C$425,$D438,'Forbrug af biomasse'!$B$1:$B$425,$A$1,'Forbrug af biomasse'!$D$1:$D$425,I$2)*'[1]Processer - data'!I438*IFERROR(VLOOKUP($D438,Biogasanlæg!$F$3:$G$8,2,FALSE),1)</f>
        <v>#REF!</v>
      </c>
      <c r="J438" s="282" t="e">
        <f>SUMIFS('Forbrug af biomasse'!$E$1:$E$425,'Forbrug af biomasse'!$A$1:$A$425,$F438,'Forbrug af biomasse'!$C$1:$C$425,$D438,'Forbrug af biomasse'!$B$1:$B$425,$A$1,'Forbrug af biomasse'!$D$1:$D$425,J$2)*'[1]Processer - data'!J438*IFERROR(VLOOKUP($D438,Biogasanlæg!$F$3:$G$8,2,FALSE),1)</f>
        <v>#REF!</v>
      </c>
    </row>
    <row r="439" spans="1:10" s="171" customFormat="1" x14ac:dyDescent="0.25">
      <c r="A439" s="171" t="str">
        <f>IF('[1]Processer - data'!A439&lt;&gt;"",'[1]Processer - data'!A439,"")</f>
        <v>Biogasanlæg</v>
      </c>
      <c r="B439" s="171" t="str">
        <f>IF('[1]Processer - data'!B439&lt;&gt;"",'[1]Processer - data'!B439,"")</f>
        <v/>
      </c>
      <c r="C439" s="171" t="str">
        <f>IF('[1]Processer - data'!C439&lt;&gt;"",'[1]Processer - data'!C439,"")</f>
        <v/>
      </c>
      <c r="D439" s="171" t="str">
        <f>IF('[1]Processer - data'!D439&lt;&gt;"",'[1]Processer - data'!D439,"")</f>
        <v>Kvæggylle</v>
      </c>
      <c r="E439" s="171" t="str">
        <f>IF('[1]Processer - data'!E439&lt;&gt;"",'[1]Processer - data'!E439,"")</f>
        <v>Ton</v>
      </c>
      <c r="F439" s="171" t="str">
        <f>IF('[1]Processer - data'!F439&lt;&gt;"",'[1]Processer - data'!F439,"")</f>
        <v>CO2 - atmosfære</v>
      </c>
      <c r="G439" s="171" t="str">
        <f>IF('[1]Processer - data'!G439&lt;&gt;"",'[1]Processer - data'!G439,"")</f>
        <v>t CO2-ækvivalenter</v>
      </c>
      <c r="H439" s="286" t="e">
        <f>SUMIFS('Forbrug af biomasse'!$E$1:$E$425,'Forbrug af biomasse'!$A$1:$A$425,"Biogas",'Forbrug af biomasse'!$C$1:$C$425,$D439,'Forbrug af biomasse'!$B$1:$B$425,$A$1,'Forbrug af biomasse'!$D$1:$D$425,H$2)*'[1]Processer - data'!H439*IFERROR(VLOOKUP($D439,Biogasanlæg!$F$3:$G$8,2,FALSE),1)</f>
        <v>#REF!</v>
      </c>
      <c r="I439" s="287" t="e">
        <f>SUMIFS('Forbrug af biomasse'!$E$1:$E$425,'Forbrug af biomasse'!$A$1:$A$425,"Biogas",'Forbrug af biomasse'!$C$1:$C$425,$D439,'Forbrug af biomasse'!$B$1:$B$425,$A$1,'Forbrug af biomasse'!$D$1:$D$425,I$2)*'[1]Processer - data'!I439*IFERROR(VLOOKUP($D439,Biogasanlæg!$F$3:$G$8,2,FALSE),1)</f>
        <v>#REF!</v>
      </c>
      <c r="J439" s="288" t="e">
        <f>SUMIFS('Forbrug af biomasse'!$E$1:$E$425,'Forbrug af biomasse'!$A$1:$A$425,"Biogas",'Forbrug af biomasse'!$C$1:$C$425,$D439,'Forbrug af biomasse'!$B$1:$B$425,$A$1,'Forbrug af biomasse'!$D$1:$D$425,J$2)*'[1]Processer - data'!J439*IFERROR(VLOOKUP($D439,Biogasanlæg!$F$3:$G$8,2,FALSE),1)</f>
        <v>#REF!</v>
      </c>
    </row>
    <row r="440" spans="1:10" x14ac:dyDescent="0.25">
      <c r="A440" t="str">
        <f>IF('[1]Processer - data'!A440&lt;&gt;"",'[1]Processer - data'!A440,"")</f>
        <v>Biogasanlæg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Fjerkrægylle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Biogas</v>
      </c>
      <c r="G440" t="str">
        <f>IF('[1]Processer - data'!G440&lt;&gt;"",'[1]Processer - data'!G440,"")</f>
        <v>Nm3 CH4</v>
      </c>
      <c r="H440" s="280" t="e">
        <f>SUMIFS('Forbrug af biomasse'!$E$1:$E$425,'Forbrug af biomasse'!$A$1:$A$425,$F440,'Forbrug af biomasse'!$C$1:$C$425,$D440,'Forbrug af biomasse'!$B$1:$B$425,$A$1,'Forbrug af biomasse'!$D$1:$D$425,H$2)*'[1]Processer - data'!H440*IFERROR(VLOOKUP($D440,Biogasanlæg!$F$3:$G$8,2,FALSE),1)</f>
        <v>#REF!</v>
      </c>
      <c r="I440" s="281" t="e">
        <f>SUMIFS('Forbrug af biomasse'!$E$1:$E$425,'Forbrug af biomasse'!$A$1:$A$425,$F440,'Forbrug af biomasse'!$C$1:$C$425,$D440,'Forbrug af biomasse'!$B$1:$B$425,$A$1,'Forbrug af biomasse'!$D$1:$D$425,I$2)*'[1]Processer - data'!I440*IFERROR(VLOOKUP($D440,Biogasanlæg!$F$3:$G$8,2,FALSE),1)</f>
        <v>#REF!</v>
      </c>
      <c r="J440" s="282" t="e">
        <f>SUMIFS('Forbrug af biomasse'!$E$1:$E$425,'Forbrug af biomasse'!$A$1:$A$425,$F440,'Forbrug af biomasse'!$C$1:$C$425,$D440,'Forbrug af biomasse'!$B$1:$B$425,$A$1,'Forbrug af biomasse'!$D$1:$D$425,J$2)*'[1]Processer - data'!J440*IFERROR(VLOOKUP($D440,Biogasanlæg!$F$3:$G$8,2,FALSE),1)</f>
        <v>#REF!</v>
      </c>
    </row>
    <row r="441" spans="1:10" x14ac:dyDescent="0.25">
      <c r="A441" t="str">
        <f>IF('[1]Processer - data'!A441&lt;&gt;"",'[1]Processer - data'!A441,"")</f>
        <v>Biogasanlæg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Dybstrøelse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Biogas</v>
      </c>
      <c r="G441" t="str">
        <f>IF('[1]Processer - data'!G441&lt;&gt;"",'[1]Processer - data'!G441,"")</f>
        <v>Nm3 CH4</v>
      </c>
      <c r="H441" s="280" t="e">
        <f>SUMIFS('Forbrug af biomasse'!$E$1:$E$425,'Forbrug af biomasse'!$A$1:$A$425,$F441,'Forbrug af biomasse'!$C$1:$C$425,$D441,'Forbrug af biomasse'!$B$1:$B$425,$A$1,'Forbrug af biomasse'!$D$1:$D$425,H$2)*'[1]Processer - data'!H441*IFERROR(VLOOKUP($D441,Biogasanlæg!$F$3:$G$8,2,FALSE),1)</f>
        <v>#REF!</v>
      </c>
      <c r="I441" s="281" t="e">
        <f>SUMIFS('Forbrug af biomasse'!$E$1:$E$425,'Forbrug af biomasse'!$A$1:$A$425,$F441,'Forbrug af biomasse'!$C$1:$C$425,$D441,'Forbrug af biomasse'!$B$1:$B$425,$A$1,'Forbrug af biomasse'!$D$1:$D$425,I$2)*'[1]Processer - data'!I441*IFERROR(VLOOKUP($D441,Biogasanlæg!$F$3:$G$8,2,FALSE),1)</f>
        <v>#REF!</v>
      </c>
      <c r="J441" s="282" t="e">
        <f>SUMIFS('Forbrug af biomasse'!$E$1:$E$425,'Forbrug af biomasse'!$A$1:$A$425,$F441,'Forbrug af biomasse'!$C$1:$C$425,$D441,'Forbrug af biomasse'!$B$1:$B$425,$A$1,'Forbrug af biomasse'!$D$1:$D$425,J$2)*'[1]Processer - data'!J441*IFERROR(VLOOKUP($D441,Biogasanlæg!$F$3:$G$8,2,FALSE),1)</f>
        <v>#REF!</v>
      </c>
    </row>
    <row r="442" spans="1:10" x14ac:dyDescent="0.25">
      <c r="A442" t="str">
        <f>IF('[1]Processer - data'!A442&lt;&gt;"",'[1]Processer - data'!A442,"")</f>
        <v>Biogasanlæg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Majs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Biogas</v>
      </c>
      <c r="G442" t="str">
        <f>IF('[1]Processer - data'!G442&lt;&gt;"",'[1]Processer - data'!G442,"")</f>
        <v>Nm3 CH4</v>
      </c>
      <c r="H442" s="280" t="e">
        <f>SUMIFS('Forbrug af biomasse'!$E$1:$E$425,'Forbrug af biomasse'!$A$1:$A$425,$F442,'Forbrug af biomasse'!$C$1:$C$425,$D442,'Forbrug af biomasse'!$B$1:$B$425,$A$1,'Forbrug af biomasse'!$D$1:$D$425,H$2)*'[1]Processer - data'!H442*IFERROR(VLOOKUP($D442,Biogasanlæg!$F$3:$G$8,2,FALSE),1)</f>
        <v>#REF!</v>
      </c>
      <c r="I442" s="281" t="e">
        <f>SUMIFS('Forbrug af biomasse'!$E$1:$E$425,'Forbrug af biomasse'!$A$1:$A$425,$F442,'Forbrug af biomasse'!$C$1:$C$425,$D442,'Forbrug af biomasse'!$B$1:$B$425,$A$1,'Forbrug af biomasse'!$D$1:$D$425,I$2)*'[1]Processer - data'!I442*IFERROR(VLOOKUP($D442,Biogasanlæg!$F$3:$G$8,2,FALSE),1)</f>
        <v>#REF!</v>
      </c>
      <c r="J442" s="282" t="e">
        <f>SUMIFS('Forbrug af biomasse'!$E$1:$E$425,'Forbrug af biomasse'!$A$1:$A$425,$F442,'Forbrug af biomasse'!$C$1:$C$425,$D442,'Forbrug af biomasse'!$B$1:$B$425,$A$1,'Forbrug af biomasse'!$D$1:$D$425,J$2)*'[1]Processer - data'!J442*IFERROR(VLOOKUP($D442,Biogasanlæg!$F$3:$G$8,2,FALSE),1)</f>
        <v>#REF!</v>
      </c>
    </row>
    <row r="443" spans="1:10" x14ac:dyDescent="0.25">
      <c r="A443" t="str">
        <f>IF('[1]Processer - data'!A443&lt;&gt;"",'[1]Processer - data'!A443,"")</f>
        <v>Biogasanlæg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Roer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Biogas</v>
      </c>
      <c r="G443" t="str">
        <f>IF('[1]Processer - data'!G443&lt;&gt;"",'[1]Processer - data'!G443,"")</f>
        <v>Nm3 CH4</v>
      </c>
      <c r="H443" s="280" t="e">
        <f>SUMIFS('Forbrug af biomasse'!$E$1:$E$425,'Forbrug af biomasse'!$A$1:$A$425,$F443,'Forbrug af biomasse'!$C$1:$C$425,$D443,'Forbrug af biomasse'!$B$1:$B$425,$A$1,'Forbrug af biomasse'!$D$1:$D$425,H$2)*'[1]Processer - data'!H443*IFERROR(VLOOKUP($D443,Biogasanlæg!$F$3:$G$8,2,FALSE),1)</f>
        <v>#REF!</v>
      </c>
      <c r="I443" s="281" t="e">
        <f>SUMIFS('Forbrug af biomasse'!$E$1:$E$425,'Forbrug af biomasse'!$A$1:$A$425,$F443,'Forbrug af biomasse'!$C$1:$C$425,$D443,'Forbrug af biomasse'!$B$1:$B$425,$A$1,'Forbrug af biomasse'!$D$1:$D$425,I$2)*'[1]Processer - data'!I443*IFERROR(VLOOKUP($D443,Biogasanlæg!$F$3:$G$8,2,FALSE),1)</f>
        <v>#REF!</v>
      </c>
      <c r="J443" s="282" t="e">
        <f>SUMIFS('Forbrug af biomasse'!$E$1:$E$425,'Forbrug af biomasse'!$A$1:$A$425,$F443,'Forbrug af biomasse'!$C$1:$C$425,$D443,'Forbrug af biomasse'!$B$1:$B$425,$A$1,'Forbrug af biomasse'!$D$1:$D$425,J$2)*'[1]Processer - data'!J443*IFERROR(VLOOKUP($D443,Biogasanlæg!$F$3:$G$8,2,FALSE),1)</f>
        <v>#REF!</v>
      </c>
    </row>
    <row r="444" spans="1:10" x14ac:dyDescent="0.25">
      <c r="A444" t="str">
        <f>IF('[1]Processer - data'!A444&lt;&gt;"",'[1]Processer - data'!A444,"")</f>
        <v>Biogasanlæg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Bioaffald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Biogas</v>
      </c>
      <c r="G444" t="str">
        <f>IF('[1]Processer - data'!G444&lt;&gt;"",'[1]Processer - data'!G444,"")</f>
        <v>Nm3 CH4</v>
      </c>
      <c r="H444" s="280" t="e">
        <f>SUMIFS('Forbrug af biomasse'!$E$1:$E$425,'Forbrug af biomasse'!$A$1:$A$425,$F444,'Forbrug af biomasse'!$C$1:$C$425,$D444,'Forbrug af biomasse'!$B$1:$B$425,$A$1,'Forbrug af biomasse'!$D$1:$D$425,H$2)*'[1]Processer - data'!H444*IFERROR(VLOOKUP($D444,Biogasanlæg!$F$3:$G$8,2,FALSE),1)</f>
        <v>#REF!</v>
      </c>
      <c r="I444" s="281" t="e">
        <f>SUMIFS('Forbrug af biomasse'!$E$1:$E$425,'Forbrug af biomasse'!$A$1:$A$425,$F444,'Forbrug af biomasse'!$C$1:$C$425,$D444,'Forbrug af biomasse'!$B$1:$B$425,$A$1,'Forbrug af biomasse'!$D$1:$D$425,I$2)*'[1]Processer - data'!I444*IFERROR(VLOOKUP($D444,Biogasanlæg!$F$3:$G$8,2,FALSE),1)</f>
        <v>#REF!</v>
      </c>
      <c r="J444" s="282" t="e">
        <f>SUMIFS('Forbrug af biomasse'!$E$1:$E$425,'Forbrug af biomasse'!$A$1:$A$425,$F444,'Forbrug af biomasse'!$C$1:$C$425,$D444,'Forbrug af biomasse'!$B$1:$B$425,$A$1,'Forbrug af biomasse'!$D$1:$D$425,J$2)*'[1]Processer - data'!J444*IFERROR(VLOOKUP($D444,Biogasanlæg!$F$3:$G$8,2,FALSE),1)</f>
        <v>#REF!</v>
      </c>
    </row>
    <row r="445" spans="1:10" x14ac:dyDescent="0.25">
      <c r="A445" t="str">
        <f>IF('[1]Processer - data'!A445&lt;&gt;"",'[1]Processer - data'!A445,"")</f>
        <v>Biogasanlæg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Industriaffald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Biogas</v>
      </c>
      <c r="G445" t="str">
        <f>IF('[1]Processer - data'!G445&lt;&gt;"",'[1]Processer - data'!G445,"")</f>
        <v>Nm3 CH4</v>
      </c>
      <c r="H445" s="280" t="e">
        <f>SUMIFS('Forbrug af biomasse'!$E$1:$E$425,'Forbrug af biomasse'!$A$1:$A$425,$F445,'Forbrug af biomasse'!$C$1:$C$425,$D445,'Forbrug af biomasse'!$B$1:$B$425,$A$1,'Forbrug af biomasse'!$D$1:$D$425,H$2)*'[1]Processer - data'!H445*IFERROR(VLOOKUP($D445,Biogasanlæg!$F$3:$G$8,2,FALSE),1)</f>
        <v>#REF!</v>
      </c>
      <c r="I445" s="281" t="e">
        <f>SUMIFS('Forbrug af biomasse'!$E$1:$E$425,'Forbrug af biomasse'!$A$1:$A$425,$F445,'Forbrug af biomasse'!$C$1:$C$425,$D445,'Forbrug af biomasse'!$B$1:$B$425,$A$1,'Forbrug af biomasse'!$D$1:$D$425,I$2)*'[1]Processer - data'!I445*IFERROR(VLOOKUP($D445,Biogasanlæg!$F$3:$G$8,2,FALSE),1)</f>
        <v>#REF!</v>
      </c>
      <c r="J445" s="282" t="e">
        <f>SUMIFS('Forbrug af biomasse'!$E$1:$E$425,'Forbrug af biomasse'!$A$1:$A$425,$F445,'Forbrug af biomasse'!$C$1:$C$425,$D445,'Forbrug af biomasse'!$B$1:$B$425,$A$1,'Forbrug af biomasse'!$D$1:$D$425,J$2)*'[1]Processer - data'!J445*IFERROR(VLOOKUP($D445,Biogasanlæg!$F$3:$G$8,2,FALSE),1)</f>
        <v>#REF!</v>
      </c>
    </row>
    <row r="446" spans="1:10" x14ac:dyDescent="0.25">
      <c r="A446" t="str">
        <f>IF('[1]Processer - data'!A446&lt;&gt;"",'[1]Processer - data'!A446,"")</f>
        <v>Biogasanlæg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Muslinger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Biogas</v>
      </c>
      <c r="G446" t="str">
        <f>IF('[1]Processer - data'!G446&lt;&gt;"",'[1]Processer - data'!G446,"")</f>
        <v>Nm3 CH4</v>
      </c>
      <c r="H446" s="280" t="e">
        <f>SUMIFS('Forbrug af biomasse'!$E$1:$E$425,'Forbrug af biomasse'!$A$1:$A$425,$F446,'Forbrug af biomasse'!$C$1:$C$425,$D446,'Forbrug af biomasse'!$B$1:$B$425,$A$1,'Forbrug af biomasse'!$D$1:$D$425,H$2)*'[1]Processer - data'!H446*IFERROR(VLOOKUP($D446,Biogasanlæg!$F$3:$G$8,2,FALSE),1)</f>
        <v>#REF!</v>
      </c>
      <c r="I446" s="281" t="e">
        <f>SUMIFS('Forbrug af biomasse'!$E$1:$E$425,'Forbrug af biomasse'!$A$1:$A$425,$F446,'Forbrug af biomasse'!$C$1:$C$425,$D446,'Forbrug af biomasse'!$B$1:$B$425,$A$1,'Forbrug af biomasse'!$D$1:$D$425,I$2)*'[1]Processer - data'!I446*IFERROR(VLOOKUP($D446,Biogasanlæg!$F$3:$G$8,2,FALSE),1)</f>
        <v>#REF!</v>
      </c>
      <c r="J446" s="282" t="e">
        <f>SUMIFS('Forbrug af biomasse'!$E$1:$E$425,'Forbrug af biomasse'!$A$1:$A$425,$F446,'Forbrug af biomasse'!$C$1:$C$425,$D446,'Forbrug af biomasse'!$B$1:$B$425,$A$1,'Forbrug af biomasse'!$D$1:$D$425,J$2)*'[1]Processer - data'!J446*IFERROR(VLOOKUP($D446,Biogasanlæg!$F$3:$G$8,2,FALSE),1)</f>
        <v>#REF!</v>
      </c>
    </row>
    <row r="447" spans="1:10" x14ac:dyDescent="0.25">
      <c r="A447" t="str">
        <f>IF('[1]Processer - data'!A447&lt;&gt;"",'[1]Processer - data'!A447,"")</f>
        <v>Biogasanlæg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Biogas</v>
      </c>
      <c r="G447" t="str">
        <f>IF('[1]Processer - data'!G447&lt;&gt;"",'[1]Processer - data'!G447,"")</f>
        <v>Nm3 CH4</v>
      </c>
      <c r="H447" s="280" t="e">
        <f>SUMIFS('Forbrug af biomasse'!$E$1:$E$425,'Forbrug af biomasse'!$A$1:$A$425,$F447,'Forbrug af biomasse'!$C$1:$C$425,$D447,'Forbrug af biomasse'!$B$1:$B$425,$A$1,'Forbrug af biomasse'!$D$1:$D$425,H$2)*'[1]Processer - data'!H447*IFERROR(VLOOKUP($D447,Biogasanlæg!$F$3:$G$8,2,FALSE),1)</f>
        <v>#REF!</v>
      </c>
      <c r="I447" s="281" t="e">
        <f>SUMIFS('Forbrug af biomasse'!$E$1:$E$425,'Forbrug af biomasse'!$A$1:$A$425,$F447,'Forbrug af biomasse'!$C$1:$C$425,$D447,'Forbrug af biomasse'!$B$1:$B$425,$A$1,'Forbrug af biomasse'!$D$1:$D$425,I$2)*'[1]Processer - data'!I447*IFERROR(VLOOKUP($D447,Biogasanlæg!$F$3:$G$8,2,FALSE),1)</f>
        <v>#REF!</v>
      </c>
      <c r="J447" s="282" t="e">
        <f>SUMIFS('Forbrug af biomasse'!$E$1:$E$425,'Forbrug af biomasse'!$A$1:$A$425,$F447,'Forbrug af biomasse'!$C$1:$C$425,$D447,'Forbrug af biomasse'!$B$1:$B$425,$A$1,'Forbrug af biomasse'!$D$1:$D$425,J$2)*'[1]Processer - data'!J447*IFERROR(VLOOKUP($D447,Biogasanlæg!$F$3:$G$8,2,FALSE),1)</f>
        <v>#REF!</v>
      </c>
    </row>
    <row r="448" spans="1:10" x14ac:dyDescent="0.25">
      <c r="A448" t="str">
        <f>IF('[1]Processer - data'!A448&lt;&gt;"",'[1]Processer - data'!A448,"")</f>
        <v>Biogasanlæg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Have/parkaffald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Biogas</v>
      </c>
      <c r="G448" t="str">
        <f>IF('[1]Processer - data'!G448&lt;&gt;"",'[1]Processer - data'!G448,"")</f>
        <v>Nm3 CH4</v>
      </c>
      <c r="H448" s="280" t="e">
        <f>SUMIFS('Forbrug af biomasse'!$E$1:$E$425,'Forbrug af biomasse'!$A$1:$A$425,$F448,'Forbrug af biomasse'!$C$1:$C$425,$D448,'Forbrug af biomasse'!$B$1:$B$425,$A$1,'Forbrug af biomasse'!$D$1:$D$425,H$2)*'[1]Processer - data'!H448*IFERROR(VLOOKUP($D448,Biogasanlæg!$F$3:$G$8,2,FALSE),1)</f>
        <v>#REF!</v>
      </c>
      <c r="I448" s="281" t="e">
        <f>SUMIFS('Forbrug af biomasse'!$E$1:$E$425,'Forbrug af biomasse'!$A$1:$A$425,$F448,'Forbrug af biomasse'!$C$1:$C$425,$D448,'Forbrug af biomasse'!$B$1:$B$425,$A$1,'Forbrug af biomasse'!$D$1:$D$425,I$2)*'[1]Processer - data'!I448*IFERROR(VLOOKUP($D448,Biogasanlæg!$F$3:$G$8,2,FALSE),1)</f>
        <v>#REF!</v>
      </c>
      <c r="J448" s="282" t="e">
        <f>SUMIFS('Forbrug af biomasse'!$E$1:$E$425,'Forbrug af biomasse'!$A$1:$A$425,$F448,'Forbrug af biomasse'!$C$1:$C$425,$D448,'Forbrug af biomasse'!$B$1:$B$425,$A$1,'Forbrug af biomasse'!$D$1:$D$425,J$2)*'[1]Processer - data'!J448*IFERROR(VLOOKUP($D448,Biogasanlæg!$F$3:$G$8,2,FALSE),1)</f>
        <v>#REF!</v>
      </c>
    </row>
    <row r="449" spans="1:10" x14ac:dyDescent="0.25">
      <c r="A449" t="str">
        <f>IF('[1]Processer - data'!A449&lt;&gt;"",'[1]Processer - data'!A449,"")</f>
        <v>Biogasanlæg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Brun saft</v>
      </c>
      <c r="E449" t="str">
        <f>IF('[1]Processer - data'!E449&lt;&gt;"",'[1]Processer - data'!E449,"")</f>
        <v>PJ</v>
      </c>
      <c r="F449" t="str">
        <f>IF('[1]Processer - data'!F449&lt;&gt;"",'[1]Processer - data'!F449,"")</f>
        <v>Biogas</v>
      </c>
      <c r="G449" t="str">
        <f>IF('[1]Processer - data'!G449&lt;&gt;"",'[1]Processer - data'!G449,"")</f>
        <v>Nm3 CH4</v>
      </c>
      <c r="H449" s="280" t="e">
        <f>SUMIFS('Forbrug af biomasse'!$E$1:$E$425,'Forbrug af biomasse'!$A$1:$A$425,$F449,'Forbrug af biomasse'!$C$1:$C$425,$D449,'Forbrug af biomasse'!$B$1:$B$425,$A$1,'Forbrug af biomasse'!$D$1:$D$425,H$2)*'[1]Processer - data'!H449*IFERROR(VLOOKUP($D449,Biogasanlæg!$F$3:$G$8,2,FALSE),1)</f>
        <v>#REF!</v>
      </c>
      <c r="I449" s="281" t="e">
        <f>SUMIFS('Forbrug af biomasse'!$E$1:$E$425,'Forbrug af biomasse'!$A$1:$A$425,$F449,'Forbrug af biomasse'!$C$1:$C$425,$D449,'Forbrug af biomasse'!$B$1:$B$425,$A$1,'Forbrug af biomasse'!$D$1:$D$425,I$2)*'[1]Processer - data'!I449*IFERROR(VLOOKUP($D449,Biogasanlæg!$F$3:$G$8,2,FALSE),1)</f>
        <v>#REF!</v>
      </c>
      <c r="J449" s="282" t="e">
        <f>SUMIFS('Forbrug af biomasse'!$E$1:$E$425,'Forbrug af biomasse'!$A$1:$A$425,$F449,'Forbrug af biomasse'!$C$1:$C$425,$D449,'Forbrug af biomasse'!$B$1:$B$425,$A$1,'Forbrug af biomasse'!$D$1:$D$425,J$2)*'[1]Processer - data'!J449*IFERROR(VLOOKUP($D449,Biogasanlæg!$F$3:$G$8,2,FALSE),1)</f>
        <v>#REF!</v>
      </c>
    </row>
    <row r="450" spans="1:10" x14ac:dyDescent="0.25">
      <c r="A450" t="str">
        <f>IF('[1]Processer - data'!A450&lt;&gt;"",'[1]Processer - data'!A450,"")</f>
        <v>Biogasanlæg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Glycerin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Biogas</v>
      </c>
      <c r="G450" t="str">
        <f>IF('[1]Processer - data'!G450&lt;&gt;"",'[1]Processer - data'!G450,"")</f>
        <v>Nm3 CH4</v>
      </c>
      <c r="H450" s="280">
        <f>SUMIFS('Forbrug af biomasse'!$E$1:$E$425,'Forbrug af biomasse'!$A$1:$A$425,$F450,'Forbrug af biomasse'!$C$1:$C$425,$D450,'Forbrug af biomasse'!$B$1:$B$425,$A$1,'Forbrug af biomasse'!$D$1:$D$425,H$2)*'[1]Processer - data'!H450*IFERROR(VLOOKUP($D450,Biogasanlæg!$F$3:$G$8,2,FALSE),1)</f>
        <v>12086250.624000002</v>
      </c>
      <c r="I450" s="281">
        <f>SUMIFS('Forbrug af biomasse'!$E$1:$E$425,'Forbrug af biomasse'!$A$1:$A$425,$F450,'Forbrug af biomasse'!$C$1:$C$425,$D450,'Forbrug af biomasse'!$B$1:$B$425,$A$1,'Forbrug af biomasse'!$D$1:$D$425,I$2)*'[1]Processer - data'!I450*IFERROR(VLOOKUP($D450,Biogasanlæg!$F$3:$G$8,2,FALSE),1)</f>
        <v>12086250.624000002</v>
      </c>
      <c r="J450" s="282">
        <f>SUMIFS('Forbrug af biomasse'!$E$1:$E$425,'Forbrug af biomasse'!$A$1:$A$425,$F450,'Forbrug af biomasse'!$C$1:$C$425,$D450,'Forbrug af biomasse'!$B$1:$B$425,$A$1,'Forbrug af biomasse'!$D$1:$D$425,J$2)*'[1]Processer - data'!J450*IFERROR(VLOOKUP($D450,Biogasanlæg!$F$3:$G$8,2,FALSE),1)</f>
        <v>12086250.624000002</v>
      </c>
    </row>
    <row r="451" spans="1:10" x14ac:dyDescent="0.25">
      <c r="A451" t="str">
        <f>IF('[1]Processer - data'!A451&lt;&gt;"",'[1]Processer - data'!A451,"")</f>
        <v>Biogasanlæg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Spildevandsslam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Biogas</v>
      </c>
      <c r="G451" t="str">
        <f>IF('[1]Processer - data'!G451&lt;&gt;"",'[1]Processer - data'!G451,"")</f>
        <v>Nm3 CH4</v>
      </c>
      <c r="H451" s="280" t="e">
        <f>SUMIFS('Forbrug af biomasse'!$E$1:$E$425,'Forbrug af biomasse'!$A$1:$A$425,$F451,'Forbrug af biomasse'!$C$1:$C$425,$D451,'Forbrug af biomasse'!$B$1:$B$425,$A$1,'Forbrug af biomasse'!$D$1:$D$425,H$2)*'[1]Processer - data'!H451*IFERROR(VLOOKUP($D451,Biogasanlæg!$F$3:$G$8,2,FALSE),1)</f>
        <v>#REF!</v>
      </c>
      <c r="I451" s="281" t="e">
        <f>SUMIFS('Forbrug af biomasse'!$E$1:$E$425,'Forbrug af biomasse'!$A$1:$A$425,$F451,'Forbrug af biomasse'!$C$1:$C$425,$D451,'Forbrug af biomasse'!$B$1:$B$425,$A$1,'Forbrug af biomasse'!$D$1:$D$425,I$2)*'[1]Processer - data'!I451*IFERROR(VLOOKUP($D451,Biogasanlæg!$F$3:$G$8,2,FALSE),1)</f>
        <v>#REF!</v>
      </c>
      <c r="J451" s="282" t="e">
        <f>SUMIFS('Forbrug af biomasse'!$E$1:$E$425,'Forbrug af biomasse'!$A$1:$A$425,$F451,'Forbrug af biomasse'!$C$1:$C$425,$D451,'Forbrug af biomasse'!$B$1:$B$425,$A$1,'Forbrug af biomasse'!$D$1:$D$425,J$2)*'[1]Processer - data'!J451*IFERROR(VLOOKUP($D451,Biogasanlæg!$F$3:$G$8,2,FALSE),1)</f>
        <v>#REF!</v>
      </c>
    </row>
    <row r="452" spans="1:10" x14ac:dyDescent="0.25">
      <c r="A452" t="str">
        <f>IF('[1]Processer - data'!A452&lt;&gt;"",'[1]Processer - data'!A452,"")</f>
        <v>Biogasanlæg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Total til biogas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Biogasgylle</v>
      </c>
      <c r="G452" t="str">
        <f>IF('[1]Processer - data'!G452&lt;&gt;"",'[1]Processer - data'!G452,"")</f>
        <v>Ton</v>
      </c>
      <c r="H452" s="286" t="e">
        <f>SUMIFS('Forbrug af biomasse'!$E$1:$E$425,'Forbrug af biomasse'!$A$1:$A$425,"Biogas",'Forbrug af biomasse'!$B$1:$B$425,$A$1,'Forbrug af biomasse'!$D$1:$D$425,H$2)*'[1]Processer - data'!H452</f>
        <v>#REF!</v>
      </c>
      <c r="I452" s="287" t="e">
        <f>SUMIFS('Forbrug af biomasse'!$E$1:$E$425,'Forbrug af biomasse'!$A$1:$A$425,"Biogas",'Forbrug af biomasse'!$B$1:$B$425,$A$1,'Forbrug af biomasse'!$D$1:$D$425,I$2)*'[1]Processer - data'!I452</f>
        <v>#REF!</v>
      </c>
      <c r="J452" s="288" t="e">
        <f>SUMIFS('Forbrug af biomasse'!$E$1:$E$425,'Forbrug af biomasse'!$A$1:$A$425,"Biogas",'Forbrug af biomasse'!$B$1:$B$425,$A$1,'Forbrug af biomasse'!$D$1:$D$425,J$2)*'[1]Processer - data'!J452</f>
        <v>#REF!</v>
      </c>
    </row>
    <row r="453" spans="1:10" x14ac:dyDescent="0.25">
      <c r="A453" t="str">
        <f>IF('[1]Processer - data'!A453&lt;&gt;"",'[1]Processer - data'!A453,"")</f>
        <v>Gødning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Svinegylle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Gødning</v>
      </c>
      <c r="G453" t="str">
        <f>IF('[1]Processer - data'!G453&lt;&gt;"",'[1]Processer - data'!G453,"")</f>
        <v>kg N</v>
      </c>
      <c r="H453" s="286" t="e">
        <f>(1-IF(VLOOKUP($D453,Biogasanlæg!$A$3:$D$7,MATCH(H$2,Biogasanlæg!$A$2:$D$2,0),FALSE)&gt;1,1,VLOOKUP($D453,Biogasanlæg!$A$3:$D$7,MATCH(H$2,Biogasanlæg!$A$2:$D$2,0),FALSE)))*SUMIFS('Resultater - Østdanmark'!H$3:H$482,'Resultater - Østdanmark'!$F$3:$F$482,'Resultater - Østdanmark'!$D453)*'[1]Processer - data'!H$453</f>
        <v>#REF!</v>
      </c>
      <c r="I453" s="287" t="e">
        <f>(1-IF(VLOOKUP($D453,Biogasanlæg!$A$3:$D$7,MATCH(I$2,Biogasanlæg!$A$2:$D$2,0),FALSE)&gt;1,1,VLOOKUP($D453,Biogasanlæg!$A$3:$D$7,MATCH(I$2,Biogasanlæg!$A$2:$D$2,0),FALSE)))*SUMIFS('Resultater - Østdanmark'!I$3:I$482,'Resultater - Østdanmark'!$F$3:$F$482,'Resultater - Østdanmark'!$D453)*'[1]Processer - data'!I$453</f>
        <v>#REF!</v>
      </c>
      <c r="J453" s="288" t="e">
        <f>(1-IF(VLOOKUP($D453,Biogasanlæg!$A$3:$D$7,MATCH(J$2,Biogasanlæg!$A$2:$D$2,0),FALSE)&gt;1,1,VLOOKUP($D453,Biogasanlæg!$A$3:$D$7,MATCH(J$2,Biogasanlæg!$A$2:$D$2,0),FALSE)))*SUMIFS('Resultater - Østdanmark'!J$3:J$482,'Resultater - Østdanmark'!$F$3:$F$482,'Resultater - Østdanmark'!$D453)*'[1]Processer - data'!J$453</f>
        <v>#REF!</v>
      </c>
    </row>
    <row r="454" spans="1:10" x14ac:dyDescent="0.25">
      <c r="A454" t="str">
        <f>IF('[1]Processer - data'!A454&lt;&gt;"",'[1]Processer - data'!A454,"")</f>
        <v>Gødning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Kvæggylle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Gødning</v>
      </c>
      <c r="G454" t="str">
        <f>IF('[1]Processer - data'!G454&lt;&gt;"",'[1]Processer - data'!G454,"")</f>
        <v>kg N</v>
      </c>
      <c r="H454" s="286" t="e">
        <f>(1-IF(VLOOKUP($D454,Biogasanlæg!$A$3:$D$7,MATCH(H$2,Biogasanlæg!$A$2:$D$2,0),FALSE)&gt;1,1,VLOOKUP($D454,Biogasanlæg!$A$3:$D$7,MATCH(H$2,Biogasanlæg!$A$2:$D$2,0),FALSE)))*SUMIFS('Resultater - Østdanmark'!H$3:H$482,'Resultater - Østdanmark'!$F$3:$F$482,'Resultater - Østdanmark'!$D454)*'[1]Processer - data'!H$453</f>
        <v>#REF!</v>
      </c>
      <c r="I454" s="287" t="e">
        <f>(1-IF(VLOOKUP($D454,Biogasanlæg!$A$3:$D$7,MATCH(I$2,Biogasanlæg!$A$2:$D$2,0),FALSE)&gt;1,1,VLOOKUP($D454,Biogasanlæg!$A$3:$D$7,MATCH(I$2,Biogasanlæg!$A$2:$D$2,0),FALSE)))*SUMIFS('Resultater - Østdanmark'!I$3:I$482,'Resultater - Østdanmark'!$F$3:$F$482,'Resultater - Østdanmark'!$D454)*'[1]Processer - data'!I$453</f>
        <v>#REF!</v>
      </c>
      <c r="J454" s="288" t="e">
        <f>(1-IF(VLOOKUP($D454,Biogasanlæg!$A$3:$D$7,MATCH(J$2,Biogasanlæg!$A$2:$D$2,0),FALSE)&gt;1,1,VLOOKUP($D454,Biogasanlæg!$A$3:$D$7,MATCH(J$2,Biogasanlæg!$A$2:$D$2,0),FALSE)))*SUMIFS('Resultater - Østdanmark'!J$3:J$482,'Resultater - Østdanmark'!$F$3:$F$482,'Resultater - Østdanmark'!$D454)*'[1]Processer - data'!J$453</f>
        <v>#REF!</v>
      </c>
    </row>
    <row r="455" spans="1:10" x14ac:dyDescent="0.25">
      <c r="A455" t="str">
        <f>IF('[1]Processer - data'!A455&lt;&gt;"",'[1]Processer - data'!A455,"")</f>
        <v>Gødning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Fjerkrægylle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Gødning</v>
      </c>
      <c r="G455" t="str">
        <f>IF('[1]Processer - data'!G455&lt;&gt;"",'[1]Processer - data'!G455,"")</f>
        <v>kg N</v>
      </c>
      <c r="H455" s="286" t="e">
        <f>(1-IF(VLOOKUP($D455,Biogasanlæg!$A$3:$D$7,MATCH(H$2,Biogasanlæg!$A$2:$D$2,0),FALSE)&gt;1,1,VLOOKUP($D455,Biogasanlæg!$A$3:$D$7,MATCH(H$2,Biogasanlæg!$A$2:$D$2,0),FALSE)))*SUMIFS('Resultater - Østdanmark'!H$3:H$482,'Resultater - Østdanmark'!$F$3:$F$482,'Resultater - Østdanmark'!$D455)*'[1]Processer - data'!H$453</f>
        <v>#REF!</v>
      </c>
      <c r="I455" s="287" t="e">
        <f>(1-IF(VLOOKUP($D455,Biogasanlæg!$A$3:$D$7,MATCH(I$2,Biogasanlæg!$A$2:$D$2,0),FALSE)&gt;1,1,VLOOKUP($D455,Biogasanlæg!$A$3:$D$7,MATCH(I$2,Biogasanlæg!$A$2:$D$2,0),FALSE)))*SUMIFS('Resultater - Østdanmark'!I$3:I$482,'Resultater - Østdanmark'!$F$3:$F$482,'Resultater - Østdanmark'!$D455)*'[1]Processer - data'!I$453</f>
        <v>#REF!</v>
      </c>
      <c r="J455" s="288" t="e">
        <f>(1-IF(VLOOKUP($D455,Biogasanlæg!$A$3:$D$7,MATCH(J$2,Biogasanlæg!$A$2:$D$2,0),FALSE)&gt;1,1,VLOOKUP($D455,Biogasanlæg!$A$3:$D$7,MATCH(J$2,Biogasanlæg!$A$2:$D$2,0),FALSE)))*SUMIFS('Resultater - Østdanmark'!J$3:J$482,'Resultater - Østdanmark'!$F$3:$F$482,'Resultater - Østdanmark'!$D455)*'[1]Processer - data'!J$453</f>
        <v>#REF!</v>
      </c>
    </row>
    <row r="456" spans="1:10" x14ac:dyDescent="0.25">
      <c r="A456" t="str">
        <f>IF('[1]Processer - data'!A456&lt;&gt;"",'[1]Processer - data'!A456,"")</f>
        <v>Gødning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Dybstrøelse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Gødning</v>
      </c>
      <c r="G456" t="str">
        <f>IF('[1]Processer - data'!G456&lt;&gt;"",'[1]Processer - data'!G456,"")</f>
        <v>kg N</v>
      </c>
      <c r="H456" s="286" t="e">
        <f>(1-IF(VLOOKUP($D456,Biogasanlæg!$A$3:$D$7,MATCH(H$2,Biogasanlæg!$A$2:$D$2,0),FALSE)&gt;1,1,VLOOKUP($D456,Biogasanlæg!$A$3:$D$7,MATCH(H$2,Biogasanlæg!$A$2:$D$2,0),FALSE)))*SUMIFS('Resultater - Østdanmark'!H$3:H$482,'Resultater - Østdanmark'!$F$3:$F$482,'Resultater - Østdanmark'!$D456)*'[1]Processer - data'!H$453</f>
        <v>#REF!</v>
      </c>
      <c r="I456" s="287" t="e">
        <f>(1-IF(VLOOKUP($D456,Biogasanlæg!$A$3:$D$7,MATCH(I$2,Biogasanlæg!$A$2:$D$2,0),FALSE)&gt;1,1,VLOOKUP($D456,Biogasanlæg!$A$3:$D$7,MATCH(I$2,Biogasanlæg!$A$2:$D$2,0),FALSE)))*SUMIFS('Resultater - Østdanmark'!I$3:I$482,'Resultater - Østdanmark'!$F$3:$F$482,'Resultater - Østdanmark'!$D456)*'[1]Processer - data'!I$453</f>
        <v>#REF!</v>
      </c>
      <c r="J456" s="288" t="e">
        <f>(1-IF(VLOOKUP($D456,Biogasanlæg!$A$3:$D$7,MATCH(J$2,Biogasanlæg!$A$2:$D$2,0),FALSE)&gt;1,1,VLOOKUP($D456,Biogasanlæg!$A$3:$D$7,MATCH(J$2,Biogasanlæg!$A$2:$D$2,0),FALSE)))*SUMIFS('Resultater - Østdanmark'!J$3:J$482,'Resultater - Østdanmark'!$F$3:$F$482,'Resultater - Østdanmark'!$D456)*'[1]Processer - data'!J$453</f>
        <v>#REF!</v>
      </c>
    </row>
    <row r="457" spans="1:10" x14ac:dyDescent="0.25">
      <c r="A457" t="str">
        <f>IF('[1]Processer - data'!A457&lt;&gt;"",'[1]Processer - data'!A457,"")</f>
        <v>Gødning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Biogasgylle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Gødning</v>
      </c>
      <c r="G457" t="str">
        <f>IF('[1]Processer - data'!G457&lt;&gt;"",'[1]Processer - data'!G457,"")</f>
        <v>kg N</v>
      </c>
      <c r="H457" s="286" t="e">
        <f>H452*'[1]Processer - data'!H$457*Biogasanlæg!AA$3</f>
        <v>#REF!</v>
      </c>
      <c r="I457" s="287" t="e">
        <f>I452*'[1]Processer - data'!I$457*Biogasanlæg!AB$3</f>
        <v>#REF!</v>
      </c>
      <c r="J457" s="288" t="e">
        <f>J452*'[1]Processer - data'!J$457*Biogasanlæg!AC$3</f>
        <v>#REF!</v>
      </c>
    </row>
    <row r="458" spans="1:10" x14ac:dyDescent="0.25">
      <c r="A458" t="str">
        <f>IF('[1]Processer - data'!A458&lt;&gt;"",'[1]Processer - data'!A458,"")</f>
        <v>Gødning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Kunstgødning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Gødning</v>
      </c>
      <c r="G458" t="str">
        <f>IF('[1]Processer - data'!G458&lt;&gt;"",'[1]Processer - data'!G458,"")</f>
        <v>kg N</v>
      </c>
      <c r="H458" s="286" t="e">
        <f>-SUMIFS('Resultater - Østdanmark'!H$3:H$482,'Resultater - Østdanmark'!$F$3:$F$482,"Gødning",'Resultater - Østdanmark'!$A$3:$A$482,"&lt;&gt;Gødning")-SUM(H453:H457)</f>
        <v>#REF!</v>
      </c>
      <c r="I458" s="287" t="e">
        <f>-SUMIFS('Resultater - Østdanmark'!I$3:I$482,'Resultater - Østdanmark'!$F$3:$F$482,"Gødning",'Resultater - Østdanmark'!$A$3:$A$482,"&lt;&gt;Gødning")-SUM(I453:I457)</f>
        <v>#REF!</v>
      </c>
      <c r="J458" s="288" t="e">
        <f>-SUMIFS('Resultater - Østdanmark'!J$3:J$482,'Resultater - Østdanmark'!$F$3:$F$482,"Gødning",'Resultater - Østdanmark'!$A$3:$A$482,"&lt;&gt;Gødning")-SUM(J453:J457)</f>
        <v>#REF!</v>
      </c>
    </row>
    <row r="459" spans="1:10" x14ac:dyDescent="0.25">
      <c r="A459" t="str">
        <f>IF('[1]Processer - data'!A459&lt;&gt;"",'[1]Processer - data'!A459,"")</f>
        <v>Til energi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Halm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Energi</v>
      </c>
      <c r="G459" t="str">
        <f>IF('[1]Processer - data'!G459&lt;&gt;"",'[1]Processer - data'!G459,"")</f>
        <v>PJ</v>
      </c>
      <c r="H459" s="289" t="e">
        <f>SUMIFS('Forbrug af biomasse'!$E$1:$E$425,'Forbrug af biomasse'!$A$1:$A$425,$F459,'Forbrug af biomasse'!$C$1:$C$425,$D459,'Forbrug af biomasse'!$B$1:$B$425,$A$1,'Forbrug af biomasse'!$D$1:$D$425,H$2)*'[1]Processer - data'!H459</f>
        <v>#REF!</v>
      </c>
      <c r="I459" s="291" t="e">
        <f>SUMIFS('Forbrug af biomasse'!$E$1:$E$425,'Forbrug af biomasse'!$A$1:$A$425,$F459,'Forbrug af biomasse'!$C$1:$C$425,$D459,'Forbrug af biomasse'!$B$1:$B$425,$A$1,'Forbrug af biomasse'!$D$1:$D$425,I$2)*'[1]Processer - data'!I459</f>
        <v>#REF!</v>
      </c>
      <c r="J459" s="292" t="e">
        <f>SUMIFS('Forbrug af biomasse'!$E$1:$E$425,'Forbrug af biomasse'!$A$1:$A$425,$F459,'Forbrug af biomasse'!$C$1:$C$425,$D459,'Forbrug af biomasse'!$B$1:$B$425,$A$1,'Forbrug af biomasse'!$D$1:$D$425,J$2)*'[1]Processer - data'!J459</f>
        <v>#REF!</v>
      </c>
    </row>
    <row r="460" spans="1:10" x14ac:dyDescent="0.25">
      <c r="A460" t="str">
        <f>IF('[1]Processer - data'!A460&lt;&gt;"",'[1]Processer - data'!A460,"")</f>
        <v>Til energi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Rapsolie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Energi</v>
      </c>
      <c r="G460" t="str">
        <f>IF('[1]Processer - data'!G460&lt;&gt;"",'[1]Processer - data'!G460,"")</f>
        <v>PJ</v>
      </c>
      <c r="H460" s="289" t="e">
        <f>SUMIFS('Forbrug af biomasse'!$E$1:$E$425,'Forbrug af biomasse'!$A$1:$A$425,$F460,'Forbrug af biomasse'!$C$1:$C$425,$D460,'Forbrug af biomasse'!$B$1:$B$425,$A$1,'Forbrug af biomasse'!$D$1:$D$425,H$2)*'[1]Processer - data'!H460</f>
        <v>#REF!</v>
      </c>
      <c r="I460" s="291" t="e">
        <f>SUMIFS('Forbrug af biomasse'!$E$1:$E$425,'Forbrug af biomasse'!$A$1:$A$425,$F460,'Forbrug af biomasse'!$C$1:$C$425,$D460,'Forbrug af biomasse'!$B$1:$B$425,$A$1,'Forbrug af biomasse'!$D$1:$D$425,I$2)*'[1]Processer - data'!I460</f>
        <v>#REF!</v>
      </c>
      <c r="J460" s="292" t="e">
        <f>SUMIFS('Forbrug af biomasse'!$E$1:$E$425,'Forbrug af biomasse'!$A$1:$A$425,$F460,'Forbrug af biomasse'!$C$1:$C$425,$D460,'Forbrug af biomasse'!$B$1:$B$425,$A$1,'Forbrug af biomasse'!$D$1:$D$425,J$2)*'[1]Processer - data'!J460</f>
        <v>#REF!</v>
      </c>
    </row>
    <row r="461" spans="1:10" x14ac:dyDescent="0.25">
      <c r="A461" t="str">
        <f>IF('[1]Processer - data'!A461&lt;&gt;"",'[1]Processer - data'!A461,"")</f>
        <v>Til energi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Pil &amp; poppel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Energi</v>
      </c>
      <c r="G461" t="str">
        <f>IF('[1]Processer - data'!G461&lt;&gt;"",'[1]Processer - data'!G461,"")</f>
        <v>PJ</v>
      </c>
      <c r="H461" s="289" t="e">
        <f>SUMIFS('Forbrug af biomasse'!$E$1:$E$425,'Forbrug af biomasse'!$A$1:$A$425,$F461,'Forbrug af biomasse'!$C$1:$C$425,$D461,'Forbrug af biomasse'!$B$1:$B$425,$A$1,'Forbrug af biomasse'!$D$1:$D$425,H$2)*'[1]Processer - data'!H461</f>
        <v>#REF!</v>
      </c>
      <c r="I461" s="291" t="e">
        <f>SUMIFS('Forbrug af biomasse'!$E$1:$E$425,'Forbrug af biomasse'!$A$1:$A$425,$F461,'Forbrug af biomasse'!$C$1:$C$425,$D461,'Forbrug af biomasse'!$B$1:$B$425,$A$1,'Forbrug af biomasse'!$D$1:$D$425,I$2)*'[1]Processer - data'!I461</f>
        <v>#REF!</v>
      </c>
      <c r="J461" s="292" t="e">
        <f>SUMIFS('Forbrug af biomasse'!$E$1:$E$425,'Forbrug af biomasse'!$A$1:$A$425,$F461,'Forbrug af biomasse'!$C$1:$C$425,$D461,'Forbrug af biomasse'!$B$1:$B$425,$A$1,'Forbrug af biomasse'!$D$1:$D$425,J$2)*'[1]Processer - data'!J461</f>
        <v>#REF!</v>
      </c>
    </row>
    <row r="462" spans="1:10" x14ac:dyDescent="0.25">
      <c r="A462" t="str">
        <f>IF('[1]Processer - data'!A462&lt;&gt;"",'[1]Processer - data'!A462,"")</f>
        <v>Til energi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Træ til energi</v>
      </c>
      <c r="E462" t="str">
        <f>IF('[1]Processer - data'!E462&lt;&gt;"",'[1]Processer - data'!E462,"")</f>
        <v>m3</v>
      </c>
      <c r="F462" t="str">
        <f>IF('[1]Processer - data'!F462&lt;&gt;"",'[1]Processer - data'!F462,"")</f>
        <v>Energi</v>
      </c>
      <c r="G462" t="str">
        <f>IF('[1]Processer - data'!G462&lt;&gt;"",'[1]Processer - data'!G462,"")</f>
        <v>PJ</v>
      </c>
      <c r="H462" s="289" t="e">
        <f>SUMIFS('Forbrug af biomasse'!$E$1:$E$425,'Forbrug af biomasse'!$A$1:$A$425,$F462,'Forbrug af biomasse'!$C$1:$C$425,$D462,'Forbrug af biomasse'!$B$1:$B$425,$A$1,'Forbrug af biomasse'!$D$1:$D$425,H$2)*'[1]Processer - data'!H462</f>
        <v>#REF!</v>
      </c>
      <c r="I462" s="291" t="e">
        <f>SUMIFS('Forbrug af biomasse'!$E$1:$E$425,'Forbrug af biomasse'!$A$1:$A$425,$F462,'Forbrug af biomasse'!$C$1:$C$425,$D462,'Forbrug af biomasse'!$B$1:$B$425,$A$1,'Forbrug af biomasse'!$D$1:$D$425,I$2)*'[1]Processer - data'!I462</f>
        <v>#REF!</v>
      </c>
      <c r="J462" s="292" t="e">
        <f>SUMIFS('Forbrug af biomasse'!$E$1:$E$425,'Forbrug af biomasse'!$A$1:$A$425,$F462,'Forbrug af biomasse'!$C$1:$C$425,$D462,'Forbrug af biomasse'!$B$1:$B$425,$A$1,'Forbrug af biomasse'!$D$1:$D$425,J$2)*'[1]Processer - data'!J462</f>
        <v>#REF!</v>
      </c>
    </row>
    <row r="463" spans="1:10" x14ac:dyDescent="0.25">
      <c r="A463" t="str">
        <f>IF('[1]Processer - data'!A463&lt;&gt;"",'[1]Processer - data'!A463,"")</f>
        <v>Til energi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Have/parkaffald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Energi</v>
      </c>
      <c r="G463" t="str">
        <f>IF('[1]Processer - data'!G463&lt;&gt;"",'[1]Processer - data'!G463,"")</f>
        <v>PJ</v>
      </c>
      <c r="H463" s="289" t="e">
        <f>SUMIFS('Forbrug af biomasse'!$E$1:$E$425,'Forbrug af biomasse'!$A$1:$A$425,$F463,'Forbrug af biomasse'!$C$1:$C$425,$D463,'Forbrug af biomasse'!$B$1:$B$425,$A$1,'Forbrug af biomasse'!$D$1:$D$425,H$2)*'[1]Processer - data'!H463</f>
        <v>#REF!</v>
      </c>
      <c r="I463" s="291" t="e">
        <f>SUMIFS('Forbrug af biomasse'!$E$1:$E$425,'Forbrug af biomasse'!$A$1:$A$425,$F463,'Forbrug af biomasse'!$C$1:$C$425,$D463,'Forbrug af biomasse'!$B$1:$B$425,$A$1,'Forbrug af biomasse'!$D$1:$D$425,I$2)*'[1]Processer - data'!I463</f>
        <v>#REF!</v>
      </c>
      <c r="J463" s="292" t="e">
        <f>SUMIFS('Forbrug af biomasse'!$E$1:$E$425,'Forbrug af biomasse'!$A$1:$A$425,$F463,'Forbrug af biomasse'!$C$1:$C$425,$D463,'Forbrug af biomasse'!$B$1:$B$425,$A$1,'Forbrug af biomasse'!$D$1:$D$425,J$2)*'[1]Processer - data'!J463</f>
        <v>#REF!</v>
      </c>
    </row>
    <row r="464" spans="1:10" x14ac:dyDescent="0.25">
      <c r="A464" t="str">
        <f>IF('[1]Processer - data'!A464&lt;&gt;"",'[1]Processer - data'!A464,"")</f>
        <v>Til energi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Bioaffald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Energi</v>
      </c>
      <c r="G464" t="str">
        <f>IF('[1]Processer - data'!G464&lt;&gt;"",'[1]Processer - data'!G464,"")</f>
        <v>PJ</v>
      </c>
      <c r="H464" s="289" t="e">
        <f>SUMIFS('Forbrug af biomasse'!$E$1:$E$425,'Forbrug af biomasse'!$A$1:$A$425,$F464,'Forbrug af biomasse'!$C$1:$C$425,$D464,'Forbrug af biomasse'!$B$1:$B$425,$A$1,'Forbrug af biomasse'!$D$1:$D$425,H$2)*'[1]Processer - data'!H464</f>
        <v>#REF!</v>
      </c>
      <c r="I464" s="291" t="e">
        <f>SUMIFS('Forbrug af biomasse'!$E$1:$E$425,'Forbrug af biomasse'!$A$1:$A$425,$F464,'Forbrug af biomasse'!$C$1:$C$425,$D464,'Forbrug af biomasse'!$B$1:$B$425,$A$1,'Forbrug af biomasse'!$D$1:$D$425,I$2)*'[1]Processer - data'!I464</f>
        <v>#REF!</v>
      </c>
      <c r="J464" s="292" t="e">
        <f>SUMIFS('Forbrug af biomasse'!$E$1:$E$425,'Forbrug af biomasse'!$A$1:$A$425,$F464,'Forbrug af biomasse'!$C$1:$C$425,$D464,'Forbrug af biomasse'!$B$1:$B$425,$A$1,'Forbrug af biomasse'!$D$1:$D$425,J$2)*'[1]Processer - data'!J464</f>
        <v>#REF!</v>
      </c>
    </row>
    <row r="465" spans="1:10" s="171" customFormat="1" x14ac:dyDescent="0.25">
      <c r="A465" s="171" t="str">
        <f>IF('[1]Processer - data'!A465&lt;&gt;"",'[1]Processer - data'!A465,"")</f>
        <v>Til energi</v>
      </c>
      <c r="B465" s="171" t="str">
        <f>IF('[1]Processer - data'!B465&lt;&gt;"",'[1]Processer - data'!B465,"")</f>
        <v/>
      </c>
      <c r="C465" s="171" t="str">
        <f>IF('[1]Processer - data'!C465&lt;&gt;"",'[1]Processer - data'!C465,"")</f>
        <v/>
      </c>
      <c r="D465" s="171" t="str">
        <f>IF('[1]Processer - data'!D465&lt;&gt;"",'[1]Processer - data'!D465,"")</f>
        <v>Pyrolyseolie</v>
      </c>
      <c r="E465" s="171" t="str">
        <f>IF('[1]Processer - data'!E465&lt;&gt;"",'[1]Processer - data'!E465,"")</f>
        <v>Ton</v>
      </c>
      <c r="F465" s="171" t="str">
        <f>IF('[1]Processer - data'!F465&lt;&gt;"",'[1]Processer - data'!F465,"")</f>
        <v>Energi</v>
      </c>
      <c r="G465" s="171" t="str">
        <f>IF('[1]Processer - data'!G465&lt;&gt;"",'[1]Processer - data'!G465,"")</f>
        <v>PJ</v>
      </c>
      <c r="H465" s="289" t="e">
        <f>SUMIFS('Forbrug af biomasse'!$E$1:$E$425,'Forbrug af biomasse'!$A$1:$A$425,$F465,'Forbrug af biomasse'!$C$1:$C$425,$D465,'Forbrug af biomasse'!$B$1:$B$425,$A$1,'Forbrug af biomasse'!$D$1:$D$425,H$2)*'[1]Processer - data'!H465</f>
        <v>#REF!</v>
      </c>
      <c r="I465" s="291" t="e">
        <f>SUMIFS('Forbrug af biomasse'!$E$1:$E$425,'Forbrug af biomasse'!$A$1:$A$425,$F465,'Forbrug af biomasse'!$C$1:$C$425,$D465,'Forbrug af biomasse'!$B$1:$B$425,$A$1,'Forbrug af biomasse'!$D$1:$D$425,I$2)*'[1]Processer - data'!I465</f>
        <v>#REF!</v>
      </c>
      <c r="J465" s="292" t="e">
        <f>SUMIFS('Forbrug af biomasse'!$E$1:$E$425,'Forbrug af biomasse'!$A$1:$A$425,$F465,'Forbrug af biomasse'!$C$1:$C$425,$D465,'Forbrug af biomasse'!$B$1:$B$425,$A$1,'Forbrug af biomasse'!$D$1:$D$425,J$2)*'[1]Processer - data'!J465</f>
        <v>#REF!</v>
      </c>
    </row>
    <row r="466" spans="1:10" s="171" customFormat="1" x14ac:dyDescent="0.25">
      <c r="A466" s="171" t="str">
        <f>IF('[1]Processer - data'!A466&lt;&gt;"",'[1]Processer - data'!A466,"")</f>
        <v>Til energi</v>
      </c>
      <c r="B466" s="171" t="str">
        <f>IF('[1]Processer - data'!B466&lt;&gt;"",'[1]Processer - data'!B466,"")</f>
        <v/>
      </c>
      <c r="C466" s="171" t="str">
        <f>IF('[1]Processer - data'!C466&lt;&gt;"",'[1]Processer - data'!C466,"")</f>
        <v/>
      </c>
      <c r="D466" s="171" t="str">
        <f>IF('[1]Processer - data'!D466&lt;&gt;"",'[1]Processer - data'!D466,"")</f>
        <v>Pyrolysegas</v>
      </c>
      <c r="E466" s="171" t="str">
        <f>IF('[1]Processer - data'!E466&lt;&gt;"",'[1]Processer - data'!E466,"")</f>
        <v>Ton</v>
      </c>
      <c r="F466" s="171" t="str">
        <f>IF('[1]Processer - data'!F466&lt;&gt;"",'[1]Processer - data'!F466,"")</f>
        <v>Energi</v>
      </c>
      <c r="G466" s="171" t="str">
        <f>IF('[1]Processer - data'!G466&lt;&gt;"",'[1]Processer - data'!G466,"")</f>
        <v>PJ</v>
      </c>
      <c r="H466" s="289" t="e">
        <f>SUMIFS('Forbrug af biomasse'!$E$1:$E$425,'Forbrug af biomasse'!$A$1:$A$425,$F466,'Forbrug af biomasse'!$C$1:$C$425,$D466,'Forbrug af biomasse'!$B$1:$B$425,$A$1,'Forbrug af biomasse'!$D$1:$D$425,H$2)*'[1]Processer - data'!H466</f>
        <v>#REF!</v>
      </c>
      <c r="I466" s="291" t="e">
        <f>SUMIFS('Forbrug af biomasse'!$E$1:$E$425,'Forbrug af biomasse'!$A$1:$A$425,$F466,'Forbrug af biomasse'!$C$1:$C$425,$D466,'Forbrug af biomasse'!$B$1:$B$425,$A$1,'Forbrug af biomasse'!$D$1:$D$425,I$2)*'[1]Processer - data'!I466</f>
        <v>#REF!</v>
      </c>
      <c r="J466" s="292" t="e">
        <f>SUMIFS('Forbrug af biomasse'!$E$1:$E$425,'Forbrug af biomasse'!$A$1:$A$425,$F466,'Forbrug af biomasse'!$C$1:$C$425,$D466,'Forbrug af biomasse'!$B$1:$B$425,$A$1,'Forbrug af biomasse'!$D$1:$D$425,J$2)*'[1]Processer - data'!J466</f>
        <v>#REF!</v>
      </c>
    </row>
    <row r="467" spans="1:10" x14ac:dyDescent="0.25">
      <c r="A467" t="str">
        <f>IF('[1]Processer - data'!A467&lt;&gt;"",'[1]Processer - data'!A467,"")</f>
        <v>Til energi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Biogas</v>
      </c>
      <c r="E467" t="str">
        <f>IF('[1]Processer - data'!E467&lt;&gt;"",'[1]Processer - data'!E467,"")</f>
        <v>Nm3 CH4</v>
      </c>
      <c r="F467" t="str">
        <f>IF('[1]Processer - data'!F467&lt;&gt;"",'[1]Processer - data'!F467,"")</f>
        <v>Energi</v>
      </c>
      <c r="G467" t="str">
        <f>IF('[1]Processer - data'!G467&lt;&gt;"",'[1]Processer - data'!G467,"")</f>
        <v>PJ</v>
      </c>
      <c r="H467" s="286" t="e">
        <f>SUM(H433:H451)*'[1]Processer - data'!$H$467</f>
        <v>#REF!</v>
      </c>
      <c r="I467" s="287" t="e">
        <f>SUM(I433:I451)*'[1]Processer - data'!$H$467</f>
        <v>#REF!</v>
      </c>
      <c r="J467" s="288" t="e">
        <f>SUM(J433:J451)*'[1]Processer - data'!$H$467</f>
        <v>#REF!</v>
      </c>
    </row>
    <row r="468" spans="1:10" x14ac:dyDescent="0.25">
      <c r="A468" s="103" t="str">
        <f>IF('[1]Processer - data'!A468&lt;&gt;"",'[1]Processer - data'!A468,"")</f>
        <v>Proteinproces</v>
      </c>
      <c r="B468" s="103" t="str">
        <f>IF('[1]Processer - data'!B468&lt;&gt;"",'[1]Processer - data'!B468,"")</f>
        <v/>
      </c>
      <c r="C468" s="103" t="str">
        <f>IF('[1]Processer - data'!C468&lt;&gt;"",'[1]Processer - data'!C468,"")</f>
        <v/>
      </c>
      <c r="D468" s="103" t="str">
        <f>IF('[1]Processer - data'!D468&lt;&gt;"",'[1]Processer - data'!D468,"")</f>
        <v>Græs</v>
      </c>
      <c r="E468" s="103" t="str">
        <f>IF('[1]Processer - data'!E468&lt;&gt;"",'[1]Processer - data'!E468,"")</f>
        <v>Ton</v>
      </c>
      <c r="F468" s="103" t="str">
        <f>IF('[1]Processer - data'!F468&lt;&gt;"",'[1]Processer - data'!F468,"")</f>
        <v>Græsprotein</v>
      </c>
      <c r="G468" s="103" t="str">
        <f>IF('[1]Processer - data'!G468&lt;&gt;"",'[1]Processer - data'!G468,"")</f>
        <v>Ton</v>
      </c>
      <c r="H468" s="280" t="e">
        <f>SUMIFS('Forbrug af biomasse'!$E$1:$E$425,'Forbrug af biomasse'!$A$1:$A$425,$A468,'Forbrug af biomasse'!$C$1:$C$425,$D468,'Forbrug af biomasse'!$B$1:$B$425,$A$1,'Forbrug af biomasse'!$D$1:$D$425,H$2)*'[1]Processer - data'!H468</f>
        <v>#REF!</v>
      </c>
      <c r="I468" s="281" t="e">
        <f>SUMIFS('Forbrug af biomasse'!$E$1:$E$425,'Forbrug af biomasse'!$A$1:$A$425,$A468,'Forbrug af biomasse'!$C$1:$C$425,$D468,'Forbrug af biomasse'!$B$1:$B$425,$A$1,'Forbrug af biomasse'!$D$1:$D$425,I$2)*'[1]Processer - data'!I468</f>
        <v>#REF!</v>
      </c>
      <c r="J468" s="282" t="e">
        <f>SUMIFS('Forbrug af biomasse'!$E$1:$E$425,'Forbrug af biomasse'!$A$1:$A$425,$A468,'Forbrug af biomasse'!$C$1:$C$425,$D468,'Forbrug af biomasse'!$B$1:$B$425,$A$1,'Forbrug af biomasse'!$D$1:$D$425,J$2)*'[1]Processer - data'!J468</f>
        <v>#REF!</v>
      </c>
    </row>
    <row r="469" spans="1:10" x14ac:dyDescent="0.25">
      <c r="A469" s="103" t="str">
        <f>IF('[1]Processer - data'!A469&lt;&gt;"",'[1]Processer - data'!A469,"")</f>
        <v>Proteinproces</v>
      </c>
      <c r="B469" s="103" t="str">
        <f>IF('[1]Processer - data'!B469&lt;&gt;"",'[1]Processer - data'!B469,"")</f>
        <v/>
      </c>
      <c r="C469" s="103" t="str">
        <f>IF('[1]Processer - data'!C469&lt;&gt;"",'[1]Processer - data'!C469,"")</f>
        <v/>
      </c>
      <c r="D469" s="103" t="str">
        <f>IF('[1]Processer - data'!D469&lt;&gt;"",'[1]Processer - data'!D469,"")</f>
        <v>Græs</v>
      </c>
      <c r="E469" s="103" t="str">
        <f>IF('[1]Processer - data'!E469&lt;&gt;"",'[1]Processer - data'!E469,"")</f>
        <v>Ton</v>
      </c>
      <c r="F469" s="103" t="str">
        <f>IF('[1]Processer - data'!F469&lt;&gt;"",'[1]Processer - data'!F469,"")</f>
        <v>Fiberfraktion</v>
      </c>
      <c r="G469" s="103" t="str">
        <f>IF('[1]Processer - data'!G469&lt;&gt;"",'[1]Processer - data'!G469,"")</f>
        <v>Ton</v>
      </c>
      <c r="H469" s="280" t="e">
        <f>SUMIFS('Forbrug af biomasse'!$E$1:$E$425,'Forbrug af biomasse'!$A$1:$A$425,$A469,'Forbrug af biomasse'!$C$1:$C$425,$D469,'Forbrug af biomasse'!$B$1:$B$425,$A$1,'Forbrug af biomasse'!$D$1:$D$425,H$2)*'[1]Processer - data'!H469</f>
        <v>#REF!</v>
      </c>
      <c r="I469" s="281" t="e">
        <f>SUMIFS('Forbrug af biomasse'!$E$1:$E$425,'Forbrug af biomasse'!$A$1:$A$425,$A469,'Forbrug af biomasse'!$C$1:$C$425,$D469,'Forbrug af biomasse'!$B$1:$B$425,$A$1,'Forbrug af biomasse'!$D$1:$D$425,I$2)*'[1]Processer - data'!I469</f>
        <v>#REF!</v>
      </c>
      <c r="J469" s="282" t="e">
        <f>SUMIFS('Forbrug af biomasse'!$E$1:$E$425,'Forbrug af biomasse'!$A$1:$A$425,$A469,'Forbrug af biomasse'!$C$1:$C$425,$D469,'Forbrug af biomasse'!$B$1:$B$425,$A$1,'Forbrug af biomasse'!$D$1:$D$425,J$2)*'[1]Processer - data'!J469</f>
        <v>#REF!</v>
      </c>
    </row>
    <row r="470" spans="1:10" ht="15.75" thickBot="1" x14ac:dyDescent="0.3">
      <c r="A470" s="103" t="str">
        <f>IF('[1]Processer - data'!A470&lt;&gt;"",'[1]Processer - data'!A470,"")</f>
        <v>Proteinproces</v>
      </c>
      <c r="B470" s="103" t="str">
        <f>IF('[1]Processer - data'!B470&lt;&gt;"",'[1]Processer - data'!B470,"")</f>
        <v/>
      </c>
      <c r="C470" s="103" t="str">
        <f>IF('[1]Processer - data'!C470&lt;&gt;"",'[1]Processer - data'!C470,"")</f>
        <v/>
      </c>
      <c r="D470" s="103" t="str">
        <f>IF('[1]Processer - data'!D470&lt;&gt;"",'[1]Processer - data'!D470,"")</f>
        <v>Græs</v>
      </c>
      <c r="E470" s="103" t="str">
        <f>IF('[1]Processer - data'!E470&lt;&gt;"",'[1]Processer - data'!E470,"")</f>
        <v>Ton</v>
      </c>
      <c r="F470" s="103" t="str">
        <f>IF('[1]Processer - data'!F470&lt;&gt;"",'[1]Processer - data'!F470,"")</f>
        <v>Brun saft</v>
      </c>
      <c r="G470" s="103" t="str">
        <f>IF('[1]Processer - data'!G470&lt;&gt;"",'[1]Processer - data'!G470,"")</f>
        <v>PJ</v>
      </c>
      <c r="H470" s="280" t="e">
        <f>SUMIFS('Forbrug af biomasse'!$E$1:$E$425,'Forbrug af biomasse'!$A$1:$A$425,$A470,'Forbrug af biomasse'!$C$1:$C$425,$D470,'Forbrug af biomasse'!$B$1:$B$425,$A$1,'Forbrug af biomasse'!$D$1:$D$425,H$2)*'[1]Processer - data'!H470</f>
        <v>#REF!</v>
      </c>
      <c r="I470" s="281" t="e">
        <f>SUMIFS('Forbrug af biomasse'!$E$1:$E$425,'Forbrug af biomasse'!$A$1:$A$425,$A470,'Forbrug af biomasse'!$C$1:$C$425,$D470,'Forbrug af biomasse'!$B$1:$B$425,$A$1,'Forbrug af biomasse'!$D$1:$D$425,I$2)*'[1]Processer - data'!I470</f>
        <v>#REF!</v>
      </c>
      <c r="J470" s="282" t="e">
        <f>SUMIFS('Forbrug af biomasse'!$E$1:$E$425,'Forbrug af biomasse'!$A$1:$A$425,$A470,'Forbrug af biomasse'!$C$1:$C$425,$D470,'Forbrug af biomasse'!$B$1:$B$425,$A$1,'Forbrug af biomasse'!$D$1:$D$425,J$2)*'[1]Processer - data'!J470</f>
        <v>#REF!</v>
      </c>
    </row>
    <row r="471" spans="1:10" x14ac:dyDescent="0.25">
      <c r="A471" s="103" t="str">
        <f>IF('[1]Processer - data'!A471&lt;&gt;"",'[1]Processer - data'!A471,"")</f>
        <v>Rapskageproduktion</v>
      </c>
      <c r="B471" s="103" t="str">
        <f>IF('[1]Processer - data'!B471&lt;&gt;"",'[1]Processer - data'!B471,"")</f>
        <v/>
      </c>
      <c r="C471" s="103" t="str">
        <f>IF('[1]Processer - data'!C471&lt;&gt;"",'[1]Processer - data'!C471,"")</f>
        <v/>
      </c>
      <c r="D471" s="103" t="str">
        <f>IF('[1]Processer - data'!D471&lt;&gt;"",'[1]Processer - data'!D471,"")</f>
        <v>Raps</v>
      </c>
      <c r="E471" s="103" t="str">
        <f>IF('[1]Processer - data'!E471&lt;&gt;"",'[1]Processer - data'!E471,"")</f>
        <v>Ton</v>
      </c>
      <c r="F471" s="103" t="str">
        <f>IF('[1]Processer - data'!F471&lt;&gt;"",'[1]Processer - data'!F471,"")</f>
        <v>Rapskage</v>
      </c>
      <c r="G471" s="103" t="str">
        <f>IF('[1]Processer - data'!G471&lt;&gt;"",'[1]Processer - data'!G471,"")</f>
        <v>Ton</v>
      </c>
      <c r="H471" s="305" t="e">
        <f>IF($A471&lt;&gt;"",IF(VLOOKUP($A471,[1]!Table1[#All],2,FALSE)="Direkte input",IF($A471&lt;&gt;"Grøntsager i drivhus",SUMIFS('Direkte input'!G$3:G$230,'Direkte input'!$F$3:$F$230,$D471,'Direkte input'!$C$3:$C$230,$B471,'Direkte input'!$D$3:$D$230,$C471,'Direkte input'!$A$3:$A$230,$A$1),SUMIFS('Direkte input'!G$3:G$230,'Direkte input'!$F$3:$F$230,$D471,'Direkte input'!$C$3:$C$230,$B471,'Direkte input'!$A$3:$A$230,$A$1)),IF(VLOOKUP($A471,[1]!Table1[#All],2,FALSE)="Resultat",SUMIF($F$1:$F470,$D471,H$1:H470)+SUMIF($F472:$F$490,$D471,H472:H$490),0))*'[1]Processer - data'!H471,"")*IF($C471&lt;&gt;"",IF($F471="Halm",Landbrug!C$16*Landbrug!C$17,IF(LEFT($D471,5)="Areal", IF($G471="Ton",Landbrug!C$18,1),1)),1)*IF($F471="Grøntsager",IF($A471="Grøntsager i drivhus",Landbrug!C$51,1-Landbrug!C$51),1)</f>
        <v>#REF!</v>
      </c>
      <c r="I471" s="306" t="e">
        <f>IF($A471&lt;&gt;"",IF(VLOOKUP($A471,[1]!Table1[#All],2,FALSE)="Direkte input",IF($A471&lt;&gt;"Grøntsager i drivhus",SUMIFS('Direkte input'!H$3:H$230,'Direkte input'!$F$3:$F$230,$D471,'Direkte input'!$C$3:$C$230,$B471,'Direkte input'!$D$3:$D$230,$C471,'Direkte input'!$A$3:$A$230,$A$1),SUMIFS('Direkte input'!H$3:H$230,'Direkte input'!$F$3:$F$230,$D471,'Direkte input'!$C$3:$C$230,$B471,'Direkte input'!$A$3:$A$230,$A$1)),IF(VLOOKUP($A471,[1]!Table1[#All],2,FALSE)="Resultat",SUMIF($F$1:$F470,$D471,I$1:I470)+SUMIF($F472:$F$490,$D471,I472:I$490),0))*'[1]Processer - data'!I471,"")*IF($C471&lt;&gt;"",IF($F471="Halm",Landbrug!D$16*Landbrug!D$17,IF(LEFT($D471,5)="Areal", IF($G471="Ton",Landbrug!D$18,1),1)),1)*IF($F471="Grøntsager",IF($A471="Grøntsager i drivhus",Landbrug!D$51,1-Landbrug!D$51),1)</f>
        <v>#REF!</v>
      </c>
      <c r="J471" s="307" t="e">
        <f>IF($A471&lt;&gt;"",IF(VLOOKUP($A471,[1]!Table1[#All],2,FALSE)="Direkte input",IF($A471&lt;&gt;"Grøntsager i drivhus",SUMIFS('Direkte input'!I$3:I$230,'Direkte input'!$F$3:$F$230,$D471,'Direkte input'!$C$3:$C$230,$B471,'Direkte input'!$D$3:$D$230,$C471,'Direkte input'!$A$3:$A$230,$A$1),SUMIFS('Direkte input'!I$3:I$230,'Direkte input'!$F$3:$F$230,$D471,'Direkte input'!$C$3:$C$230,$B471,'Direkte input'!$A$3:$A$230,$A$1)),IF(VLOOKUP($A471,[1]!Table1[#All],2,FALSE)="Resultat",SUMIF($F$1:$F470,$D471,J$1:J470)+SUMIF($F472:$F$490,$D471,J472:J$490),0))*'[1]Processer - data'!J471,"")*IF($C471&lt;&gt;"",IF($F471="Halm",Landbrug!E$16*Landbrug!E$17,IF(LEFT($D471,5)="Areal", IF($G471="Ton",Landbrug!E$18,1),1)),1)*IF($F471="Grøntsager",IF($A471="Grøntsager i drivhus",Landbrug!E$51,1-Landbrug!E$51),1)</f>
        <v>#REF!</v>
      </c>
    </row>
    <row r="472" spans="1:10" ht="15.75" thickBot="1" x14ac:dyDescent="0.3">
      <c r="A472" s="103" t="str">
        <f>IF('[1]Processer - data'!A472&lt;&gt;"",'[1]Processer - data'!A472,"")</f>
        <v>Rapskageproduktion</v>
      </c>
      <c r="B472" s="103" t="str">
        <f>IF('[1]Processer - data'!B472&lt;&gt;"",'[1]Processer - data'!B472,"")</f>
        <v/>
      </c>
      <c r="C472" s="103" t="str">
        <f>IF('[1]Processer - data'!C472&lt;&gt;"",'[1]Processer - data'!C472,"")</f>
        <v/>
      </c>
      <c r="D472" s="103" t="str">
        <f>IF('[1]Processer - data'!D472&lt;&gt;"",'[1]Processer - data'!D472,"")</f>
        <v>Raps</v>
      </c>
      <c r="E472" s="103" t="str">
        <f>IF('[1]Processer - data'!E472&lt;&gt;"",'[1]Processer - data'!E472,"")</f>
        <v>Ton</v>
      </c>
      <c r="F472" s="103" t="str">
        <f>IF('[1]Processer - data'!F472&lt;&gt;"",'[1]Processer - data'!F472,"")</f>
        <v>Rapsolie</v>
      </c>
      <c r="G472" s="103" t="str">
        <f>IF('[1]Processer - data'!G472&lt;&gt;"",'[1]Processer - data'!G472,"")</f>
        <v>Ton</v>
      </c>
      <c r="H472" s="302" t="e">
        <f>IF($A472&lt;&gt;"",IF(VLOOKUP($A472,[1]!Table1[#All],2,FALSE)="Direkte input",IF($A472&lt;&gt;"Grøntsager i drivhus",SUMIFS('Direkte input'!G$3:G$230,'Direkte input'!$F$3:$F$230,$D472,'Direkte input'!$C$3:$C$230,$B472,'Direkte input'!$D$3:$D$230,$C472,'Direkte input'!$A$3:$A$230,$A$1),SUMIFS('Direkte input'!G$3:G$230,'Direkte input'!$F$3:$F$230,$D472,'Direkte input'!$C$3:$C$230,$B472,'Direkte input'!$A$3:$A$230,$A$1)),IF(VLOOKUP($A472,[1]!Table1[#All],2,FALSE)="Resultat",SUMIF($F$1:$F471,$D472,H$1:H471)+SUMIF($F473:$F$490,$D472,H473:H$490),0))*'[1]Processer - data'!H472,"")*IF($C472&lt;&gt;"",IF($F472="Halm",Landbrug!C$16*Landbrug!C$17,IF(LEFT($D472,5)="Areal", IF($G472="Ton",Landbrug!C$18,1),1)),1)*IF($F472="Grøntsager",IF($A472="Grøntsager i drivhus",Landbrug!C$51,1-Landbrug!C$51),1)</f>
        <v>#REF!</v>
      </c>
      <c r="I472" s="303" t="e">
        <f>IF($A472&lt;&gt;"",IF(VLOOKUP($A472,[1]!Table1[#All],2,FALSE)="Direkte input",IF($A472&lt;&gt;"Grøntsager i drivhus",SUMIFS('Direkte input'!H$3:H$230,'Direkte input'!$F$3:$F$230,$D472,'Direkte input'!$C$3:$C$230,$B472,'Direkte input'!$D$3:$D$230,$C472,'Direkte input'!$A$3:$A$230,$A$1),SUMIFS('Direkte input'!H$3:H$230,'Direkte input'!$F$3:$F$230,$D472,'Direkte input'!$C$3:$C$230,$B472,'Direkte input'!$A$3:$A$230,$A$1)),IF(VLOOKUP($A472,[1]!Table1[#All],2,FALSE)="Resultat",SUMIF($F$1:$F471,$D472,I$1:I471)+SUMIF($F473:$F$490,$D472,I473:I$490),0))*'[1]Processer - data'!I472,"")*IF($C472&lt;&gt;"",IF($F472="Halm",Landbrug!D$16*Landbrug!D$17,IF(LEFT($D472,5)="Areal", IF($G472="Ton",Landbrug!D$18,1),1)),1)*IF($F472="Grøntsager",IF($A472="Grøntsager i drivhus",Landbrug!D$51,1-Landbrug!D$51),1)</f>
        <v>#REF!</v>
      </c>
      <c r="J472" s="304" t="e">
        <f>IF($A472&lt;&gt;"",IF(VLOOKUP($A472,[1]!Table1[#All],2,FALSE)="Direkte input",IF($A472&lt;&gt;"Grøntsager i drivhus",SUMIFS('Direkte input'!I$3:I$230,'Direkte input'!$F$3:$F$230,$D472,'Direkte input'!$C$3:$C$230,$B472,'Direkte input'!$D$3:$D$230,$C472,'Direkte input'!$A$3:$A$230,$A$1),SUMIFS('Direkte input'!I$3:I$230,'Direkte input'!$F$3:$F$230,$D472,'Direkte input'!$C$3:$C$230,$B472,'Direkte input'!$A$3:$A$230,$A$1)),IF(VLOOKUP($A472,[1]!Table1[#All],2,FALSE)="Resultat",SUMIF($F$1:$F471,$D472,J$1:J471)+SUMIF($F473:$F$490,$D472,J473:J$490),0))*'[1]Processer - data'!J472,"")*IF($C472&lt;&gt;"",IF($F472="Halm",Landbrug!E$16*Landbrug!E$17,IF(LEFT($D472,5)="Areal", IF($G472="Ton",Landbrug!E$18,1),1)),1)*IF($F472="Grøntsager",IF($A472="Grøntsager i drivhus",Landbrug!E$51,1-Landbrug!E$51),1)</f>
        <v>#REF!</v>
      </c>
    </row>
    <row r="473" spans="1:10" x14ac:dyDescent="0.25">
      <c r="A473" s="103" t="str">
        <f>IF('[1]Processer - data'!A473&lt;&gt;"",'[1]Processer - data'!A473,"")</f>
        <v>Pyrolyseproces</v>
      </c>
      <c r="B473" s="103" t="str">
        <f>IF('[1]Processer - data'!B473&lt;&gt;"",'[1]Processer - data'!B473,"")</f>
        <v/>
      </c>
      <c r="C473" s="103" t="str">
        <f>IF('[1]Processer - data'!C473&lt;&gt;"",'[1]Processer - data'!C473,"")</f>
        <v/>
      </c>
      <c r="D473" s="103" t="str">
        <f>IF('[1]Processer - data'!D473&lt;&gt;"",'[1]Processer - data'!D473,"")</f>
        <v>Halm</v>
      </c>
      <c r="E473" s="103" t="str">
        <f>IF('[1]Processer - data'!E473&lt;&gt;"",'[1]Processer - data'!E473,"")</f>
        <v>Ton</v>
      </c>
      <c r="F473" s="103" t="str">
        <f>IF('[1]Processer - data'!F473&lt;&gt;"",'[1]Processer - data'!F473,"")</f>
        <v>CO2 - atmosfære</v>
      </c>
      <c r="G473" s="103" t="str">
        <f>IF('[1]Processer - data'!G473&lt;&gt;"",'[1]Processer - data'!G473,"")</f>
        <v>t CO2-ækvivalenter</v>
      </c>
      <c r="H473" s="277" t="e">
        <f>SUMIFS('Forbrug af biomasse'!$E$1:$E$425,'Forbrug af biomasse'!$A$1:$A$425,$A473,'Forbrug af biomasse'!$C$1:$C$425,$D473,'Forbrug af biomasse'!$B$1:$B$425,$A$1,'Forbrug af biomasse'!$D$1:$D$425,H$2)*'[1]Processer - data'!H473</f>
        <v>#REF!</v>
      </c>
      <c r="I473" s="278" t="e">
        <f>SUMIFS('Forbrug af biomasse'!$E$1:$E$425,'Forbrug af biomasse'!$A$1:$A$425,$A473,'Forbrug af biomasse'!$C$1:$C$425,$D473,'Forbrug af biomasse'!$B$1:$B$425,$A$1,'Forbrug af biomasse'!$D$1:$D$425,I$2)*'[1]Processer - data'!I473</f>
        <v>#REF!</v>
      </c>
      <c r="J473" s="279" t="e">
        <f>SUMIFS('Forbrug af biomasse'!$E$1:$E$425,'Forbrug af biomasse'!$A$1:$A$425,$A473,'Forbrug af biomasse'!$C$1:$C$425,$D473,'Forbrug af biomasse'!$B$1:$B$425,$A$1,'Forbrug af biomasse'!$D$1:$D$425,J$2)*'[1]Processer - data'!J473</f>
        <v>#REF!</v>
      </c>
    </row>
    <row r="474" spans="1:10" x14ac:dyDescent="0.25">
      <c r="A474" s="103" t="str">
        <f>IF('[1]Processer - data'!A474&lt;&gt;"",'[1]Processer - data'!A474,"")</f>
        <v>Pyrolyseproces</v>
      </c>
      <c r="B474" s="103" t="str">
        <f>IF('[1]Processer - data'!B474&lt;&gt;"",'[1]Processer - data'!B474,"")</f>
        <v/>
      </c>
      <c r="C474" s="103" t="str">
        <f>IF('[1]Processer - data'!C474&lt;&gt;"",'[1]Processer - data'!C474,"")</f>
        <v/>
      </c>
      <c r="D474" s="103" t="str">
        <f>IF('[1]Processer - data'!D474&lt;&gt;"",'[1]Processer - data'!D474,"")</f>
        <v>Halm</v>
      </c>
      <c r="E474" s="103" t="str">
        <f>IF('[1]Processer - data'!E474&lt;&gt;"",'[1]Processer - data'!E474,"")</f>
        <v>Ton</v>
      </c>
      <c r="F474" s="103" t="str">
        <f>IF('[1]Processer - data'!F474&lt;&gt;"",'[1]Processer - data'!F474,"")</f>
        <v>Pyrolyseolie</v>
      </c>
      <c r="G474" s="103" t="str">
        <f>IF('[1]Processer - data'!G474&lt;&gt;"",'[1]Processer - data'!G474,"")</f>
        <v>Ton</v>
      </c>
      <c r="H474" s="280" t="e">
        <f>SUMIFS('Forbrug af biomasse'!$E$1:$E$425,'Forbrug af biomasse'!$A$1:$A$425,$A474,'Forbrug af biomasse'!$C$1:$C$425,$D474,'Forbrug af biomasse'!$B$1:$B$425,$A$1,'Forbrug af biomasse'!$D$1:$D$425,H$2)*'[1]Processer - data'!H474</f>
        <v>#REF!</v>
      </c>
      <c r="I474" s="281" t="e">
        <f>SUMIFS('Forbrug af biomasse'!$E$1:$E$425,'Forbrug af biomasse'!$A$1:$A$425,$A474,'Forbrug af biomasse'!$C$1:$C$425,$D474,'Forbrug af biomasse'!$B$1:$B$425,$A$1,'Forbrug af biomasse'!$D$1:$D$425,I$2)*'[1]Processer - data'!I474</f>
        <v>#REF!</v>
      </c>
      <c r="J474" s="282" t="e">
        <f>SUMIFS('Forbrug af biomasse'!$E$1:$E$425,'Forbrug af biomasse'!$A$1:$A$425,$A474,'Forbrug af biomasse'!$C$1:$C$425,$D474,'Forbrug af biomasse'!$B$1:$B$425,$A$1,'Forbrug af biomasse'!$D$1:$D$425,J$2)*'[1]Processer - data'!J474</f>
        <v>#REF!</v>
      </c>
    </row>
    <row r="475" spans="1:10" ht="15.75" thickBot="1" x14ac:dyDescent="0.3">
      <c r="A475" s="103" t="str">
        <f>IF('[1]Processer - data'!A475&lt;&gt;"",'[1]Processer - data'!A475,"")</f>
        <v>Pyrolyseproces</v>
      </c>
      <c r="B475" s="103" t="str">
        <f>IF('[1]Processer - data'!B475&lt;&gt;"",'[1]Processer - data'!B475,"")</f>
        <v/>
      </c>
      <c r="C475" s="103" t="str">
        <f>IF('[1]Processer - data'!C475&lt;&gt;"",'[1]Processer - data'!C475,"")</f>
        <v/>
      </c>
      <c r="D475" s="103" t="str">
        <f>IF('[1]Processer - data'!D475&lt;&gt;"",'[1]Processer - data'!D475,"")</f>
        <v>Halm</v>
      </c>
      <c r="E475" s="103" t="str">
        <f>IF('[1]Processer - data'!E475&lt;&gt;"",'[1]Processer - data'!E475,"")</f>
        <v>Ton</v>
      </c>
      <c r="F475" s="103" t="str">
        <f>IF('[1]Processer - data'!F475&lt;&gt;"",'[1]Processer - data'!F475,"")</f>
        <v>Pyrolysegas</v>
      </c>
      <c r="G475" s="103" t="str">
        <f>IF('[1]Processer - data'!G475&lt;&gt;"",'[1]Processer - data'!G475,"")</f>
        <v>Ton</v>
      </c>
      <c r="H475" s="283" t="e">
        <f>SUMIFS('Forbrug af biomasse'!$E$1:$E$425,'Forbrug af biomasse'!$A$1:$A$425,$A475,'Forbrug af biomasse'!$C$1:$C$425,$D475,'Forbrug af biomasse'!$B$1:$B$425,$A$1,'Forbrug af biomasse'!$D$1:$D$425,H$2)*'[1]Processer - data'!H475</f>
        <v>#REF!</v>
      </c>
      <c r="I475" s="284" t="e">
        <f>SUMIFS('Forbrug af biomasse'!$E$1:$E$425,'Forbrug af biomasse'!$A$1:$A$425,$A475,'Forbrug af biomasse'!$C$1:$C$425,$D475,'Forbrug af biomasse'!$B$1:$B$425,$A$1,'Forbrug af biomasse'!$D$1:$D$425,I$2)*'[1]Processer - data'!I475</f>
        <v>#REF!</v>
      </c>
      <c r="J475" s="285" t="e">
        <f>SUMIFS('Forbrug af biomasse'!$E$1:$E$425,'Forbrug af biomasse'!$A$1:$A$425,$A475,'Forbrug af biomasse'!$C$1:$C$425,$D475,'Forbrug af biomasse'!$B$1:$B$425,$A$1,'Forbrug af biomasse'!$D$1:$D$425,J$2)*'[1]Processer - data'!J475</f>
        <v>#REF!</v>
      </c>
    </row>
    <row r="476" spans="1:10" x14ac:dyDescent="0.25">
      <c r="H476" s="97"/>
      <c r="I476" s="97"/>
      <c r="J476" s="97"/>
    </row>
    <row r="477" spans="1:10" x14ac:dyDescent="0.25">
      <c r="H477" s="97"/>
      <c r="I477" s="97"/>
      <c r="J477" s="97"/>
    </row>
    <row r="478" spans="1:10" x14ac:dyDescent="0.25">
      <c r="H478" s="97"/>
      <c r="I478" s="97"/>
      <c r="J478" s="97"/>
    </row>
    <row r="479" spans="1:10" x14ac:dyDescent="0.25">
      <c r="H479" s="97"/>
      <c r="I479" s="97"/>
      <c r="J479" s="97"/>
    </row>
    <row r="480" spans="1:10" x14ac:dyDescent="0.25">
      <c r="H480" s="97"/>
      <c r="I480" s="97"/>
      <c r="J480" s="97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489"/>
  <sheetViews>
    <sheetView topLeftCell="A285" zoomScale="80" zoomScaleNormal="80" workbookViewId="0">
      <selection activeCell="H300" sqref="H300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7" t="e">
        <f>'Resultater - Vestdanmark'!H3+'Resultater - Østdanmark'!H3</f>
        <v>#REF!</v>
      </c>
      <c r="I3" s="278" t="e">
        <f>'Resultater - Vestdanmark'!I3+'Resultater - Østdanmark'!I3</f>
        <v>#REF!</v>
      </c>
      <c r="J3" s="279" t="e">
        <f>'Resultater - Vestdanmark'!J3+'Resultater - Østdanmark'!J3</f>
        <v>#REF!</v>
      </c>
      <c r="L3" s="98" t="s">
        <v>112</v>
      </c>
      <c r="M3" s="98" t="e">
        <f>SUMIF($F$3:$F$487,$L$3,H$3:H$487)</f>
        <v>#REF!</v>
      </c>
      <c r="N3" s="98" t="e">
        <f>SUMIF($F$3:$F$487,$L$3,I$3:I$487)</f>
        <v>#REF!</v>
      </c>
      <c r="O3" s="98" t="e">
        <f>SUMIF($F$3:$F$487,$L$3,J$3:J$487)</f>
        <v>#REF!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80" t="e">
        <f>'Resultater - Vestdanmark'!H4+'Resultater - Østdanmark'!H4</f>
        <v>#REF!</v>
      </c>
      <c r="I4" s="281" t="e">
        <f>'Resultater - Vestdanmark'!I4+'Resultater - Østdanmark'!I4</f>
        <v>#REF!</v>
      </c>
      <c r="J4" s="282" t="e">
        <f>'Resultater - Vestdanmark'!J4+'Resultater - Østdanmark'!J4</f>
        <v>#REF!</v>
      </c>
      <c r="L4" s="98" t="s">
        <v>168</v>
      </c>
      <c r="M4" s="98" t="e">
        <f t="shared" ref="M4:O6" si="0">SUMIFS(H$3:H$487,$F$3:$F$487,$L$3,$A$3:$A$487,$L4)</f>
        <v>#REF!</v>
      </c>
      <c r="N4" s="98" t="e">
        <f t="shared" si="0"/>
        <v>#REF!</v>
      </c>
      <c r="O4" s="98" t="e">
        <f t="shared" si="0"/>
        <v>#REF!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80" t="e">
        <f>'Resultater - Vestdanmark'!H5+'Resultater - Østdanmark'!H5</f>
        <v>#REF!</v>
      </c>
      <c r="I5" s="281" t="e">
        <f>'Resultater - Vestdanmark'!I5+'Resultater - Østdanmark'!I5</f>
        <v>#REF!</v>
      </c>
      <c r="J5" s="282" t="e">
        <f>'Resultater - Vestdanmark'!J5+'Resultater - Østdanmark'!J5</f>
        <v>#REF!</v>
      </c>
      <c r="L5" s="98" t="s">
        <v>169</v>
      </c>
      <c r="M5" s="98" t="e">
        <f t="shared" si="0"/>
        <v>#REF!</v>
      </c>
      <c r="N5" s="98" t="e">
        <f t="shared" si="0"/>
        <v>#REF!</v>
      </c>
      <c r="O5" s="98" t="e">
        <f t="shared" si="0"/>
        <v>#REF!</v>
      </c>
    </row>
    <row r="6" spans="1:21" s="171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80" t="e">
        <f>'Resultater - Vestdanmark'!H6+'Resultater - Østdanmark'!H6</f>
        <v>#REF!</v>
      </c>
      <c r="I6" s="281" t="e">
        <f>'Resultater - Vestdanmark'!I6+'Resultater - Østdanmark'!I6</f>
        <v>#REF!</v>
      </c>
      <c r="J6" s="282" t="e">
        <f>'Resultater - Vestdanmark'!J6+'Resultater - Østdanmark'!J6</f>
        <v>#REF!</v>
      </c>
      <c r="L6" s="98" t="s">
        <v>170</v>
      </c>
      <c r="M6" s="98" t="e">
        <f t="shared" si="0"/>
        <v>#REF!</v>
      </c>
      <c r="N6" s="98" t="e">
        <f t="shared" si="0"/>
        <v>#REF!</v>
      </c>
      <c r="O6" s="98" t="e">
        <f t="shared" si="0"/>
        <v>#REF!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80" t="e">
        <f>'Resultater - Vestdanmark'!H7+'Resultater - Østdanmark'!H7</f>
        <v>#REF!</v>
      </c>
      <c r="I7" s="281" t="e">
        <f>'Resultater - Vestdanmark'!I7+'Resultater - Østdanmark'!I7</f>
        <v>#REF!</v>
      </c>
      <c r="J7" s="282" t="e">
        <f>'Resultater - Vestdanmark'!J7+'Resultater - Østdanmark'!J7</f>
        <v>#REF!</v>
      </c>
      <c r="L7" s="98" t="s">
        <v>42</v>
      </c>
      <c r="M7" s="98" t="e">
        <f>SUMIFS(H$3:H$487,$F$3:$F$487,$L$3,$C$3:$C$487,$L7)+SUMIFS(H$3:H$487,$F$3:$F$487,$L$3,$C$3:$C$487,"",$A$3:$A$487,"Grøntsager I drivhus")</f>
        <v>#REF!</v>
      </c>
      <c r="N7" s="98" t="e">
        <f>SUMIFS(I$3:I$487,$F$3:$F$487,$L$3,$C$3:$C$487,$L7)+SUMIFS(I$3:I$487,$F$3:$F$487,$L$3,$C$3:$C$487,"",$A$3:$A$487,"Grøntsager I drivhus")</f>
        <v>#REF!</v>
      </c>
      <c r="O7" s="98" t="e">
        <f>SUMIFS(J$3:J$487,$F$3:$F$487,$L$3,$C$3:$C$487,$L7)+SUMIFS(J$3:J$487,$F$3:$F$487,$L$3,$C$3:$C$487,"",$A$3:$A$487,"Grøntsager I drivhus")</f>
        <v>#REF!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80" t="e">
        <f>'Resultater - Vestdanmark'!H8+'Resultater - Østdanmark'!H8</f>
        <v>#REF!</v>
      </c>
      <c r="I8" s="281" t="e">
        <f>'Resultater - Vestdanmark'!I8+'Resultater - Østdanmark'!I8</f>
        <v>#REF!</v>
      </c>
      <c r="J8" s="282" t="e">
        <f>'Resultater - Vestdanmark'!J8+'Resultater - Østdanmark'!J8</f>
        <v>#REF!</v>
      </c>
      <c r="L8" s="98" t="s">
        <v>41</v>
      </c>
      <c r="M8" s="98" t="e">
        <f>SUMIFS(H$3:H$487,$F$3:$F$487,$L$3,$C$3:$C$487,$L8)+SUMIFS(H$3:H$487,$F$3:$F$487,$L$3,$C$3:$C$487,"",$A$3:$A$487,"Grøntsager I drivhus")</f>
        <v>#REF!</v>
      </c>
      <c r="N8" s="98" t="e">
        <f>SUMIFS(I$3:I$487,$F$3:$F$487,$L$3,$C$3:$C$487,$L8)+SUMIFS(I$3:I$487,$F$3:$F$487,$L$3,$C$3:$C$487,"",$A$3:$A$487,"Grøntsager I drivhus")</f>
        <v>#REF!</v>
      </c>
      <c r="O8" s="98" t="e">
        <f>SUMIFS(J$3:J$487,$F$3:$F$487,$L$3,$C$3:$C$487,$L8)</f>
        <v>#REF!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80" t="e">
        <f>'Resultater - Vestdanmark'!H9+'Resultater - Østdanmark'!H9</f>
        <v>#REF!</v>
      </c>
      <c r="I9" s="281" t="e">
        <f>'Resultater - Vestdanmark'!I9+'Resultater - Østdanmark'!I9</f>
        <v>#REF!</v>
      </c>
      <c r="J9" s="282" t="e">
        <f>'Resultater - Vestdanmark'!J9+'Resultater - Østdanmark'!J9</f>
        <v>#REF!</v>
      </c>
      <c r="L9" s="98" t="s">
        <v>40</v>
      </c>
      <c r="M9" s="98" t="e">
        <f>SUMIFS(H$3:H$487,$F$3:$F$487,$L$3,$C$3:$C$487,$L9)+SUMIFS(H$3:H$487,$F$3:$F$487,$L$3,$C$3:$C$487,"",$A$3:$A$487,"Grøntsager I drivhus")</f>
        <v>#REF!</v>
      </c>
      <c r="N9" s="98" t="e">
        <f>SUMIFS(I$3:I$487,$F$3:$F$487,$L$3,$C$3:$C$487,$L9)+SUMIFS(I$3:I$487,$F$3:$F$487,$L$3,$C$3:$C$487,"",$A$3:$A$487,"Grøntsager I drivhus")</f>
        <v>#REF!</v>
      </c>
      <c r="O9" s="98" t="e">
        <f>SUMIFS(J$3:J$487,$F$3:$F$487,$L$3,$C$3:$C$487,$L9)</f>
        <v>#REF!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80" t="e">
        <f>'Resultater - Vestdanmark'!H10+'Resultater - Østdanmark'!H10</f>
        <v>#REF!</v>
      </c>
      <c r="I10" s="281" t="e">
        <f>'Resultater - Vestdanmark'!I10+'Resultater - Østdanmark'!I10</f>
        <v>#REF!</v>
      </c>
      <c r="J10" s="282" t="e">
        <f>'Resultater - Vestdanmark'!J10+'Resultater - Østdanmark'!J10</f>
        <v>#REF!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80" t="e">
        <f>'Resultater - Vestdanmark'!H11+'Resultater - Østdanmark'!H11</f>
        <v>#REF!</v>
      </c>
      <c r="I11" s="281" t="e">
        <f>'Resultater - Vestdanmark'!I11+'Resultater - Østdanmark'!I11</f>
        <v>#REF!</v>
      </c>
      <c r="J11" s="282" t="e">
        <f>'Resultater - Vestdanmark'!J11+'Resultater - Østdanmark'!J11</f>
        <v>#REF!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80" t="e">
        <f>'Resultater - Vestdanmark'!H12+'Resultater - Østdanmark'!H12</f>
        <v>#REF!</v>
      </c>
      <c r="I12" s="281" t="e">
        <f>'Resultater - Vestdanmark'!I12+'Resultater - Østdanmark'!I12</f>
        <v>#REF!</v>
      </c>
      <c r="J12" s="282" t="e">
        <f>'Resultater - Vestdanmark'!J12+'Resultater - Østdanmark'!J12</f>
        <v>#REF!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80" t="e">
        <f>'Resultater - Vestdanmark'!H13+'Resultater - Østdanmark'!H13</f>
        <v>#REF!</v>
      </c>
      <c r="I13" s="281" t="e">
        <f>'Resultater - Vestdanmark'!I13+'Resultater - Østdanmark'!I13</f>
        <v>#REF!</v>
      </c>
      <c r="J13" s="282" t="e">
        <f>'Resultater - Vestdanmark'!J13+'Resultater - Østdanmark'!J13</f>
        <v>#REF!</v>
      </c>
    </row>
    <row r="14" spans="1:2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Skovtype1</v>
      </c>
      <c r="D14" s="98" t="str">
        <f>'Resultater - Vestdanmark'!D14</f>
        <v>Areal-skovtype1-10</v>
      </c>
      <c r="E14" s="98" t="str">
        <f>'Resultater - Vestdanmark'!E14</f>
        <v>Hektar</v>
      </c>
      <c r="F14" s="98" t="str">
        <f>'Resultater - Vestdanmark'!F14</f>
        <v>Træer</v>
      </c>
      <c r="G14" s="98" t="str">
        <f>'Resultater - Vestdanmark'!G14</f>
        <v>m3</v>
      </c>
      <c r="H14" s="280" t="e">
        <f>'Resultater - Vestdanmark'!H14+'Resultater - Østdanmark'!H14</f>
        <v>#REF!</v>
      </c>
      <c r="I14" s="281" t="e">
        <f>'Resultater - Vestdanmark'!I14+'Resultater - Østdanmark'!I14</f>
        <v>#REF!</v>
      </c>
      <c r="J14" s="282" t="e">
        <f>'Resultater - Vestdanmark'!J14+'Resultater - Østdanmark'!J14</f>
        <v>#REF!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 til energi</v>
      </c>
      <c r="G15" s="98" t="str">
        <f>'Resultater - Vestdanmark'!G15</f>
        <v>m3</v>
      </c>
      <c r="H15" s="280" t="e">
        <f>'Resultater - Vestdanmark'!H15+'Resultater - Østdanmark'!H15</f>
        <v>#REF!</v>
      </c>
      <c r="I15" s="281" t="e">
        <f>'Resultater - Vestdanmark'!I15+'Resultater - Østdanmark'!I15</f>
        <v>#REF!</v>
      </c>
      <c r="J15" s="282" t="e">
        <f>'Resultater - Vestdanmark'!J15+'Resultater - Østdanmark'!J15</f>
        <v>#REF!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CO2 - atmosfære</v>
      </c>
      <c r="G16" s="98" t="str">
        <f>'Resultater - Vestdanmark'!G16</f>
        <v>t CO2-ækvivalenter</v>
      </c>
      <c r="H16" s="280" t="e">
        <f>'Resultater - Vestdanmark'!H16+'Resultater - Østdanmark'!H16</f>
        <v>#REF!</v>
      </c>
      <c r="I16" s="281" t="e">
        <f>'Resultater - Vestdanmark'!I16+'Resultater - Østdanmark'!I16</f>
        <v>#REF!</v>
      </c>
      <c r="J16" s="282" t="e">
        <f>'Resultater - Vestdanmark'!J16+'Resultater - Østdanmark'!J16</f>
        <v>#REF!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Areal-skovtype1-20</v>
      </c>
      <c r="E17" s="98" t="str">
        <f>'Resultater - Vestdanmark'!E17</f>
        <v>Hektar</v>
      </c>
      <c r="F17" s="98" t="str">
        <f>'Resultater - Vestdanmark'!F17</f>
        <v>Træer</v>
      </c>
      <c r="G17" s="98" t="str">
        <f>'Resultater - Vestdanmark'!G17</f>
        <v>m3</v>
      </c>
      <c r="H17" s="280" t="e">
        <f>'Resultater - Vestdanmark'!H17+'Resultater - Østdanmark'!H17</f>
        <v>#REF!</v>
      </c>
      <c r="I17" s="281" t="e">
        <f>'Resultater - Vestdanmark'!I17+'Resultater - Østdanmark'!I17</f>
        <v>#REF!</v>
      </c>
      <c r="J17" s="282" t="e">
        <f>'Resultater - Vestdanmark'!J17+'Resultater - Østdanmark'!J17</f>
        <v>#REF!</v>
      </c>
    </row>
    <row r="18" spans="1:10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Areal-skovtype1-20</v>
      </c>
      <c r="E18" s="98" t="str">
        <f>'Resultater - Vestdanmark'!E18</f>
        <v>Hektar</v>
      </c>
      <c r="F18" s="98" t="str">
        <f>'Resultater - Vestdanmark'!F18</f>
        <v>Træ til energi</v>
      </c>
      <c r="G18" s="98" t="str">
        <f>'Resultater - Vestdanmark'!G18</f>
        <v>m3</v>
      </c>
      <c r="H18" s="280" t="e">
        <f>'Resultater - Vestdanmark'!H18+'Resultater - Østdanmark'!H18</f>
        <v>#REF!</v>
      </c>
      <c r="I18" s="281" t="e">
        <f>'Resultater - Vestdanmark'!I18+'Resultater - Østdanmark'!I18</f>
        <v>#REF!</v>
      </c>
      <c r="J18" s="282" t="e">
        <f>'Resultater - Vestdanmark'!J18+'Resultater - Østdanmark'!J18</f>
        <v>#REF!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CO2 - atmosfære</v>
      </c>
      <c r="G19" s="98" t="str">
        <f>'Resultater - Vestdanmark'!G19</f>
        <v>t CO2-ækvivalenter</v>
      </c>
      <c r="H19" s="280" t="e">
        <f>'Resultater - Vestdanmark'!H19+'Resultater - Østdanmark'!H19</f>
        <v>#REF!</v>
      </c>
      <c r="I19" s="281" t="e">
        <f>'Resultater - Vestdanmark'!I19+'Resultater - Østdanmark'!I19</f>
        <v>#REF!</v>
      </c>
      <c r="J19" s="282" t="e">
        <f>'Resultater - Vestdanmark'!J19+'Resultater - Østdanmark'!J19</f>
        <v>#REF!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Areal-skovtype1-30</v>
      </c>
      <c r="E20" s="98" t="str">
        <f>'Resultater - Vestdanmark'!E20</f>
        <v>Hektar</v>
      </c>
      <c r="F20" s="98" t="str">
        <f>'Resultater - Vestdanmark'!F20</f>
        <v>Træer</v>
      </c>
      <c r="G20" s="98" t="str">
        <f>'Resultater - Vestdanmark'!G20</f>
        <v>m3</v>
      </c>
      <c r="H20" s="280" t="e">
        <f>'Resultater - Vestdanmark'!H20+'Resultater - Østdanmark'!H20</f>
        <v>#REF!</v>
      </c>
      <c r="I20" s="281" t="e">
        <f>'Resultater - Vestdanmark'!I20+'Resultater - Østdanmark'!I20</f>
        <v>#REF!</v>
      </c>
      <c r="J20" s="282" t="e">
        <f>'Resultater - Vestdanmark'!J20+'Resultater - Østdanmark'!J20</f>
        <v>#REF!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Areal-skovtype1-30</v>
      </c>
      <c r="E21" s="98" t="str">
        <f>'Resultater - Vestdanmark'!E21</f>
        <v>Hektar</v>
      </c>
      <c r="F21" s="98" t="str">
        <f>'Resultater - Vestdanmark'!F21</f>
        <v>Træ til energi</v>
      </c>
      <c r="G21" s="98" t="str">
        <f>'Resultater - Vestdanmark'!G21</f>
        <v>m3</v>
      </c>
      <c r="H21" s="280" t="e">
        <f>'Resultater - Vestdanmark'!H21+'Resultater - Østdanmark'!H21</f>
        <v>#REF!</v>
      </c>
      <c r="I21" s="281" t="e">
        <f>'Resultater - Vestdanmark'!I21+'Resultater - Østdanmark'!I21</f>
        <v>#REF!</v>
      </c>
      <c r="J21" s="282" t="e">
        <f>'Resultater - Vestdanmark'!J21+'Resultater - Østdanmark'!J21</f>
        <v>#REF!</v>
      </c>
    </row>
    <row r="22" spans="1:10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Areal-skovtype1-30</v>
      </c>
      <c r="E22" s="98" t="str">
        <f>'Resultater - Vestdanmark'!E22</f>
        <v>Hektar</v>
      </c>
      <c r="F22" s="98" t="str">
        <f>'Resultater - Vestdanmark'!F22</f>
        <v>CO2 - atmosfære</v>
      </c>
      <c r="G22" s="98" t="str">
        <f>'Resultater - Vestdanmark'!G22</f>
        <v>t CO2-ækvivalenter</v>
      </c>
      <c r="H22" s="280" t="e">
        <f>'Resultater - Vestdanmark'!H22+'Resultater - Østdanmark'!H22</f>
        <v>#REF!</v>
      </c>
      <c r="I22" s="281" t="e">
        <f>'Resultater - Vestdanmark'!I22+'Resultater - Østdanmark'!I22</f>
        <v>#REF!</v>
      </c>
      <c r="J22" s="282" t="e">
        <f>'Resultater - Vestdanmark'!J22+'Resultater - Østdanmark'!J22</f>
        <v>#REF!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Areal-skovtype1-40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80" t="e">
        <f>'Resultater - Vestdanmark'!H23+'Resultater - Østdanmark'!H23</f>
        <v>#REF!</v>
      </c>
      <c r="I23" s="281" t="e">
        <f>'Resultater - Vestdanmark'!I23+'Resultater - Østdanmark'!I23</f>
        <v>#REF!</v>
      </c>
      <c r="J23" s="282" t="e">
        <f>'Resultater - Vestdanmark'!J23+'Resultater - Østdanmark'!J23</f>
        <v>#REF!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Areal-skovtype1-40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80" t="e">
        <f>'Resultater - Vestdanmark'!H24+'Resultater - Østdanmark'!H24</f>
        <v>#REF!</v>
      </c>
      <c r="I24" s="281" t="e">
        <f>'Resultater - Vestdanmark'!I24+'Resultater - Østdanmark'!I24</f>
        <v>#REF!</v>
      </c>
      <c r="J24" s="282" t="e">
        <f>'Resultater - Vestdanmark'!J24+'Resultater - Østdanmark'!J24</f>
        <v>#REF!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Areal-skovtype1-40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80" t="e">
        <f>'Resultater - Vestdanmark'!H25+'Resultater - Østdanmark'!H25</f>
        <v>#REF!</v>
      </c>
      <c r="I25" s="281" t="e">
        <f>'Resultater - Vestdanmark'!I25+'Resultater - Østdanmark'!I25</f>
        <v>#REF!</v>
      </c>
      <c r="J25" s="282" t="e">
        <f>'Resultater - Vestdanmark'!J25+'Resultater - Østdanmark'!J25</f>
        <v>#REF!</v>
      </c>
    </row>
    <row r="26" spans="1:10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Skovtype2</v>
      </c>
      <c r="D26" s="98" t="str">
        <f>'Resultater - Vestdanmark'!D26</f>
        <v>Areal-skovtype2-10</v>
      </c>
      <c r="E26" s="98" t="str">
        <f>'Resultater - Vestdanmark'!E26</f>
        <v>Hektar</v>
      </c>
      <c r="F26" s="98" t="str">
        <f>'Resultater - Vestdanmark'!F26</f>
        <v>Træer</v>
      </c>
      <c r="G26" s="98" t="str">
        <f>'Resultater - Vestdanmark'!G26</f>
        <v>m3</v>
      </c>
      <c r="H26" s="280" t="e">
        <f>'Resultater - Vestdanmark'!H26+'Resultater - Østdanmark'!H26</f>
        <v>#REF!</v>
      </c>
      <c r="I26" s="281" t="e">
        <f>'Resultater - Vestdanmark'!I26+'Resultater - Østdanmark'!I26</f>
        <v>#REF!</v>
      </c>
      <c r="J26" s="282" t="e">
        <f>'Resultater - Vestdanmark'!J26+'Resultater - Østdanmark'!J26</f>
        <v>#REF!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Skovtype2</v>
      </c>
      <c r="D27" s="98" t="str">
        <f>'Resultater - Vestdanmark'!D27</f>
        <v>Areal-skovtype2-10</v>
      </c>
      <c r="E27" s="98" t="str">
        <f>'Resultater - Vestdanmark'!E27</f>
        <v>Hektar</v>
      </c>
      <c r="F27" s="98" t="str">
        <f>'Resultater - Vestdanmark'!F27</f>
        <v>Træ til energi</v>
      </c>
      <c r="G27" s="98" t="str">
        <f>'Resultater - Vestdanmark'!G27</f>
        <v>m3</v>
      </c>
      <c r="H27" s="280" t="e">
        <f>'Resultater - Vestdanmark'!H27+'Resultater - Østdanmark'!H27</f>
        <v>#REF!</v>
      </c>
      <c r="I27" s="281" t="e">
        <f>'Resultater - Vestdanmark'!I27+'Resultater - Østdanmark'!I27</f>
        <v>#REF!</v>
      </c>
      <c r="J27" s="282" t="e">
        <f>'Resultater - Vestdanmark'!J27+'Resultater - Østdanmark'!J27</f>
        <v>#REF!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Skovtype2</v>
      </c>
      <c r="D28" s="98" t="str">
        <f>'Resultater - Vestdanmark'!D28</f>
        <v>Areal-skovtype2-10</v>
      </c>
      <c r="E28" s="98" t="str">
        <f>'Resultater - Vestdanmark'!E28</f>
        <v>Hektar</v>
      </c>
      <c r="F28" s="98" t="str">
        <f>'Resultater - Vestdanmark'!F28</f>
        <v>CO2 - atmosfære</v>
      </c>
      <c r="G28" s="98" t="str">
        <f>'Resultater - Vestdanmark'!G28</f>
        <v>t CO2-ækvivalenter</v>
      </c>
      <c r="H28" s="280" t="e">
        <f>'Resultater - Vestdanmark'!H28+'Resultater - Østdanmark'!H28</f>
        <v>#REF!</v>
      </c>
      <c r="I28" s="281" t="e">
        <f>'Resultater - Vestdanmark'!I28+'Resultater - Østdanmark'!I28</f>
        <v>#REF!</v>
      </c>
      <c r="J28" s="282" t="e">
        <f>'Resultater - Vestdanmark'!J28+'Resultater - Østdanmark'!J28</f>
        <v>#REF!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Skovtype2</v>
      </c>
      <c r="D29" s="98" t="str">
        <f>'Resultater - Vestdanmark'!D29</f>
        <v>Areal-skovtype2-20</v>
      </c>
      <c r="E29" s="98" t="str">
        <f>'Resultater - Vestdanmark'!E29</f>
        <v>Hektar</v>
      </c>
      <c r="F29" s="98" t="str">
        <f>'Resultater - Vestdanmark'!F29</f>
        <v>Træer</v>
      </c>
      <c r="G29" s="98" t="str">
        <f>'Resultater - Vestdanmark'!G29</f>
        <v>m3</v>
      </c>
      <c r="H29" s="280" t="e">
        <f>'Resultater - Vestdanmark'!H29+'Resultater - Østdanmark'!H29</f>
        <v>#REF!</v>
      </c>
      <c r="I29" s="281" t="e">
        <f>'Resultater - Vestdanmark'!I29+'Resultater - Østdanmark'!I29</f>
        <v>#REF!</v>
      </c>
      <c r="J29" s="282" t="e">
        <f>'Resultater - Vestdanmark'!J29+'Resultater - Østdanmark'!J29</f>
        <v>#REF!</v>
      </c>
    </row>
    <row r="30" spans="1:10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Skovtype2</v>
      </c>
      <c r="D30" s="98" t="str">
        <f>'Resultater - Vestdanmark'!D30</f>
        <v>Areal-skovtype2-20</v>
      </c>
      <c r="E30" s="98" t="str">
        <f>'Resultater - Vestdanmark'!E30</f>
        <v>Hektar</v>
      </c>
      <c r="F30" s="98" t="str">
        <f>'Resultater - Vestdanmark'!F30</f>
        <v>Træ til energi</v>
      </c>
      <c r="G30" s="98" t="str">
        <f>'Resultater - Vestdanmark'!G30</f>
        <v>m3</v>
      </c>
      <c r="H30" s="280" t="e">
        <f>'Resultater - Vestdanmark'!H30+'Resultater - Østdanmark'!H30</f>
        <v>#REF!</v>
      </c>
      <c r="I30" s="281" t="e">
        <f>'Resultater - Vestdanmark'!I30+'Resultater - Østdanmark'!I30</f>
        <v>#REF!</v>
      </c>
      <c r="J30" s="282" t="e">
        <f>'Resultater - Vestdanmark'!J30+'Resultater - Østdanmark'!J30</f>
        <v>#REF!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Areal-skovtype2-20</v>
      </c>
      <c r="E31" s="98" t="str">
        <f>'Resultater - Vestdanmark'!E31</f>
        <v>Hektar</v>
      </c>
      <c r="F31" s="98" t="str">
        <f>'Resultater - Vestdanmark'!F31</f>
        <v>CO2 - atmosfære</v>
      </c>
      <c r="G31" s="98" t="str">
        <f>'Resultater - Vestdanmark'!G31</f>
        <v>t CO2-ækvivalenter</v>
      </c>
      <c r="H31" s="280" t="e">
        <f>'Resultater - Vestdanmark'!H31+'Resultater - Østdanmark'!H31</f>
        <v>#REF!</v>
      </c>
      <c r="I31" s="281" t="e">
        <f>'Resultater - Vestdanmark'!I31+'Resultater - Østdanmark'!I31</f>
        <v>#REF!</v>
      </c>
      <c r="J31" s="282" t="e">
        <f>'Resultater - Vestdanmark'!J31+'Resultater - Østdanmark'!J31</f>
        <v>#REF!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Areal-skovtype2-30</v>
      </c>
      <c r="E32" s="98" t="str">
        <f>'Resultater - Vestdanmark'!E32</f>
        <v>Hektar</v>
      </c>
      <c r="F32" s="98" t="str">
        <f>'Resultater - Vestdanmark'!F32</f>
        <v>Træer</v>
      </c>
      <c r="G32" s="98" t="str">
        <f>'Resultater - Vestdanmark'!G32</f>
        <v>m3</v>
      </c>
      <c r="H32" s="280" t="e">
        <f>'Resultater - Vestdanmark'!H32+'Resultater - Østdanmark'!H32</f>
        <v>#REF!</v>
      </c>
      <c r="I32" s="281" t="e">
        <f>'Resultater - Vestdanmark'!I32+'Resultater - Østdanmark'!I32</f>
        <v>#REF!</v>
      </c>
      <c r="J32" s="282" t="e">
        <f>'Resultater - Vestdanmark'!J32+'Resultater - Østdanmark'!J32</f>
        <v>#REF!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Areal-skovtype2-30</v>
      </c>
      <c r="E33" s="98" t="str">
        <f>'Resultater - Vestdanmark'!E33</f>
        <v>Hektar</v>
      </c>
      <c r="F33" s="98" t="str">
        <f>'Resultater - Vestdanmark'!F33</f>
        <v>Træ til energi</v>
      </c>
      <c r="G33" s="98" t="str">
        <f>'Resultater - Vestdanmark'!G33</f>
        <v>m3</v>
      </c>
      <c r="H33" s="280" t="e">
        <f>'Resultater - Vestdanmark'!H33+'Resultater - Østdanmark'!H33</f>
        <v>#REF!</v>
      </c>
      <c r="I33" s="281" t="e">
        <f>'Resultater - Vestdanmark'!I33+'Resultater - Østdanmark'!I33</f>
        <v>#REF!</v>
      </c>
      <c r="J33" s="282" t="e">
        <f>'Resultater - Vestdanmark'!J33+'Resultater - Østdanmark'!J33</f>
        <v>#REF!</v>
      </c>
    </row>
    <row r="34" spans="1:10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Areal-skovtype2-30</v>
      </c>
      <c r="E34" s="98" t="str">
        <f>'Resultater - Vestdanmark'!E34</f>
        <v>Hektar</v>
      </c>
      <c r="F34" s="98" t="str">
        <f>'Resultater - Vestdanmark'!F34</f>
        <v>CO2 - atmosfære</v>
      </c>
      <c r="G34" s="98" t="str">
        <f>'Resultater - Vestdanmark'!G34</f>
        <v>t CO2-ækvivalenter</v>
      </c>
      <c r="H34" s="280" t="e">
        <f>'Resultater - Vestdanmark'!H34+'Resultater - Østdanmark'!H34</f>
        <v>#REF!</v>
      </c>
      <c r="I34" s="281" t="e">
        <f>'Resultater - Vestdanmark'!I34+'Resultater - Østdanmark'!I34</f>
        <v>#REF!</v>
      </c>
      <c r="J34" s="282" t="e">
        <f>'Resultater - Vestdanmark'!J34+'Resultater - Østdanmark'!J34</f>
        <v>#REF!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Areal-skovtype2-40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80" t="e">
        <f>'Resultater - Vestdanmark'!H35+'Resultater - Østdanmark'!H35</f>
        <v>#REF!</v>
      </c>
      <c r="I35" s="281" t="e">
        <f>'Resultater - Vestdanmark'!I35+'Resultater - Østdanmark'!I35</f>
        <v>#REF!</v>
      </c>
      <c r="J35" s="282" t="e">
        <f>'Resultater - Vestdanmark'!J35+'Resultater - Østdanmark'!J35</f>
        <v>#REF!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Areal-skovtype2-40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80" t="e">
        <f>'Resultater - Vestdanmark'!H36+'Resultater - Østdanmark'!H36</f>
        <v>#REF!</v>
      </c>
      <c r="I36" s="281" t="e">
        <f>'Resultater - Vestdanmark'!I36+'Resultater - Østdanmark'!I36</f>
        <v>#REF!</v>
      </c>
      <c r="J36" s="282" t="e">
        <f>'Resultater - Vestdanmark'!J36+'Resultater - Østdanmark'!J36</f>
        <v>#REF!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Areal-skovtype2-40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80" t="e">
        <f>'Resultater - Vestdanmark'!H37+'Resultater - Østdanmark'!H37</f>
        <v>#REF!</v>
      </c>
      <c r="I37" s="281" t="e">
        <f>'Resultater - Vestdanmark'!I37+'Resultater - Østdanmark'!I37</f>
        <v>#REF!</v>
      </c>
      <c r="J37" s="282" t="e">
        <f>'Resultater - Vestdanmark'!J37+'Resultater - Østdanmark'!J37</f>
        <v>#REF!</v>
      </c>
    </row>
    <row r="38" spans="1:10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Skovtype3</v>
      </c>
      <c r="D38" s="98" t="str">
        <f>'Resultater - Vestdanmark'!D38</f>
        <v>Areal-skovtype3-10</v>
      </c>
      <c r="E38" s="98" t="str">
        <f>'Resultater - Vestdanmark'!E38</f>
        <v>Hektar</v>
      </c>
      <c r="F38" s="98" t="str">
        <f>'Resultater - Vestdanmark'!F38</f>
        <v>Træer</v>
      </c>
      <c r="G38" s="98" t="str">
        <f>'Resultater - Vestdanmark'!G38</f>
        <v>m3</v>
      </c>
      <c r="H38" s="280" t="e">
        <f>'Resultater - Vestdanmark'!H38+'Resultater - Østdanmark'!H38</f>
        <v>#REF!</v>
      </c>
      <c r="I38" s="281" t="e">
        <f>'Resultater - Vestdanmark'!I38+'Resultater - Østdanmark'!I38</f>
        <v>#REF!</v>
      </c>
      <c r="J38" s="282" t="e">
        <f>'Resultater - Vestdanmark'!J38+'Resultater - Østdanmark'!J38</f>
        <v>#REF!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Skovtype3</v>
      </c>
      <c r="D39" s="98" t="str">
        <f>'Resultater - Vestdanmark'!D39</f>
        <v>Areal-skovtype3-10</v>
      </c>
      <c r="E39" s="98" t="str">
        <f>'Resultater - Vestdanmark'!E39</f>
        <v>Hektar</v>
      </c>
      <c r="F39" s="98" t="str">
        <f>'Resultater - Vestdanmark'!F39</f>
        <v>Træ til energi</v>
      </c>
      <c r="G39" s="98" t="str">
        <f>'Resultater - Vestdanmark'!G39</f>
        <v>m3</v>
      </c>
      <c r="H39" s="280" t="e">
        <f>'Resultater - Vestdanmark'!H39+'Resultater - Østdanmark'!H39</f>
        <v>#REF!</v>
      </c>
      <c r="I39" s="281" t="e">
        <f>'Resultater - Vestdanmark'!I39+'Resultater - Østdanmark'!I39</f>
        <v>#REF!</v>
      </c>
      <c r="J39" s="282" t="e">
        <f>'Resultater - Vestdanmark'!J39+'Resultater - Østdanmark'!J39</f>
        <v>#REF!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Skovtype3</v>
      </c>
      <c r="D40" s="98" t="str">
        <f>'Resultater - Vestdanmark'!D40</f>
        <v>Areal-skovtype3-10</v>
      </c>
      <c r="E40" s="98" t="str">
        <f>'Resultater - Vestdanmark'!E40</f>
        <v>Hektar</v>
      </c>
      <c r="F40" s="98" t="str">
        <f>'Resultater - Vestdanmark'!F40</f>
        <v>CO2 - atmosfære</v>
      </c>
      <c r="G40" s="98" t="str">
        <f>'Resultater - Vestdanmark'!G40</f>
        <v>t CO2-ækvivalenter</v>
      </c>
      <c r="H40" s="280" t="e">
        <f>'Resultater - Vestdanmark'!H40+'Resultater - Østdanmark'!H40</f>
        <v>#REF!</v>
      </c>
      <c r="I40" s="281" t="e">
        <f>'Resultater - Vestdanmark'!I40+'Resultater - Østdanmark'!I40</f>
        <v>#REF!</v>
      </c>
      <c r="J40" s="282" t="e">
        <f>'Resultater - Vestdanmark'!J40+'Resultater - Østdanmark'!J40</f>
        <v>#REF!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Skovtype3</v>
      </c>
      <c r="D41" s="98" t="str">
        <f>'Resultater - Vestdanmark'!D41</f>
        <v>Areal-skovtype3-20</v>
      </c>
      <c r="E41" s="98" t="str">
        <f>'Resultater - Vestdanmark'!E41</f>
        <v>Hektar</v>
      </c>
      <c r="F41" s="98" t="str">
        <f>'Resultater - Vestdanmark'!F41</f>
        <v>Træer</v>
      </c>
      <c r="G41" s="98" t="str">
        <f>'Resultater - Vestdanmark'!G41</f>
        <v>m3</v>
      </c>
      <c r="H41" s="280" t="e">
        <f>'Resultater - Vestdanmark'!H41+'Resultater - Østdanmark'!H41</f>
        <v>#REF!</v>
      </c>
      <c r="I41" s="281" t="e">
        <f>'Resultater - Vestdanmark'!I41+'Resultater - Østdanmark'!I41</f>
        <v>#REF!</v>
      </c>
      <c r="J41" s="282" t="e">
        <f>'Resultater - Vestdanmark'!J41+'Resultater - Østdanmark'!J41</f>
        <v>#REF!</v>
      </c>
    </row>
    <row r="42" spans="1:10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Skovtype3</v>
      </c>
      <c r="D42" s="98" t="str">
        <f>'Resultater - Vestdanmark'!D42</f>
        <v>Areal-skovtype3-20</v>
      </c>
      <c r="E42" s="98" t="str">
        <f>'Resultater - Vestdanmark'!E42</f>
        <v>Hektar</v>
      </c>
      <c r="F42" s="98" t="str">
        <f>'Resultater - Vestdanmark'!F42</f>
        <v>Træ til energi</v>
      </c>
      <c r="G42" s="98" t="str">
        <f>'Resultater - Vestdanmark'!G42</f>
        <v>m3</v>
      </c>
      <c r="H42" s="280" t="e">
        <f>'Resultater - Vestdanmark'!H42+'Resultater - Østdanmark'!H42</f>
        <v>#REF!</v>
      </c>
      <c r="I42" s="281" t="e">
        <f>'Resultater - Vestdanmark'!I42+'Resultater - Østdanmark'!I42</f>
        <v>#REF!</v>
      </c>
      <c r="J42" s="282" t="e">
        <f>'Resultater - Vestdanmark'!J42+'Resultater - Østdanmark'!J42</f>
        <v>#REF!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Skovtype3</v>
      </c>
      <c r="D43" s="98" t="str">
        <f>'Resultater - Vestdanmark'!D43</f>
        <v>Areal-skovtype3-20</v>
      </c>
      <c r="E43" s="98" t="str">
        <f>'Resultater - Vestdanmark'!E43</f>
        <v>Hektar</v>
      </c>
      <c r="F43" s="98" t="str">
        <f>'Resultater - Vestdanmark'!F43</f>
        <v>CO2 - atmosfære</v>
      </c>
      <c r="G43" s="98" t="str">
        <f>'Resultater - Vestdanmark'!G43</f>
        <v>t CO2-ækvivalenter</v>
      </c>
      <c r="H43" s="280" t="e">
        <f>'Resultater - Vestdanmark'!H43+'Resultater - Østdanmark'!H43</f>
        <v>#REF!</v>
      </c>
      <c r="I43" s="281" t="e">
        <f>'Resultater - Vestdanmark'!I43+'Resultater - Østdanmark'!I43</f>
        <v>#REF!</v>
      </c>
      <c r="J43" s="282" t="e">
        <f>'Resultater - Vestdanmark'!J43+'Resultater - Østdanmark'!J43</f>
        <v>#REF!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Skovtype3</v>
      </c>
      <c r="D44" s="98" t="str">
        <f>'Resultater - Vestdanmark'!D44</f>
        <v>Areal-skovtype3-30</v>
      </c>
      <c r="E44" s="98" t="str">
        <f>'Resultater - Vestdanmark'!E44</f>
        <v>Hektar</v>
      </c>
      <c r="F44" s="98" t="str">
        <f>'Resultater - Vestdanmark'!F44</f>
        <v>Træer</v>
      </c>
      <c r="G44" s="98" t="str">
        <f>'Resultater - Vestdanmark'!G44</f>
        <v>m3</v>
      </c>
      <c r="H44" s="280" t="e">
        <f>'Resultater - Vestdanmark'!H44+'Resultater - Østdanmark'!H44</f>
        <v>#REF!</v>
      </c>
      <c r="I44" s="281" t="e">
        <f>'Resultater - Vestdanmark'!I44+'Resultater - Østdanmark'!I44</f>
        <v>#REF!</v>
      </c>
      <c r="J44" s="282" t="e">
        <f>'Resultater - Vestdanmark'!J44+'Resultater - Østdanmark'!J44</f>
        <v>#REF!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Skovtype3</v>
      </c>
      <c r="D45" s="98" t="str">
        <f>'Resultater - Vestdanmark'!D45</f>
        <v>Areal-skovtype3-30</v>
      </c>
      <c r="E45" s="98" t="str">
        <f>'Resultater - Vestdanmark'!E45</f>
        <v>Hektar</v>
      </c>
      <c r="F45" s="98" t="str">
        <f>'Resultater - Vestdanmark'!F45</f>
        <v>Træ til energi</v>
      </c>
      <c r="G45" s="98" t="str">
        <f>'Resultater - Vestdanmark'!G45</f>
        <v>m3</v>
      </c>
      <c r="H45" s="280" t="e">
        <f>'Resultater - Vestdanmark'!H45+'Resultater - Østdanmark'!H45</f>
        <v>#REF!</v>
      </c>
      <c r="I45" s="281" t="e">
        <f>'Resultater - Vestdanmark'!I45+'Resultater - Østdanmark'!I45</f>
        <v>#REF!</v>
      </c>
      <c r="J45" s="282" t="e">
        <f>'Resultater - Vestdanmark'!J45+'Resultater - Østdanmark'!J45</f>
        <v>#REF!</v>
      </c>
    </row>
    <row r="46" spans="1:10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Skovtype3</v>
      </c>
      <c r="D46" s="98" t="str">
        <f>'Resultater - Vestdanmark'!D46</f>
        <v>Areal-skovtype3-30</v>
      </c>
      <c r="E46" s="98" t="str">
        <f>'Resultater - Vestdanmark'!E46</f>
        <v>Hektar</v>
      </c>
      <c r="F46" s="98" t="str">
        <f>'Resultater - Vestdanmark'!F46</f>
        <v>CO2 - atmosfære</v>
      </c>
      <c r="G46" s="98" t="str">
        <f>'Resultater - Vestdanmark'!G46</f>
        <v>t CO2-ækvivalenter</v>
      </c>
      <c r="H46" s="280" t="e">
        <f>'Resultater - Vestdanmark'!H46+'Resultater - Østdanmark'!H46</f>
        <v>#REF!</v>
      </c>
      <c r="I46" s="281" t="e">
        <f>'Resultater - Vestdanmark'!I46+'Resultater - Østdanmark'!I46</f>
        <v>#REF!</v>
      </c>
      <c r="J46" s="282" t="e">
        <f>'Resultater - Vestdanmark'!J46+'Resultater - Østdanmark'!J46</f>
        <v>#REF!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Areal-skovtype3-40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80" t="e">
        <f>'Resultater - Vestdanmark'!H47+'Resultater - Østdanmark'!H47</f>
        <v>#REF!</v>
      </c>
      <c r="I47" s="281" t="e">
        <f>'Resultater - Vestdanmark'!I47+'Resultater - Østdanmark'!I47</f>
        <v>#REF!</v>
      </c>
      <c r="J47" s="282" t="e">
        <f>'Resultater - Vestdanmark'!J47+'Resultater - Østdanmark'!J47</f>
        <v>#REF!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Areal-skovtype3-40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80" t="e">
        <f>'Resultater - Vestdanmark'!H48+'Resultater - Østdanmark'!H48</f>
        <v>#REF!</v>
      </c>
      <c r="I48" s="281" t="e">
        <f>'Resultater - Vestdanmark'!I48+'Resultater - Østdanmark'!I48</f>
        <v>#REF!</v>
      </c>
      <c r="J48" s="282" t="e">
        <f>'Resultater - Vestdanmark'!J48+'Resultater - Østdanmark'!J48</f>
        <v>#REF!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Areal-skovtype3-40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80" t="e">
        <f>'Resultater - Vestdanmark'!H49+'Resultater - Østdanmark'!H49</f>
        <v>#REF!</v>
      </c>
      <c r="I49" s="281" t="e">
        <f>'Resultater - Vestdanmark'!I49+'Resultater - Østdanmark'!I49</f>
        <v>#REF!</v>
      </c>
      <c r="J49" s="282" t="e">
        <f>'Resultater - Vestdanmark'!J49+'Resultater - Østdanmark'!J49</f>
        <v>#REF!</v>
      </c>
    </row>
    <row r="50" spans="1:10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Skovtype4</v>
      </c>
      <c r="D50" s="98" t="str">
        <f>'Resultater - Vestdanmark'!D50</f>
        <v>Areal-skovtype4-10</v>
      </c>
      <c r="E50" s="98" t="str">
        <f>'Resultater - Vestdanmark'!E50</f>
        <v>Hektar</v>
      </c>
      <c r="F50" s="98" t="str">
        <f>'Resultater - Vestdanmark'!F50</f>
        <v>Træer</v>
      </c>
      <c r="G50" s="98" t="str">
        <f>'Resultater - Vestdanmark'!G50</f>
        <v>m3</v>
      </c>
      <c r="H50" s="280" t="e">
        <f>'Resultater - Vestdanmark'!H50+'Resultater - Østdanmark'!H50</f>
        <v>#REF!</v>
      </c>
      <c r="I50" s="281" t="e">
        <f>'Resultater - Vestdanmark'!I50+'Resultater - Østdanmark'!I50</f>
        <v>#REF!</v>
      </c>
      <c r="J50" s="282" t="e">
        <f>'Resultater - Vestdanmark'!J50+'Resultater - Østdanmark'!J50</f>
        <v>#REF!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Skovtype4</v>
      </c>
      <c r="D51" s="98" t="str">
        <f>'Resultater - Vestdanmark'!D51</f>
        <v>Areal-skovtype4-10</v>
      </c>
      <c r="E51" s="98" t="str">
        <f>'Resultater - Vestdanmark'!E51</f>
        <v>Hektar</v>
      </c>
      <c r="F51" s="98" t="str">
        <f>'Resultater - Vestdanmark'!F51</f>
        <v>Træ til energi</v>
      </c>
      <c r="G51" s="98" t="str">
        <f>'Resultater - Vestdanmark'!G51</f>
        <v>m3</v>
      </c>
      <c r="H51" s="280" t="e">
        <f>'Resultater - Vestdanmark'!H51+'Resultater - Østdanmark'!H51</f>
        <v>#REF!</v>
      </c>
      <c r="I51" s="281" t="e">
        <f>'Resultater - Vestdanmark'!I51+'Resultater - Østdanmark'!I51</f>
        <v>#REF!</v>
      </c>
      <c r="J51" s="282" t="e">
        <f>'Resultater - Vestdanmark'!J51+'Resultater - Østdanmark'!J51</f>
        <v>#REF!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Skovtype4</v>
      </c>
      <c r="D52" s="98" t="str">
        <f>'Resultater - Vestdanmark'!D52</f>
        <v>Areal-skovtype4-10</v>
      </c>
      <c r="E52" s="98" t="str">
        <f>'Resultater - Vestdanmark'!E52</f>
        <v>Hektar</v>
      </c>
      <c r="F52" s="98" t="str">
        <f>'Resultater - Vestdanmark'!F52</f>
        <v>CO2 - atmosfære</v>
      </c>
      <c r="G52" s="98" t="str">
        <f>'Resultater - Vestdanmark'!G52</f>
        <v>t CO2-ækvivalenter</v>
      </c>
      <c r="H52" s="280" t="e">
        <f>'Resultater - Vestdanmark'!H52+'Resultater - Østdanmark'!H52</f>
        <v>#REF!</v>
      </c>
      <c r="I52" s="281" t="e">
        <f>'Resultater - Vestdanmark'!I52+'Resultater - Østdanmark'!I52</f>
        <v>#REF!</v>
      </c>
      <c r="J52" s="282" t="e">
        <f>'Resultater - Vestdanmark'!J52+'Resultater - Østdanmark'!J52</f>
        <v>#REF!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Skovtype4</v>
      </c>
      <c r="D53" s="98" t="str">
        <f>'Resultater - Vestdanmark'!D53</f>
        <v>Areal-skovtype4-20</v>
      </c>
      <c r="E53" s="98" t="str">
        <f>'Resultater - Vestdanmark'!E53</f>
        <v>Hektar</v>
      </c>
      <c r="F53" s="98" t="str">
        <f>'Resultater - Vestdanmark'!F53</f>
        <v>Træer</v>
      </c>
      <c r="G53" s="98" t="str">
        <f>'Resultater - Vestdanmark'!G53</f>
        <v>m3</v>
      </c>
      <c r="H53" s="280" t="e">
        <f>'Resultater - Vestdanmark'!H53+'Resultater - Østdanmark'!H53</f>
        <v>#REF!</v>
      </c>
      <c r="I53" s="281" t="e">
        <f>'Resultater - Vestdanmark'!I53+'Resultater - Østdanmark'!I53</f>
        <v>#REF!</v>
      </c>
      <c r="J53" s="282" t="e">
        <f>'Resultater - Vestdanmark'!J53+'Resultater - Østdanmark'!J53</f>
        <v>#REF!</v>
      </c>
    </row>
    <row r="54" spans="1:10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Skovtype4</v>
      </c>
      <c r="D54" s="98" t="str">
        <f>'Resultater - Vestdanmark'!D54</f>
        <v>Areal-skovtype4-20</v>
      </c>
      <c r="E54" s="98" t="str">
        <f>'Resultater - Vestdanmark'!E54</f>
        <v>Hektar</v>
      </c>
      <c r="F54" s="98" t="str">
        <f>'Resultater - Vestdanmark'!F54</f>
        <v>Træ til energi</v>
      </c>
      <c r="G54" s="98" t="str">
        <f>'Resultater - Vestdanmark'!G54</f>
        <v>m3</v>
      </c>
      <c r="H54" s="280" t="e">
        <f>'Resultater - Vestdanmark'!H54+'Resultater - Østdanmark'!H54</f>
        <v>#REF!</v>
      </c>
      <c r="I54" s="281" t="e">
        <f>'Resultater - Vestdanmark'!I54+'Resultater - Østdanmark'!I54</f>
        <v>#REF!</v>
      </c>
      <c r="J54" s="282" t="e">
        <f>'Resultater - Vestdanmark'!J54+'Resultater - Østdanmark'!J54</f>
        <v>#REF!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Skovtype4</v>
      </c>
      <c r="D55" s="98" t="str">
        <f>'Resultater - Vestdanmark'!D55</f>
        <v>Areal-skovtype4-20</v>
      </c>
      <c r="E55" s="98" t="str">
        <f>'Resultater - Vestdanmark'!E55</f>
        <v>Hektar</v>
      </c>
      <c r="F55" s="98" t="str">
        <f>'Resultater - Vestdanmark'!F55</f>
        <v>CO2 - atmosfære</v>
      </c>
      <c r="G55" s="98" t="str">
        <f>'Resultater - Vestdanmark'!G55</f>
        <v>t CO2-ækvivalenter</v>
      </c>
      <c r="H55" s="280" t="e">
        <f>'Resultater - Vestdanmark'!H55+'Resultater - Østdanmark'!H55</f>
        <v>#REF!</v>
      </c>
      <c r="I55" s="281" t="e">
        <f>'Resultater - Vestdanmark'!I55+'Resultater - Østdanmark'!I55</f>
        <v>#REF!</v>
      </c>
      <c r="J55" s="282" t="e">
        <f>'Resultater - Vestdanmark'!J55+'Resultater - Østdanmark'!J55</f>
        <v>#REF!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Skovtype4</v>
      </c>
      <c r="D56" s="98" t="str">
        <f>'Resultater - Vestdanmark'!D56</f>
        <v>Areal-skovtype4-30</v>
      </c>
      <c r="E56" s="98" t="str">
        <f>'Resultater - Vestdanmark'!E56</f>
        <v>Hektar</v>
      </c>
      <c r="F56" s="98" t="str">
        <f>'Resultater - Vestdanmark'!F56</f>
        <v>Træer</v>
      </c>
      <c r="G56" s="98" t="str">
        <f>'Resultater - Vestdanmark'!G56</f>
        <v>m3</v>
      </c>
      <c r="H56" s="280" t="e">
        <f>'Resultater - Vestdanmark'!H56+'Resultater - Østdanmark'!H56</f>
        <v>#REF!</v>
      </c>
      <c r="I56" s="281" t="e">
        <f>'Resultater - Vestdanmark'!I56+'Resultater - Østdanmark'!I56</f>
        <v>#REF!</v>
      </c>
      <c r="J56" s="282" t="e">
        <f>'Resultater - Vestdanmark'!J56+'Resultater - Østdanmark'!J56</f>
        <v>#REF!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Skovtype4</v>
      </c>
      <c r="D57" s="98" t="str">
        <f>'Resultater - Vestdanmark'!D57</f>
        <v>Areal-skovtype4-30</v>
      </c>
      <c r="E57" s="98" t="str">
        <f>'Resultater - Vestdanmark'!E57</f>
        <v>Hektar</v>
      </c>
      <c r="F57" s="98" t="str">
        <f>'Resultater - Vestdanmark'!F57</f>
        <v>Træ til energi</v>
      </c>
      <c r="G57" s="98" t="str">
        <f>'Resultater - Vestdanmark'!G57</f>
        <v>m3</v>
      </c>
      <c r="H57" s="280" t="e">
        <f>'Resultater - Vestdanmark'!H57+'Resultater - Østdanmark'!H57</f>
        <v>#REF!</v>
      </c>
      <c r="I57" s="281" t="e">
        <f>'Resultater - Vestdanmark'!I57+'Resultater - Østdanmark'!I57</f>
        <v>#REF!</v>
      </c>
      <c r="J57" s="282" t="e">
        <f>'Resultater - Vestdanmark'!J57+'Resultater - Østdanmark'!J57</f>
        <v>#REF!</v>
      </c>
    </row>
    <row r="58" spans="1:10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Skovtype4</v>
      </c>
      <c r="D58" s="98" t="str">
        <f>'Resultater - Vestdanmark'!D58</f>
        <v>Areal-skovtype4-30</v>
      </c>
      <c r="E58" s="98" t="str">
        <f>'Resultater - Vestdanmark'!E58</f>
        <v>Hektar</v>
      </c>
      <c r="F58" s="98" t="str">
        <f>'Resultater - Vestdanmark'!F58</f>
        <v>CO2 - atmosfære</v>
      </c>
      <c r="G58" s="98" t="str">
        <f>'Resultater - Vestdanmark'!G58</f>
        <v>t CO2-ækvivalenter</v>
      </c>
      <c r="H58" s="280" t="e">
        <f>'Resultater - Vestdanmark'!H58+'Resultater - Østdanmark'!H58</f>
        <v>#REF!</v>
      </c>
      <c r="I58" s="281" t="e">
        <f>'Resultater - Vestdanmark'!I58+'Resultater - Østdanmark'!I58</f>
        <v>#REF!</v>
      </c>
      <c r="J58" s="282" t="e">
        <f>'Resultater - Vestdanmark'!J58+'Resultater - Østdanmark'!J58</f>
        <v>#REF!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Skovtype4</v>
      </c>
      <c r="D59" s="98" t="str">
        <f>'Resultater - Vestdanmark'!D59</f>
        <v>Areal-skovtype4-40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80" t="e">
        <f>'Resultater - Vestdanmark'!H59+'Resultater - Østdanmark'!H59</f>
        <v>#REF!</v>
      </c>
      <c r="I59" s="281" t="e">
        <f>'Resultater - Vestdanmark'!I59+'Resultater - Østdanmark'!I59</f>
        <v>#REF!</v>
      </c>
      <c r="J59" s="282" t="e">
        <f>'Resultater - Vestdanmark'!J59+'Resultater - Østdanmark'!J59</f>
        <v>#REF!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Skovtype4</v>
      </c>
      <c r="D60" s="98" t="str">
        <f>'Resultater - Vestdanmark'!D60</f>
        <v>Areal-skovtype4-40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80" t="e">
        <f>'Resultater - Vestdanmark'!H60+'Resultater - Østdanmark'!H60</f>
        <v>#REF!</v>
      </c>
      <c r="I60" s="281" t="e">
        <f>'Resultater - Vestdanmark'!I60+'Resultater - Østdanmark'!I60</f>
        <v>#REF!</v>
      </c>
      <c r="J60" s="282" t="e">
        <f>'Resultater - Vestdanmark'!J60+'Resultater - Østdanmark'!J60</f>
        <v>#REF!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Skovtype4</v>
      </c>
      <c r="D61" s="98" t="str">
        <f>'Resultater - Vestdanmark'!D61</f>
        <v>Areal-skovtype4-40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80" t="e">
        <f>'Resultater - Vestdanmark'!H61+'Resultater - Østdanmark'!H61</f>
        <v>#REF!</v>
      </c>
      <c r="I61" s="281" t="e">
        <f>'Resultater - Vestdanmark'!I61+'Resultater - Østdanmark'!I61</f>
        <v>#REF!</v>
      </c>
      <c r="J61" s="282" t="e">
        <f>'Resultater - Vestdanmark'!J61+'Resultater - Østdanmark'!J61</f>
        <v>#REF!</v>
      </c>
    </row>
    <row r="62" spans="1:10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Skovtype5</v>
      </c>
      <c r="D62" s="98" t="str">
        <f>'Resultater - Vestdanmark'!D62</f>
        <v>Areal-skovtype5-10</v>
      </c>
      <c r="E62" s="98" t="str">
        <f>'Resultater - Vestdanmark'!E62</f>
        <v>Hektar</v>
      </c>
      <c r="F62" s="98" t="str">
        <f>'Resultater - Vestdanmark'!F62</f>
        <v>Træer</v>
      </c>
      <c r="G62" s="98" t="str">
        <f>'Resultater - Vestdanmark'!G62</f>
        <v>m3</v>
      </c>
      <c r="H62" s="280" t="e">
        <f>'Resultater - Vestdanmark'!H62+'Resultater - Østdanmark'!H62</f>
        <v>#REF!</v>
      </c>
      <c r="I62" s="281" t="e">
        <f>'Resultater - Vestdanmark'!I62+'Resultater - Østdanmark'!I62</f>
        <v>#REF!</v>
      </c>
      <c r="J62" s="282" t="e">
        <f>'Resultater - Vestdanmark'!J62+'Resultater - Østdanmark'!J62</f>
        <v>#REF!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Skovtype5</v>
      </c>
      <c r="D63" s="98" t="str">
        <f>'Resultater - Vestdanmark'!D63</f>
        <v>Areal-skovtype5-10</v>
      </c>
      <c r="E63" s="98" t="str">
        <f>'Resultater - Vestdanmark'!E63</f>
        <v>Hektar</v>
      </c>
      <c r="F63" s="98" t="str">
        <f>'Resultater - Vestdanmark'!F63</f>
        <v>Træ til energi</v>
      </c>
      <c r="G63" s="98" t="str">
        <f>'Resultater - Vestdanmark'!G63</f>
        <v>m3</v>
      </c>
      <c r="H63" s="280" t="e">
        <f>'Resultater - Vestdanmark'!H63+'Resultater - Østdanmark'!H63</f>
        <v>#REF!</v>
      </c>
      <c r="I63" s="281" t="e">
        <f>'Resultater - Vestdanmark'!I63+'Resultater - Østdanmark'!I63</f>
        <v>#REF!</v>
      </c>
      <c r="J63" s="282" t="e">
        <f>'Resultater - Vestdanmark'!J63+'Resultater - Østdanmark'!J63</f>
        <v>#REF!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Skovtype5</v>
      </c>
      <c r="D64" s="98" t="str">
        <f>'Resultater - Vestdanmark'!D64</f>
        <v>Areal-skovtype5-10</v>
      </c>
      <c r="E64" s="98" t="str">
        <f>'Resultater - Vestdanmark'!E64</f>
        <v>Hektar</v>
      </c>
      <c r="F64" s="98" t="str">
        <f>'Resultater - Vestdanmark'!F64</f>
        <v>CO2 - atmosfære</v>
      </c>
      <c r="G64" s="98" t="str">
        <f>'Resultater - Vestdanmark'!G64</f>
        <v>t CO2-ækvivalenter</v>
      </c>
      <c r="H64" s="280" t="e">
        <f>'Resultater - Vestdanmark'!H64+'Resultater - Østdanmark'!H64</f>
        <v>#REF!</v>
      </c>
      <c r="I64" s="281" t="e">
        <f>'Resultater - Vestdanmark'!I64+'Resultater - Østdanmark'!I64</f>
        <v>#REF!</v>
      </c>
      <c r="J64" s="282" t="e">
        <f>'Resultater - Vestdanmark'!J64+'Resultater - Østdanmark'!J64</f>
        <v>#REF!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Skovtype5</v>
      </c>
      <c r="D65" s="98" t="str">
        <f>'Resultater - Vestdanmark'!D65</f>
        <v>Areal-skovtype5-20</v>
      </c>
      <c r="E65" s="98" t="str">
        <f>'Resultater - Vestdanmark'!E65</f>
        <v>Hektar</v>
      </c>
      <c r="F65" s="98" t="str">
        <f>'Resultater - Vestdanmark'!F65</f>
        <v>Træer</v>
      </c>
      <c r="G65" s="98" t="str">
        <f>'Resultater - Vestdanmark'!G65</f>
        <v>m3</v>
      </c>
      <c r="H65" s="280" t="e">
        <f>'Resultater - Vestdanmark'!H65+'Resultater - Østdanmark'!H65</f>
        <v>#REF!</v>
      </c>
      <c r="I65" s="281" t="e">
        <f>'Resultater - Vestdanmark'!I65+'Resultater - Østdanmark'!I65</f>
        <v>#REF!</v>
      </c>
      <c r="J65" s="282" t="e">
        <f>'Resultater - Vestdanmark'!J65+'Resultater - Østdanmark'!J65</f>
        <v>#REF!</v>
      </c>
    </row>
    <row r="66" spans="1:10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Skovtype5</v>
      </c>
      <c r="D66" s="98" t="str">
        <f>'Resultater - Vestdanmark'!D66</f>
        <v>Areal-skovtype5-20</v>
      </c>
      <c r="E66" s="98" t="str">
        <f>'Resultater - Vestdanmark'!E66</f>
        <v>Hektar</v>
      </c>
      <c r="F66" s="98" t="str">
        <f>'Resultater - Vestdanmark'!F66</f>
        <v>Træ til energi</v>
      </c>
      <c r="G66" s="98" t="str">
        <f>'Resultater - Vestdanmark'!G66</f>
        <v>m3</v>
      </c>
      <c r="H66" s="280" t="e">
        <f>'Resultater - Vestdanmark'!H66+'Resultater - Østdanmark'!H66</f>
        <v>#REF!</v>
      </c>
      <c r="I66" s="281" t="e">
        <f>'Resultater - Vestdanmark'!I66+'Resultater - Østdanmark'!I66</f>
        <v>#REF!</v>
      </c>
      <c r="J66" s="282" t="e">
        <f>'Resultater - Vestdanmark'!J66+'Resultater - Østdanmark'!J66</f>
        <v>#REF!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Skovtype5</v>
      </c>
      <c r="D67" s="98" t="str">
        <f>'Resultater - Vestdanmark'!D67</f>
        <v>Areal-skovtype5-20</v>
      </c>
      <c r="E67" s="98" t="str">
        <f>'Resultater - Vestdanmark'!E67</f>
        <v>Hektar</v>
      </c>
      <c r="F67" s="98" t="str">
        <f>'Resultater - Vestdanmark'!F67</f>
        <v>CO2 - atmosfære</v>
      </c>
      <c r="G67" s="98" t="str">
        <f>'Resultater - Vestdanmark'!G67</f>
        <v>t CO2-ækvivalenter</v>
      </c>
      <c r="H67" s="280" t="e">
        <f>'Resultater - Vestdanmark'!H67+'Resultater - Østdanmark'!H67</f>
        <v>#REF!</v>
      </c>
      <c r="I67" s="281" t="e">
        <f>'Resultater - Vestdanmark'!I67+'Resultater - Østdanmark'!I67</f>
        <v>#REF!</v>
      </c>
      <c r="J67" s="282" t="e">
        <f>'Resultater - Vestdanmark'!J67+'Resultater - Østdanmark'!J67</f>
        <v>#REF!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Skovtype5</v>
      </c>
      <c r="D68" s="98" t="str">
        <f>'Resultater - Vestdanmark'!D68</f>
        <v>Areal-skovtype5-30</v>
      </c>
      <c r="E68" s="98" t="str">
        <f>'Resultater - Vestdanmark'!E68</f>
        <v>Hektar</v>
      </c>
      <c r="F68" s="98" t="str">
        <f>'Resultater - Vestdanmark'!F68</f>
        <v>Træer</v>
      </c>
      <c r="G68" s="98" t="str">
        <f>'Resultater - Vestdanmark'!G68</f>
        <v>m3</v>
      </c>
      <c r="H68" s="280" t="e">
        <f>'Resultater - Vestdanmark'!H68+'Resultater - Østdanmark'!H68</f>
        <v>#REF!</v>
      </c>
      <c r="I68" s="281" t="e">
        <f>'Resultater - Vestdanmark'!I68+'Resultater - Østdanmark'!I68</f>
        <v>#REF!</v>
      </c>
      <c r="J68" s="282" t="e">
        <f>'Resultater - Vestdanmark'!J68+'Resultater - Østdanmark'!J68</f>
        <v>#REF!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Skovtype5</v>
      </c>
      <c r="D69" s="98" t="str">
        <f>'Resultater - Vestdanmark'!D69</f>
        <v>Areal-skovtype5-30</v>
      </c>
      <c r="E69" s="98" t="str">
        <f>'Resultater - Vestdanmark'!E69</f>
        <v>Hektar</v>
      </c>
      <c r="F69" s="98" t="str">
        <f>'Resultater - Vestdanmark'!F69</f>
        <v>Træ til energi</v>
      </c>
      <c r="G69" s="98" t="str">
        <f>'Resultater - Vestdanmark'!G69</f>
        <v>m3</v>
      </c>
      <c r="H69" s="280" t="e">
        <f>'Resultater - Vestdanmark'!H69+'Resultater - Østdanmark'!H69</f>
        <v>#REF!</v>
      </c>
      <c r="I69" s="281" t="e">
        <f>'Resultater - Vestdanmark'!I69+'Resultater - Østdanmark'!I69</f>
        <v>#REF!</v>
      </c>
      <c r="J69" s="282" t="e">
        <f>'Resultater - Vestdanmark'!J69+'Resultater - Østdanmark'!J69</f>
        <v>#REF!</v>
      </c>
    </row>
    <row r="70" spans="1:10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Skovtype5</v>
      </c>
      <c r="D70" s="98" t="str">
        <f>'Resultater - Vestdanmark'!D70</f>
        <v>Areal-skovtype5-30</v>
      </c>
      <c r="E70" s="98" t="str">
        <f>'Resultater - Vestdanmark'!E70</f>
        <v>Hektar</v>
      </c>
      <c r="F70" s="98" t="str">
        <f>'Resultater - Vestdanmark'!F70</f>
        <v>CO2 - atmosfære</v>
      </c>
      <c r="G70" s="98" t="str">
        <f>'Resultater - Vestdanmark'!G70</f>
        <v>t CO2-ækvivalenter</v>
      </c>
      <c r="H70" s="280" t="e">
        <f>'Resultater - Vestdanmark'!H70+'Resultater - Østdanmark'!H70</f>
        <v>#REF!</v>
      </c>
      <c r="I70" s="281" t="e">
        <f>'Resultater - Vestdanmark'!I70+'Resultater - Østdanmark'!I70</f>
        <v>#REF!</v>
      </c>
      <c r="J70" s="282" t="e">
        <f>'Resultater - Vestdanmark'!J70+'Resultater - Østdanmark'!J70</f>
        <v>#REF!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Skovtype5</v>
      </c>
      <c r="D71" s="98" t="str">
        <f>'Resultater - Vestdanmark'!D71</f>
        <v>Areal-skovtype5-40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80" t="e">
        <f>'Resultater - Vestdanmark'!H71+'Resultater - Østdanmark'!H71</f>
        <v>#REF!</v>
      </c>
      <c r="I71" s="281" t="e">
        <f>'Resultater - Vestdanmark'!I71+'Resultater - Østdanmark'!I71</f>
        <v>#REF!</v>
      </c>
      <c r="J71" s="282" t="e">
        <f>'Resultater - Vestdanmark'!J71+'Resultater - Østdanmark'!J71</f>
        <v>#REF!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Skovtype5</v>
      </c>
      <c r="D72" s="98" t="str">
        <f>'Resultater - Vestdanmark'!D72</f>
        <v>Areal-skovtype5-40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80" t="e">
        <f>'Resultater - Vestdanmark'!H72+'Resultater - Østdanmark'!H72</f>
        <v>#REF!</v>
      </c>
      <c r="I72" s="281" t="e">
        <f>'Resultater - Vestdanmark'!I72+'Resultater - Østdanmark'!I72</f>
        <v>#REF!</v>
      </c>
      <c r="J72" s="282" t="e">
        <f>'Resultater - Vestdanmark'!J72+'Resultater - Østdanmark'!J72</f>
        <v>#REF!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Skovtype5</v>
      </c>
      <c r="D73" s="98" t="str">
        <f>'Resultater - Vestdanmark'!D73</f>
        <v>Areal-skovtype5-40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80" t="e">
        <f>'Resultater - Vestdanmark'!H73+'Resultater - Østdanmark'!H73</f>
        <v>#REF!</v>
      </c>
      <c r="I73" s="281" t="e">
        <f>'Resultater - Vestdanmark'!I73+'Resultater - Østdanmark'!I73</f>
        <v>#REF!</v>
      </c>
      <c r="J73" s="282" t="e">
        <f>'Resultater - Vestdanmark'!J73+'Resultater - Østdanmark'!J73</f>
        <v>#REF!</v>
      </c>
    </row>
    <row r="74" spans="1:10" x14ac:dyDescent="0.25">
      <c r="A74" s="98" t="str">
        <f>'Resultater - Vestdanmark'!A74</f>
        <v>Grisestald</v>
      </c>
      <c r="B74" s="98" t="str">
        <f>'Resultater - Vestdanmark'!B74</f>
        <v>Konventionel</v>
      </c>
      <c r="C74" s="98" t="str">
        <f>'Resultater - Vestdanmark'!C74</f>
        <v/>
      </c>
      <c r="D74" s="98" t="str">
        <f>'Resultater - Vestdanmark'!D74</f>
        <v>Svin</v>
      </c>
      <c r="E74" s="98" t="str">
        <f>'Resultater - Vestdanmark'!E74</f>
        <v>Antal</v>
      </c>
      <c r="F74" s="98" t="str">
        <f>'Resultater - Vestdanmark'!F74</f>
        <v>Slagtesvin</v>
      </c>
      <c r="G74" s="98" t="str">
        <f>'Resultater - Vestdanmark'!G74</f>
        <v>Antal</v>
      </c>
      <c r="H74" s="280" t="e">
        <f>'Resultater - Vestdanmark'!H74+'Resultater - Østdanmark'!H74</f>
        <v>#REF!</v>
      </c>
      <c r="I74" s="281" t="e">
        <f>'Resultater - Vestdanmark'!I74+'Resultater - Østdanmark'!I74</f>
        <v>#REF!</v>
      </c>
      <c r="J74" s="282" t="e">
        <f>'Resultater - Vestdanmark'!J74+'Resultater - Østdanmark'!J74</f>
        <v>#REF!</v>
      </c>
    </row>
    <row r="75" spans="1:10" x14ac:dyDescent="0.25">
      <c r="A75" s="98" t="str">
        <f>'Resultater - Vestdanmark'!A75</f>
        <v>Grisestald</v>
      </c>
      <c r="B75" s="98" t="str">
        <f>'Resultater - Vestdanmark'!B75</f>
        <v>Konventionel</v>
      </c>
      <c r="C75" s="98" t="str">
        <f>'Resultater - Vestdanmark'!C75</f>
        <v/>
      </c>
      <c r="D75" s="98" t="str">
        <f>'Resultater - Vestdanmark'!D75</f>
        <v>Svin</v>
      </c>
      <c r="E75" s="98" t="str">
        <f>'Resultater - Vestdanmark'!E75</f>
        <v>Antal</v>
      </c>
      <c r="F75" s="98" t="str">
        <f>'Resultater - Vestdanmark'!F75</f>
        <v>Svinegylle</v>
      </c>
      <c r="G75" s="98" t="str">
        <f>'Resultater - Vestdanmark'!G75</f>
        <v>Ton</v>
      </c>
      <c r="H75" s="280" t="e">
        <f>'Resultater - Vestdanmark'!H75+'Resultater - Østdanmark'!H75</f>
        <v>#REF!</v>
      </c>
      <c r="I75" s="281" t="e">
        <f>'Resultater - Vestdanmark'!I75+'Resultater - Østdanmark'!I75</f>
        <v>#REF!</v>
      </c>
      <c r="J75" s="282" t="e">
        <f>'Resultater - Vestdanmark'!J75+'Resultater - Østdanmark'!J75</f>
        <v>#REF!</v>
      </c>
    </row>
    <row r="76" spans="1:10" x14ac:dyDescent="0.25">
      <c r="A76" s="98" t="str">
        <f>'Resultater - Vestdanmark'!A76</f>
        <v>Grisestald</v>
      </c>
      <c r="B76" s="98" t="str">
        <f>'Resultater - Vestdanmark'!B76</f>
        <v>Konventionel</v>
      </c>
      <c r="C76" s="98" t="str">
        <f>'Resultater - Vestdanmark'!C76</f>
        <v/>
      </c>
      <c r="D76" s="98" t="str">
        <f>'Resultater - Vestdanmark'!D76</f>
        <v>Svin</v>
      </c>
      <c r="E76" s="98" t="str">
        <f>'Resultater - Vestdanmark'!E76</f>
        <v>Antal</v>
      </c>
      <c r="F76" s="98" t="str">
        <f>'Resultater - Vestdanmark'!F76</f>
        <v>Dybstrøelse</v>
      </c>
      <c r="G76" s="98" t="str">
        <f>'Resultater - Vestdanmark'!G76</f>
        <v>Ton</v>
      </c>
      <c r="H76" s="280" t="e">
        <f>'Resultater - Vestdanmark'!H76+'Resultater - Østdanmark'!H76</f>
        <v>#REF!</v>
      </c>
      <c r="I76" s="281" t="e">
        <f>'Resultater - Vestdanmark'!I76+'Resultater - Østdanmark'!I76</f>
        <v>#REF!</v>
      </c>
      <c r="J76" s="282" t="e">
        <f>'Resultater - Vestdanmark'!J76+'Resultater - Østdanmark'!J76</f>
        <v>#REF!</v>
      </c>
    </row>
    <row r="77" spans="1:10" x14ac:dyDescent="0.25">
      <c r="A77" s="98" t="str">
        <f>'Resultater - Vestdanmark'!A77</f>
        <v>Grisestald</v>
      </c>
      <c r="B77" s="98" t="str">
        <f>'Resultater - Vestdanmark'!B77</f>
        <v>Konventionel</v>
      </c>
      <c r="C77" s="98" t="str">
        <f>'Resultater - Vestdanmark'!C77</f>
        <v/>
      </c>
      <c r="D77" s="98" t="str">
        <f>'Resultater - Vestdanmark'!D77</f>
        <v>Svin</v>
      </c>
      <c r="E77" s="98" t="str">
        <f>'Resultater - Vestdanmark'!E77</f>
        <v>Antal</v>
      </c>
      <c r="F77" s="98" t="str">
        <f>'Resultater - Vestdanmark'!F77</f>
        <v>Industriaffald</v>
      </c>
      <c r="G77" s="98" t="str">
        <f>'Resultater - Vestdanmark'!G77</f>
        <v>Ton</v>
      </c>
      <c r="H77" s="280" t="e">
        <f>'Resultater - Vestdanmark'!H77+'Resultater - Østdanmark'!H77</f>
        <v>#REF!</v>
      </c>
      <c r="I77" s="281" t="e">
        <f>'Resultater - Vestdanmark'!I77+'Resultater - Østdanmark'!I77</f>
        <v>#REF!</v>
      </c>
      <c r="J77" s="282" t="e">
        <f>'Resultater - Vestdanmark'!J77+'Resultater - Østdanmark'!J77</f>
        <v>#REF!</v>
      </c>
    </row>
    <row r="78" spans="1:10" x14ac:dyDescent="0.25">
      <c r="A78" s="98" t="str">
        <f>'Resultater - Vestdanmark'!A78</f>
        <v>Grisestald</v>
      </c>
      <c r="B78" s="98" t="str">
        <f>'Resultater - Vestdanmark'!B78</f>
        <v>Konventionel</v>
      </c>
      <c r="C78" s="98" t="str">
        <f>'Resultater - Vestdanmark'!C78</f>
        <v/>
      </c>
      <c r="D78" s="98" t="str">
        <f>'Resultater - Vestdanmark'!D78</f>
        <v>Svin</v>
      </c>
      <c r="E78" s="98" t="str">
        <f>'Resultater - Vestdanmark'!E78</f>
        <v>Antal</v>
      </c>
      <c r="F78" s="98" t="str">
        <f>'Resultater - Vestdanmark'!F78</f>
        <v>Foder</v>
      </c>
      <c r="G78" s="98" t="str">
        <f>'Resultater - Vestdanmark'!G78</f>
        <v>FE</v>
      </c>
      <c r="H78" s="280" t="e">
        <f>'Resultater - Vestdanmark'!H78+'Resultater - Østdanmark'!H78</f>
        <v>#REF!</v>
      </c>
      <c r="I78" s="281" t="e">
        <f>'Resultater - Vestdanmark'!I78+'Resultater - Østdanmark'!I78</f>
        <v>#REF!</v>
      </c>
      <c r="J78" s="282" t="e">
        <f>'Resultater - Vestdanmark'!J78+'Resultater - Østdanmark'!J78</f>
        <v>#REF!</v>
      </c>
    </row>
    <row r="79" spans="1:10" x14ac:dyDescent="0.25">
      <c r="A79" s="98" t="str">
        <f>'Resultater - Vestdanmark'!A79</f>
        <v>Grisestald</v>
      </c>
      <c r="B79" s="98" t="str">
        <f>'Resultater - Vestdanmark'!B79</f>
        <v>Konventionel</v>
      </c>
      <c r="C79" s="98" t="str">
        <f>'Resultater - Vestdanmark'!C79</f>
        <v/>
      </c>
      <c r="D79" s="98" t="str">
        <f>'Resultater - Vestdanmark'!D79</f>
        <v>Svin</v>
      </c>
      <c r="E79" s="98" t="str">
        <f>'Resultater - Vestdanmark'!E79</f>
        <v>Antal</v>
      </c>
      <c r="F79" s="98" t="str">
        <f>'Resultater - Vestdanmark'!F79</f>
        <v>Halm</v>
      </c>
      <c r="G79" s="98" t="str">
        <f>'Resultater - Vestdanmark'!G79</f>
        <v>Ton</v>
      </c>
      <c r="H79" s="280" t="e">
        <f>'Resultater - Vestdanmark'!H79+'Resultater - Østdanmark'!H79</f>
        <v>#REF!</v>
      </c>
      <c r="I79" s="281" t="e">
        <f>'Resultater - Vestdanmark'!I79+'Resultater - Østdanmark'!I79</f>
        <v>#REF!</v>
      </c>
      <c r="J79" s="282" t="e">
        <f>'Resultater - Vestdanmark'!J79+'Resultater - Østdanmark'!J79</f>
        <v>#REF!</v>
      </c>
    </row>
    <row r="80" spans="1:10" x14ac:dyDescent="0.25">
      <c r="A80" s="98" t="str">
        <f>'Resultater - Vestdanmark'!A80</f>
        <v>Grisestald</v>
      </c>
      <c r="B80" s="98" t="str">
        <f>'Resultater - Vestdanmark'!B80</f>
        <v>Konventionel</v>
      </c>
      <c r="C80" s="98" t="str">
        <f>'Resultater - Vestdanmark'!C80</f>
        <v/>
      </c>
      <c r="D80" s="98" t="str">
        <f>'Resultater - Vestdanmark'!D80</f>
        <v>Svin</v>
      </c>
      <c r="E80" s="98" t="str">
        <f>'Resultater - Vestdanmark'!E80</f>
        <v>Antal</v>
      </c>
      <c r="F80" s="98" t="str">
        <f>'Resultater - Vestdanmark'!F80</f>
        <v>CO2 - atmosfære</v>
      </c>
      <c r="G80" s="98" t="str">
        <f>'Resultater - Vestdanmark'!G80</f>
        <v>t CO2-ækvivalenter</v>
      </c>
      <c r="H80" s="280" t="e">
        <f>'Resultater - Vestdanmark'!H80+'Resultater - Østdanmark'!H80</f>
        <v>#REF!</v>
      </c>
      <c r="I80" s="281" t="e">
        <f>'Resultater - Vestdanmark'!I80+'Resultater - Østdanmark'!I80</f>
        <v>#REF!</v>
      </c>
      <c r="J80" s="282" t="e">
        <f>'Resultater - Vestdanmark'!J80+'Resultater - Østdanmark'!J80</f>
        <v>#REF!</v>
      </c>
    </row>
    <row r="81" spans="1:10" x14ac:dyDescent="0.25">
      <c r="A81" s="98" t="str">
        <f>'Resultater - Vestdanmark'!A81</f>
        <v>Grisestald</v>
      </c>
      <c r="B81" s="98" t="str">
        <f>'Resultater - Vestdanmark'!B81</f>
        <v>Økologisk</v>
      </c>
      <c r="C81" s="98" t="str">
        <f>'Resultater - Vestdanmark'!C81</f>
        <v/>
      </c>
      <c r="D81" s="98" t="str">
        <f>'Resultater - Vestdanmark'!D81</f>
        <v>Svin</v>
      </c>
      <c r="E81" s="98" t="str">
        <f>'Resultater - Vestdanmark'!E81</f>
        <v>Antal</v>
      </c>
      <c r="F81" s="98" t="str">
        <f>'Resultater - Vestdanmark'!F81</f>
        <v>Slagtesvin</v>
      </c>
      <c r="G81" s="98" t="str">
        <f>'Resultater - Vestdanmark'!G81</f>
        <v>Antal</v>
      </c>
      <c r="H81" s="280" t="e">
        <f>'Resultater - Vestdanmark'!H81+'Resultater - Østdanmark'!H81</f>
        <v>#REF!</v>
      </c>
      <c r="I81" s="281" t="e">
        <f>'Resultater - Vestdanmark'!I81+'Resultater - Østdanmark'!I81</f>
        <v>#REF!</v>
      </c>
      <c r="J81" s="282" t="e">
        <f>'Resultater - Vestdanmark'!J81+'Resultater - Østdanmark'!J81</f>
        <v>#REF!</v>
      </c>
    </row>
    <row r="82" spans="1:10" x14ac:dyDescent="0.25">
      <c r="A82" s="98" t="str">
        <f>'Resultater - Vestdanmark'!A82</f>
        <v>Grisestald</v>
      </c>
      <c r="B82" s="98" t="str">
        <f>'Resultater - Vestdanmark'!B82</f>
        <v>Økologisk</v>
      </c>
      <c r="C82" s="98" t="str">
        <f>'Resultater - Vestdanmark'!C82</f>
        <v/>
      </c>
      <c r="D82" s="98" t="str">
        <f>'Resultater - Vestdanmark'!D82</f>
        <v>Svin</v>
      </c>
      <c r="E82" s="98" t="str">
        <f>'Resultater - Vestdanmark'!E82</f>
        <v>Antal</v>
      </c>
      <c r="F82" s="98" t="str">
        <f>'Resultater - Vestdanmark'!F82</f>
        <v>Svinegylle</v>
      </c>
      <c r="G82" s="98" t="str">
        <f>'Resultater - Vestdanmark'!G82</f>
        <v>Ton</v>
      </c>
      <c r="H82" s="280" t="e">
        <f>'Resultater - Vestdanmark'!H82+'Resultater - Østdanmark'!H82</f>
        <v>#REF!</v>
      </c>
      <c r="I82" s="281" t="e">
        <f>'Resultater - Vestdanmark'!I82+'Resultater - Østdanmark'!I82</f>
        <v>#REF!</v>
      </c>
      <c r="J82" s="282" t="e">
        <f>'Resultater - Vestdanmark'!J82+'Resultater - Østdanmark'!J82</f>
        <v>#REF!</v>
      </c>
    </row>
    <row r="83" spans="1:10" x14ac:dyDescent="0.25">
      <c r="A83" s="98" t="str">
        <f>'Resultater - Vestdanmark'!A83</f>
        <v>Grisestald</v>
      </c>
      <c r="B83" s="98" t="str">
        <f>'Resultater - Vestdanmark'!B83</f>
        <v>Økologisk</v>
      </c>
      <c r="C83" s="98" t="str">
        <f>'Resultater - Vestdanmark'!C83</f>
        <v/>
      </c>
      <c r="D83" s="98" t="str">
        <f>'Resultater - Vestdanmark'!D83</f>
        <v>Svin</v>
      </c>
      <c r="E83" s="98" t="str">
        <f>'Resultater - Vestdanmark'!E83</f>
        <v>Antal</v>
      </c>
      <c r="F83" s="98" t="str">
        <f>'Resultater - Vestdanmark'!F83</f>
        <v>Dybstrøelse</v>
      </c>
      <c r="G83" s="98" t="str">
        <f>'Resultater - Vestdanmark'!G83</f>
        <v>Ton</v>
      </c>
      <c r="H83" s="280" t="e">
        <f>'Resultater - Vestdanmark'!H83+'Resultater - Østdanmark'!H83</f>
        <v>#REF!</v>
      </c>
      <c r="I83" s="281" t="e">
        <f>'Resultater - Vestdanmark'!I83+'Resultater - Østdanmark'!I83</f>
        <v>#REF!</v>
      </c>
      <c r="J83" s="282" t="e">
        <f>'Resultater - Vestdanmark'!J83+'Resultater - Østdanmark'!J83</f>
        <v>#REF!</v>
      </c>
    </row>
    <row r="84" spans="1:10" x14ac:dyDescent="0.25">
      <c r="A84" s="98" t="str">
        <f>'Resultater - Vestdanmark'!A84</f>
        <v>Grisestald</v>
      </c>
      <c r="B84" s="98" t="str">
        <f>'Resultater - Vestdanmark'!B84</f>
        <v>Økologisk</v>
      </c>
      <c r="C84" s="98" t="str">
        <f>'Resultater - Vestdanmark'!C84</f>
        <v/>
      </c>
      <c r="D84" s="98" t="str">
        <f>'Resultater - Vestdanmark'!D84</f>
        <v>Svin</v>
      </c>
      <c r="E84" s="98" t="str">
        <f>'Resultater - Vestdanmark'!E84</f>
        <v>Antal</v>
      </c>
      <c r="F84" s="98" t="str">
        <f>'Resultater - Vestdanmark'!F84</f>
        <v>Industriaffald</v>
      </c>
      <c r="G84" s="98" t="str">
        <f>'Resultater - Vestdanmark'!G84</f>
        <v>Ton</v>
      </c>
      <c r="H84" s="280" t="e">
        <f>'Resultater - Vestdanmark'!H84+'Resultater - Østdanmark'!H84</f>
        <v>#REF!</v>
      </c>
      <c r="I84" s="281" t="e">
        <f>'Resultater - Vestdanmark'!I84+'Resultater - Østdanmark'!I84</f>
        <v>#REF!</v>
      </c>
      <c r="J84" s="282" t="e">
        <f>'Resultater - Vestdanmark'!J84+'Resultater - Østdanmark'!J84</f>
        <v>#REF!</v>
      </c>
    </row>
    <row r="85" spans="1:10" x14ac:dyDescent="0.25">
      <c r="A85" s="98" t="str">
        <f>'Resultater - Vestdanmark'!A85</f>
        <v>Grisestald</v>
      </c>
      <c r="B85" s="98" t="str">
        <f>'Resultater - Vestdanmark'!B85</f>
        <v>Økologisk</v>
      </c>
      <c r="C85" s="98" t="str">
        <f>'Resultater - Vestdanmark'!C85</f>
        <v/>
      </c>
      <c r="D85" s="98" t="str">
        <f>'Resultater - Vestdanmark'!D85</f>
        <v>Svin</v>
      </c>
      <c r="E85" s="98" t="str">
        <f>'Resultater - Vestdanmark'!E85</f>
        <v>Antal</v>
      </c>
      <c r="F85" s="98" t="str">
        <f>'Resultater - Vestdanmark'!F85</f>
        <v>Foder</v>
      </c>
      <c r="G85" s="98" t="str">
        <f>'Resultater - Vestdanmark'!G85</f>
        <v>FE</v>
      </c>
      <c r="H85" s="280" t="e">
        <f>'Resultater - Vestdanmark'!H85+'Resultater - Østdanmark'!H85</f>
        <v>#REF!</v>
      </c>
      <c r="I85" s="281" t="e">
        <f>'Resultater - Vestdanmark'!I85+'Resultater - Østdanmark'!I85</f>
        <v>#REF!</v>
      </c>
      <c r="J85" s="282" t="e">
        <f>'Resultater - Vestdanmark'!J85+'Resultater - Østdanmark'!J85</f>
        <v>#REF!</v>
      </c>
    </row>
    <row r="86" spans="1:10" x14ac:dyDescent="0.25">
      <c r="A86" s="98" t="str">
        <f>'Resultater - Vestdanmark'!A86</f>
        <v>Grisestald</v>
      </c>
      <c r="B86" s="98" t="str">
        <f>'Resultater - Vestdanmark'!B86</f>
        <v>Økologisk</v>
      </c>
      <c r="C86" s="98" t="str">
        <f>'Resultater - Vestdanmark'!C86</f>
        <v/>
      </c>
      <c r="D86" s="98" t="str">
        <f>'Resultater - Vestdanmark'!D86</f>
        <v>Svin</v>
      </c>
      <c r="E86" s="98" t="str">
        <f>'Resultater - Vestdanmark'!E86</f>
        <v>Antal</v>
      </c>
      <c r="F86" s="98" t="str">
        <f>'Resultater - Vestdanmark'!F86</f>
        <v>Halm</v>
      </c>
      <c r="G86" s="98" t="str">
        <f>'Resultater - Vestdanmark'!G86</f>
        <v>Ton</v>
      </c>
      <c r="H86" s="280" t="e">
        <f>'Resultater - Vestdanmark'!H86+'Resultater - Østdanmark'!H86</f>
        <v>#REF!</v>
      </c>
      <c r="I86" s="281" t="e">
        <f>'Resultater - Vestdanmark'!I86+'Resultater - Østdanmark'!I86</f>
        <v>#REF!</v>
      </c>
      <c r="J86" s="282" t="e">
        <f>'Resultater - Vestdanmark'!J86+'Resultater - Østdanmark'!J86</f>
        <v>#REF!</v>
      </c>
    </row>
    <row r="87" spans="1:10" x14ac:dyDescent="0.25">
      <c r="A87" s="98" t="str">
        <f>'Resultater - Vestdanmark'!A87</f>
        <v>Grisestald</v>
      </c>
      <c r="B87" s="98" t="str">
        <f>'Resultater - Vestdanmark'!B87</f>
        <v>Økologisk</v>
      </c>
      <c r="C87" s="98" t="str">
        <f>'Resultater - Vestdanmark'!C87</f>
        <v/>
      </c>
      <c r="D87" s="98" t="str">
        <f>'Resultater - Vestdanmark'!D87</f>
        <v>Svin</v>
      </c>
      <c r="E87" s="98" t="str">
        <f>'Resultater - Vestdanmark'!E87</f>
        <v>Antal</v>
      </c>
      <c r="F87" s="98" t="str">
        <f>'Resultater - Vestdanmark'!F87</f>
        <v>CO2 - atmosfære</v>
      </c>
      <c r="G87" s="98" t="str">
        <f>'Resultater - Vestdanmark'!G87</f>
        <v>t CO2-ækvivalenter</v>
      </c>
      <c r="H87" s="280" t="e">
        <f>'Resultater - Vestdanmark'!H87+'Resultater - Østdanmark'!H87</f>
        <v>#REF!</v>
      </c>
      <c r="I87" s="281" t="e">
        <f>'Resultater - Vestdanmark'!I87+'Resultater - Østdanmark'!I87</f>
        <v>#REF!</v>
      </c>
      <c r="J87" s="282" t="e">
        <f>'Resultater - Vestdanmark'!J87+'Resultater - Østdanmark'!J87</f>
        <v>#REF!</v>
      </c>
    </row>
    <row r="88" spans="1:10" x14ac:dyDescent="0.25">
      <c r="A88" s="98" t="str">
        <f>'Resultater - Vestdanmark'!A88</f>
        <v>Kostald</v>
      </c>
      <c r="B88" s="98" t="str">
        <f>'Resultater - Vestdanmark'!B88</f>
        <v>Konventionel</v>
      </c>
      <c r="C88" s="98" t="str">
        <f>'Resultater - Vestdanmark'!C88</f>
        <v/>
      </c>
      <c r="D88" s="98" t="str">
        <f>'Resultater - Vestdanmark'!D88</f>
        <v>Køer</v>
      </c>
      <c r="E88" s="98" t="str">
        <f>'Resultater - Vestdanmark'!E88</f>
        <v>Antal</v>
      </c>
      <c r="F88" s="98" t="str">
        <f>'Resultater - Vestdanmark'!F88</f>
        <v>Slagtekøer</v>
      </c>
      <c r="G88" s="98" t="str">
        <f>'Resultater - Vestdanmark'!G88</f>
        <v>Antal</v>
      </c>
      <c r="H88" s="280" t="e">
        <f>'Resultater - Vestdanmark'!H88+'Resultater - Østdanmark'!H88</f>
        <v>#REF!</v>
      </c>
      <c r="I88" s="281" t="e">
        <f>'Resultater - Vestdanmark'!I88+'Resultater - Østdanmark'!I88</f>
        <v>#REF!</v>
      </c>
      <c r="J88" s="282" t="e">
        <f>'Resultater - Vestdanmark'!J88+'Resultater - Østdanmark'!J88</f>
        <v>#REF!</v>
      </c>
    </row>
    <row r="89" spans="1:10" x14ac:dyDescent="0.25">
      <c r="A89" s="98" t="str">
        <f>'Resultater - Vestdanmark'!A89</f>
        <v>Kostald</v>
      </c>
      <c r="B89" s="98" t="str">
        <f>'Resultater - Vestdanmark'!B89</f>
        <v>Konventionel</v>
      </c>
      <c r="C89" s="98" t="str">
        <f>'Resultater - Vestdanmark'!C89</f>
        <v/>
      </c>
      <c r="D89" s="98" t="str">
        <f>'Resultater - Vestdanmark'!D89</f>
        <v>Køer</v>
      </c>
      <c r="E89" s="98" t="str">
        <f>'Resultater - Vestdanmark'!E89</f>
        <v>Antal</v>
      </c>
      <c r="F89" s="98" t="str">
        <f>'Resultater - Vestdanmark'!F89</f>
        <v>Kvæggylle</v>
      </c>
      <c r="G89" s="98" t="str">
        <f>'Resultater - Vestdanmark'!G89</f>
        <v>Ton</v>
      </c>
      <c r="H89" s="280" t="e">
        <f>'Resultater - Vestdanmark'!H89+'Resultater - Østdanmark'!H89</f>
        <v>#REF!</v>
      </c>
      <c r="I89" s="281" t="e">
        <f>'Resultater - Vestdanmark'!I89+'Resultater - Østdanmark'!I89</f>
        <v>#REF!</v>
      </c>
      <c r="J89" s="282" t="e">
        <f>'Resultater - Vestdanmark'!J89+'Resultater - Østdanmark'!J89</f>
        <v>#REF!</v>
      </c>
    </row>
    <row r="90" spans="1:10" x14ac:dyDescent="0.25">
      <c r="A90" s="98" t="str">
        <f>'Resultater - Vestdanmark'!A90</f>
        <v>Kostald</v>
      </c>
      <c r="B90" s="98" t="str">
        <f>'Resultater - Vestdanmark'!B90</f>
        <v>Konventionel</v>
      </c>
      <c r="C90" s="98" t="str">
        <f>'Resultater - Vestdanmark'!C90</f>
        <v/>
      </c>
      <c r="D90" s="98" t="str">
        <f>'Resultater - Vestdanmark'!D90</f>
        <v>Køer</v>
      </c>
      <c r="E90" s="98" t="str">
        <f>'Resultater - Vestdanmark'!E90</f>
        <v>Antal</v>
      </c>
      <c r="F90" s="98" t="str">
        <f>'Resultater - Vestdanmark'!F90</f>
        <v>Dybstrøelse</v>
      </c>
      <c r="G90" s="98" t="str">
        <f>'Resultater - Vestdanmark'!G90</f>
        <v>Ton</v>
      </c>
      <c r="H90" s="280" t="e">
        <f>'Resultater - Vestdanmark'!H90+'Resultater - Østdanmark'!H90</f>
        <v>#REF!</v>
      </c>
      <c r="I90" s="281" t="e">
        <f>'Resultater - Vestdanmark'!I90+'Resultater - Østdanmark'!I90</f>
        <v>#REF!</v>
      </c>
      <c r="J90" s="282" t="e">
        <f>'Resultater - Vestdanmark'!J90+'Resultater - Østdanmark'!J90</f>
        <v>#REF!</v>
      </c>
    </row>
    <row r="91" spans="1:10" x14ac:dyDescent="0.25">
      <c r="A91" s="98" t="str">
        <f>'Resultater - Vestdanmark'!A91</f>
        <v>Kostald</v>
      </c>
      <c r="B91" s="98" t="str">
        <f>'Resultater - Vestdanmark'!B91</f>
        <v>Konventionel</v>
      </c>
      <c r="C91" s="98" t="str">
        <f>'Resultater - Vestdanmark'!C91</f>
        <v/>
      </c>
      <c r="D91" s="98" t="str">
        <f>'Resultater - Vestdanmark'!D91</f>
        <v>Køer</v>
      </c>
      <c r="E91" s="98" t="str">
        <f>'Resultater - Vestdanmark'!E91</f>
        <v>Antal</v>
      </c>
      <c r="F91" s="98" t="str">
        <f>'Resultater - Vestdanmark'!F91</f>
        <v>Råmælk</v>
      </c>
      <c r="G91" s="98" t="str">
        <f>'Resultater - Vestdanmark'!G91</f>
        <v>Ton</v>
      </c>
      <c r="H91" s="280" t="e">
        <f>'Resultater - Vestdanmark'!H91+'Resultater - Østdanmark'!H91</f>
        <v>#REF!</v>
      </c>
      <c r="I91" s="281" t="e">
        <f>'Resultater - Vestdanmark'!I91+'Resultater - Østdanmark'!I91</f>
        <v>#REF!</v>
      </c>
      <c r="J91" s="282" t="e">
        <f>'Resultater - Vestdanmark'!J91+'Resultater - Østdanmark'!J91</f>
        <v>#REF!</v>
      </c>
    </row>
    <row r="92" spans="1:10" x14ac:dyDescent="0.25">
      <c r="A92" s="98" t="str">
        <f>'Resultater - Vestdanmark'!A92</f>
        <v>Kostald</v>
      </c>
      <c r="B92" s="98" t="str">
        <f>'Resultater - Vestdanmark'!B92</f>
        <v>Konventionel</v>
      </c>
      <c r="C92" s="98" t="str">
        <f>'Resultater - Vestdanmark'!C92</f>
        <v/>
      </c>
      <c r="D92" s="98" t="str">
        <f>'Resultater - Vestdanmark'!D92</f>
        <v>Køer</v>
      </c>
      <c r="E92" s="98" t="str">
        <f>'Resultater - Vestdanmark'!E92</f>
        <v>Antal</v>
      </c>
      <c r="F92" s="98" t="str">
        <f>'Resultater - Vestdanmark'!F92</f>
        <v>Industriaffald</v>
      </c>
      <c r="G92" s="98" t="str">
        <f>'Resultater - Vestdanmark'!G92</f>
        <v>Ton</v>
      </c>
      <c r="H92" s="280" t="e">
        <f>'Resultater - Vestdanmark'!H92+'Resultater - Østdanmark'!H92</f>
        <v>#REF!</v>
      </c>
      <c r="I92" s="281" t="e">
        <f>'Resultater - Vestdanmark'!I92+'Resultater - Østdanmark'!I92</f>
        <v>#REF!</v>
      </c>
      <c r="J92" s="282" t="e">
        <f>'Resultater - Vestdanmark'!J92+'Resultater - Østdanmark'!J92</f>
        <v>#REF!</v>
      </c>
    </row>
    <row r="93" spans="1:10" x14ac:dyDescent="0.25">
      <c r="A93" s="98" t="str">
        <f>'Resultater - Vestdanmark'!A93</f>
        <v>Kostald</v>
      </c>
      <c r="B93" s="98" t="str">
        <f>'Resultater - Vestdanmark'!B93</f>
        <v>Konventionel</v>
      </c>
      <c r="C93" s="98" t="str">
        <f>'Resultater - Vestdanmark'!C93</f>
        <v/>
      </c>
      <c r="D93" s="98" t="str">
        <f>'Resultater - Vestdanmark'!D93</f>
        <v>Køer</v>
      </c>
      <c r="E93" s="98" t="str">
        <f>'Resultater - Vestdanmark'!E93</f>
        <v>Antal</v>
      </c>
      <c r="F93" s="98" t="str">
        <f>'Resultater - Vestdanmark'!F93</f>
        <v>Foder</v>
      </c>
      <c r="G93" s="98" t="str">
        <f>'Resultater - Vestdanmark'!G93</f>
        <v>FE</v>
      </c>
      <c r="H93" s="280" t="e">
        <f>'Resultater - Vestdanmark'!H93+'Resultater - Østdanmark'!H93</f>
        <v>#REF!</v>
      </c>
      <c r="I93" s="281" t="e">
        <f>'Resultater - Vestdanmark'!I93+'Resultater - Østdanmark'!I93</f>
        <v>#REF!</v>
      </c>
      <c r="J93" s="282" t="e">
        <f>'Resultater - Vestdanmark'!J93+'Resultater - Østdanmark'!J93</f>
        <v>#REF!</v>
      </c>
    </row>
    <row r="94" spans="1:10" x14ac:dyDescent="0.25">
      <c r="A94" s="98" t="str">
        <f>'Resultater - Vestdanmark'!A94</f>
        <v>Kostald</v>
      </c>
      <c r="B94" s="98" t="str">
        <f>'Resultater - Vestdanmark'!B94</f>
        <v>Konventionel</v>
      </c>
      <c r="C94" s="98" t="str">
        <f>'Resultater - Vestdanmark'!C94</f>
        <v/>
      </c>
      <c r="D94" s="98" t="str">
        <f>'Resultater - Vestdanmark'!D94</f>
        <v>Køer</v>
      </c>
      <c r="E94" s="98" t="str">
        <f>'Resultater - Vestdanmark'!E94</f>
        <v>Antal</v>
      </c>
      <c r="F94" s="98" t="str">
        <f>'Resultater - Vestdanmark'!F94</f>
        <v>Halm</v>
      </c>
      <c r="G94" s="98" t="str">
        <f>'Resultater - Vestdanmark'!G94</f>
        <v>Ton</v>
      </c>
      <c r="H94" s="280" t="e">
        <f>'Resultater - Vestdanmark'!H94+'Resultater - Østdanmark'!H94</f>
        <v>#REF!</v>
      </c>
      <c r="I94" s="281" t="e">
        <f>'Resultater - Vestdanmark'!I94+'Resultater - Østdanmark'!I94</f>
        <v>#REF!</v>
      </c>
      <c r="J94" s="282" t="e">
        <f>'Resultater - Vestdanmark'!J94+'Resultater - Østdanmark'!J94</f>
        <v>#REF!</v>
      </c>
    </row>
    <row r="95" spans="1:10" x14ac:dyDescent="0.25">
      <c r="A95" s="98" t="str">
        <f>'Resultater - Vestdanmark'!A95</f>
        <v>Kostald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Køer</v>
      </c>
      <c r="E95" s="98" t="str">
        <f>'Resultater - Vestdanmark'!E95</f>
        <v>Antal</v>
      </c>
      <c r="F95" s="98" t="str">
        <f>'Resultater - Vestdanmark'!F95</f>
        <v>CO2 - atmosfære</v>
      </c>
      <c r="G95" s="98" t="str">
        <f>'Resultater - Vestdanmark'!G95</f>
        <v>t CO2-ækvivalenter</v>
      </c>
      <c r="H95" s="280" t="e">
        <f>'Resultater - Vestdanmark'!H95+'Resultater - Østdanmark'!H95</f>
        <v>#REF!</v>
      </c>
      <c r="I95" s="281" t="e">
        <f>'Resultater - Vestdanmark'!I95+'Resultater - Østdanmark'!I95</f>
        <v>#REF!</v>
      </c>
      <c r="J95" s="282" t="e">
        <f>'Resultater - Vestdanmark'!J95+'Resultater - Østdanmark'!J95</f>
        <v>#REF!</v>
      </c>
    </row>
    <row r="96" spans="1:10" x14ac:dyDescent="0.25">
      <c r="A96" s="98" t="str">
        <f>'Resultater - Vestdanmark'!A96</f>
        <v>Kostald</v>
      </c>
      <c r="B96" s="98" t="str">
        <f>'Resultater - Vestdanmark'!B96</f>
        <v>Økologisk</v>
      </c>
      <c r="C96" s="98" t="str">
        <f>'Resultater - Vestdanmark'!C96</f>
        <v/>
      </c>
      <c r="D96" s="98" t="str">
        <f>'Resultater - Vestdanmark'!D96</f>
        <v>Køer</v>
      </c>
      <c r="E96" s="98" t="str">
        <f>'Resultater - Vestdanmark'!E96</f>
        <v>Antal</v>
      </c>
      <c r="F96" s="98" t="str">
        <f>'Resultater - Vestdanmark'!F96</f>
        <v>Slagtekøer</v>
      </c>
      <c r="G96" s="98" t="str">
        <f>'Resultater - Vestdanmark'!G96</f>
        <v>Antal</v>
      </c>
      <c r="H96" s="280" t="e">
        <f>'Resultater - Vestdanmark'!H96+'Resultater - Østdanmark'!H96</f>
        <v>#REF!</v>
      </c>
      <c r="I96" s="281" t="e">
        <f>'Resultater - Vestdanmark'!I96+'Resultater - Østdanmark'!I96</f>
        <v>#REF!</v>
      </c>
      <c r="J96" s="282" t="e">
        <f>'Resultater - Vestdanmark'!J96+'Resultater - Østdanmark'!J96</f>
        <v>#REF!</v>
      </c>
    </row>
    <row r="97" spans="1:10" x14ac:dyDescent="0.25">
      <c r="A97" s="98" t="str">
        <f>'Resultater - Vestdanmark'!A97</f>
        <v>Kostald</v>
      </c>
      <c r="B97" s="98" t="str">
        <f>'Resultater - Vestdanmark'!B97</f>
        <v>Økologisk</v>
      </c>
      <c r="C97" s="98" t="str">
        <f>'Resultater - Vestdanmark'!C97</f>
        <v/>
      </c>
      <c r="D97" s="98" t="str">
        <f>'Resultater - Vestdanmark'!D97</f>
        <v>Køer</v>
      </c>
      <c r="E97" s="98" t="str">
        <f>'Resultater - Vestdanmark'!E97</f>
        <v>Antal</v>
      </c>
      <c r="F97" s="98" t="str">
        <f>'Resultater - Vestdanmark'!F97</f>
        <v>Kvæggylle</v>
      </c>
      <c r="G97" s="98" t="str">
        <f>'Resultater - Vestdanmark'!G97</f>
        <v>Ton</v>
      </c>
      <c r="H97" s="280" t="e">
        <f>'Resultater - Vestdanmark'!H97+'Resultater - Østdanmark'!H97</f>
        <v>#REF!</v>
      </c>
      <c r="I97" s="281" t="e">
        <f>'Resultater - Vestdanmark'!I97+'Resultater - Østdanmark'!I97</f>
        <v>#REF!</v>
      </c>
      <c r="J97" s="282" t="e">
        <f>'Resultater - Vestdanmark'!J97+'Resultater - Østdanmark'!J97</f>
        <v>#REF!</v>
      </c>
    </row>
    <row r="98" spans="1:10" x14ac:dyDescent="0.25">
      <c r="A98" s="98" t="str">
        <f>'Resultater - Vestdanmark'!A98</f>
        <v>Kostald</v>
      </c>
      <c r="B98" s="98" t="str">
        <f>'Resultater - Vestdanmark'!B98</f>
        <v>Økologisk</v>
      </c>
      <c r="C98" s="98" t="str">
        <f>'Resultater - Vestdanmark'!C98</f>
        <v/>
      </c>
      <c r="D98" s="98" t="str">
        <f>'Resultater - Vestdanmark'!D98</f>
        <v>Køer</v>
      </c>
      <c r="E98" s="98" t="str">
        <f>'Resultater - Vestdanmark'!E98</f>
        <v>Antal</v>
      </c>
      <c r="F98" s="98" t="str">
        <f>'Resultater - Vestdanmark'!F98</f>
        <v>Dybstrøelse</v>
      </c>
      <c r="G98" s="98" t="str">
        <f>'Resultater - Vestdanmark'!G98</f>
        <v>Ton</v>
      </c>
      <c r="H98" s="280" t="e">
        <f>'Resultater - Vestdanmark'!H98+'Resultater - Østdanmark'!H98</f>
        <v>#REF!</v>
      </c>
      <c r="I98" s="281" t="e">
        <f>'Resultater - Vestdanmark'!I98+'Resultater - Østdanmark'!I98</f>
        <v>#REF!</v>
      </c>
      <c r="J98" s="282" t="e">
        <f>'Resultater - Vestdanmark'!J98+'Resultater - Østdanmark'!J98</f>
        <v>#REF!</v>
      </c>
    </row>
    <row r="99" spans="1:10" x14ac:dyDescent="0.25">
      <c r="A99" s="98" t="str">
        <f>'Resultater - Vestdanmark'!A99</f>
        <v>Kostald</v>
      </c>
      <c r="B99" s="98" t="str">
        <f>'Resultater - Vestdanmark'!B99</f>
        <v>Økologisk</v>
      </c>
      <c r="C99" s="98" t="str">
        <f>'Resultater - Vestdanmark'!C99</f>
        <v/>
      </c>
      <c r="D99" s="98" t="str">
        <f>'Resultater - Vestdanmark'!D99</f>
        <v>Køer</v>
      </c>
      <c r="E99" s="98" t="str">
        <f>'Resultater - Vestdanmark'!E99</f>
        <v>Antal</v>
      </c>
      <c r="F99" s="98" t="str">
        <f>'Resultater - Vestdanmark'!F99</f>
        <v>Råmælk</v>
      </c>
      <c r="G99" s="98" t="str">
        <f>'Resultater - Vestdanmark'!G99</f>
        <v>Ton</v>
      </c>
      <c r="H99" s="280" t="e">
        <f>'Resultater - Vestdanmark'!H99+'Resultater - Østdanmark'!H99</f>
        <v>#REF!</v>
      </c>
      <c r="I99" s="281" t="e">
        <f>'Resultater - Vestdanmark'!I99+'Resultater - Østdanmark'!I99</f>
        <v>#REF!</v>
      </c>
      <c r="J99" s="282" t="e">
        <f>'Resultater - Vestdanmark'!J99+'Resultater - Østdanmark'!J99</f>
        <v>#REF!</v>
      </c>
    </row>
    <row r="100" spans="1:10" x14ac:dyDescent="0.25">
      <c r="A100" s="98" t="str">
        <f>'Resultater - Vestdanmark'!A100</f>
        <v>Kostald</v>
      </c>
      <c r="B100" s="98" t="str">
        <f>'Resultater - Vestdanmark'!B100</f>
        <v>Økologisk</v>
      </c>
      <c r="C100" s="98" t="str">
        <f>'Resultater - Vestdanmark'!C100</f>
        <v/>
      </c>
      <c r="D100" s="98" t="str">
        <f>'Resultater - Vestdanmark'!D100</f>
        <v>Køer</v>
      </c>
      <c r="E100" s="98" t="str">
        <f>'Resultater - Vestdanmark'!E100</f>
        <v>Antal</v>
      </c>
      <c r="F100" s="98" t="str">
        <f>'Resultater - Vestdanmark'!F100</f>
        <v>Industriaffald</v>
      </c>
      <c r="G100" s="98" t="str">
        <f>'Resultater - Vestdanmark'!G100</f>
        <v>Ton</v>
      </c>
      <c r="H100" s="280" t="e">
        <f>'Resultater - Vestdanmark'!H100+'Resultater - Østdanmark'!H100</f>
        <v>#REF!</v>
      </c>
      <c r="I100" s="281" t="e">
        <f>'Resultater - Vestdanmark'!I100+'Resultater - Østdanmark'!I100</f>
        <v>#REF!</v>
      </c>
      <c r="J100" s="282" t="e">
        <f>'Resultater - Vestdanmark'!J100+'Resultater - Østdanmark'!J100</f>
        <v>#REF!</v>
      </c>
    </row>
    <row r="101" spans="1:10" x14ac:dyDescent="0.25">
      <c r="A101" s="98" t="str">
        <f>'Resultater - Vestdanmark'!A101</f>
        <v>Kostald</v>
      </c>
      <c r="B101" s="98" t="str">
        <f>'Resultater - Vestdanmark'!B101</f>
        <v>Økologisk</v>
      </c>
      <c r="C101" s="98" t="str">
        <f>'Resultater - Vestdanmark'!C101</f>
        <v/>
      </c>
      <c r="D101" s="98" t="str">
        <f>'Resultater - Vestdanmark'!D101</f>
        <v>Køer</v>
      </c>
      <c r="E101" s="98" t="str">
        <f>'Resultater - Vestdanmark'!E101</f>
        <v>Antal</v>
      </c>
      <c r="F101" s="98" t="str">
        <f>'Resultater - Vestdanmark'!F101</f>
        <v>Foder</v>
      </c>
      <c r="G101" s="98" t="str">
        <f>'Resultater - Vestdanmark'!G101</f>
        <v>FE</v>
      </c>
      <c r="H101" s="280" t="e">
        <f>'Resultater - Vestdanmark'!H101+'Resultater - Østdanmark'!H101</f>
        <v>#REF!</v>
      </c>
      <c r="I101" s="281" t="e">
        <f>'Resultater - Vestdanmark'!I101+'Resultater - Østdanmark'!I101</f>
        <v>#REF!</v>
      </c>
      <c r="J101" s="282" t="e">
        <f>'Resultater - Vestdanmark'!J101+'Resultater - Østdanmark'!J101</f>
        <v>#REF!</v>
      </c>
    </row>
    <row r="102" spans="1:10" x14ac:dyDescent="0.25">
      <c r="A102" s="98" t="str">
        <f>'Resultater - Vestdanmark'!A102</f>
        <v>Kostald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Køer</v>
      </c>
      <c r="E102" s="98" t="str">
        <f>'Resultater - Vestdanmark'!E102</f>
        <v>Antal</v>
      </c>
      <c r="F102" s="98" t="str">
        <f>'Resultater - Vestdanmark'!F102</f>
        <v>Halm</v>
      </c>
      <c r="G102" s="98" t="str">
        <f>'Resultater - Vestdanmark'!G102</f>
        <v>Ton</v>
      </c>
      <c r="H102" s="280" t="e">
        <f>'Resultater - Vestdanmark'!H102+'Resultater - Østdanmark'!H102</f>
        <v>#REF!</v>
      </c>
      <c r="I102" s="281" t="e">
        <f>'Resultater - Vestdanmark'!I102+'Resultater - Østdanmark'!I102</f>
        <v>#REF!</v>
      </c>
      <c r="J102" s="282" t="e">
        <f>'Resultater - Vestdanmark'!J102+'Resultater - Østdanmark'!J102</f>
        <v>#REF!</v>
      </c>
    </row>
    <row r="103" spans="1:10" x14ac:dyDescent="0.25">
      <c r="A103" s="98" t="str">
        <f>'Resultater - Vestdanmark'!A103</f>
        <v>Kostald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Køer</v>
      </c>
      <c r="E103" s="98" t="str">
        <f>'Resultater - Vestdanmark'!E103</f>
        <v>Antal</v>
      </c>
      <c r="F103" s="98" t="str">
        <f>'Resultater - Vestdanmark'!F103</f>
        <v>CO2 - atmosfære</v>
      </c>
      <c r="G103" s="98" t="str">
        <f>'Resultater - Vestdanmark'!G103</f>
        <v>t CO2-ækvivalenter</v>
      </c>
      <c r="H103" s="280" t="e">
        <f>'Resultater - Vestdanmark'!H103+'Resultater - Østdanmark'!H103</f>
        <v>#REF!</v>
      </c>
      <c r="I103" s="281" t="e">
        <f>'Resultater - Vestdanmark'!I103+'Resultater - Østdanmark'!I103</f>
        <v>#REF!</v>
      </c>
      <c r="J103" s="282" t="e">
        <f>'Resultater - Vestdanmark'!J103+'Resultater - Østdanmark'!J103</f>
        <v>#REF!</v>
      </c>
    </row>
    <row r="104" spans="1:10" x14ac:dyDescent="0.25">
      <c r="A104" s="98" t="str">
        <f>'Resultater - Vestdanmark'!A104</f>
        <v>Fjerkræbrug</v>
      </c>
      <c r="B104" s="98" t="str">
        <f>'Resultater - Vestdanmark'!B104</f>
        <v>Konventionel</v>
      </c>
      <c r="C104" s="98" t="str">
        <f>'Resultater - Vestdanmark'!C104</f>
        <v/>
      </c>
      <c r="D104" s="98" t="str">
        <f>'Resultater - Vestdanmark'!D104</f>
        <v>Fjerkræ</v>
      </c>
      <c r="E104" s="98" t="str">
        <f>'Resultater - Vestdanmark'!E104</f>
        <v>Antal</v>
      </c>
      <c r="F104" s="98" t="str">
        <f>'Resultater - Vestdanmark'!F104</f>
        <v>Slagtefjerkræ</v>
      </c>
      <c r="G104" s="98" t="str">
        <f>'Resultater - Vestdanmark'!G104</f>
        <v>Antal</v>
      </c>
      <c r="H104" s="280" t="e">
        <f>'Resultater - Vestdanmark'!H104+'Resultater - Østdanmark'!H104</f>
        <v>#REF!</v>
      </c>
      <c r="I104" s="281" t="e">
        <f>'Resultater - Vestdanmark'!I104+'Resultater - Østdanmark'!I104</f>
        <v>#REF!</v>
      </c>
      <c r="J104" s="282" t="e">
        <f>'Resultater - Vestdanmark'!J104+'Resultater - Østdanmark'!J104</f>
        <v>#REF!</v>
      </c>
    </row>
    <row r="105" spans="1:10" x14ac:dyDescent="0.25">
      <c r="A105" s="98" t="str">
        <f>'Resultater - Vestdanmark'!A105</f>
        <v>Fjerkræbrug</v>
      </c>
      <c r="B105" s="98" t="str">
        <f>'Resultater - Vestdanmark'!B105</f>
        <v>Konventionel</v>
      </c>
      <c r="C105" s="98" t="str">
        <f>'Resultater - Vestdanmark'!C105</f>
        <v/>
      </c>
      <c r="D105" s="98" t="str">
        <f>'Resultater - Vestdanmark'!D105</f>
        <v>Fjerkræ</v>
      </c>
      <c r="E105" s="98" t="str">
        <f>'Resultater - Vestdanmark'!E105</f>
        <v>Antal</v>
      </c>
      <c r="F105" s="98" t="str">
        <f>'Resultater - Vestdanmark'!F105</f>
        <v>Fjerkrægylle</v>
      </c>
      <c r="G105" s="98" t="str">
        <f>'Resultater - Vestdanmark'!G105</f>
        <v>Ton</v>
      </c>
      <c r="H105" s="280" t="e">
        <f>'Resultater - Vestdanmark'!H105+'Resultater - Østdanmark'!H105</f>
        <v>#REF!</v>
      </c>
      <c r="I105" s="281" t="e">
        <f>'Resultater - Vestdanmark'!I105+'Resultater - Østdanmark'!I105</f>
        <v>#REF!</v>
      </c>
      <c r="J105" s="282" t="e">
        <f>'Resultater - Vestdanmark'!J105+'Resultater - Østdanmark'!J105</f>
        <v>#REF!</v>
      </c>
    </row>
    <row r="106" spans="1:10" x14ac:dyDescent="0.25">
      <c r="A106" s="98" t="str">
        <f>'Resultater - Vestdanmark'!A106</f>
        <v>Fjerkræbrug</v>
      </c>
      <c r="B106" s="98" t="str">
        <f>'Resultater - Vestdanmark'!B106</f>
        <v>Konventionel</v>
      </c>
      <c r="C106" s="98" t="str">
        <f>'Resultater - Vestdanmark'!C106</f>
        <v/>
      </c>
      <c r="D106" s="98" t="str">
        <f>'Resultater - Vestdanmark'!D106</f>
        <v>Fjerkræ</v>
      </c>
      <c r="E106" s="98" t="str">
        <f>'Resultater - Vestdanmark'!E106</f>
        <v>Antal</v>
      </c>
      <c r="F106" s="98" t="str">
        <f>'Resultater - Vestdanmark'!F106</f>
        <v>Dybstrøelse</v>
      </c>
      <c r="G106" s="98" t="str">
        <f>'Resultater - Vestdanmark'!G106</f>
        <v>Ton</v>
      </c>
      <c r="H106" s="280" t="e">
        <f>'Resultater - Vestdanmark'!H106+'Resultater - Østdanmark'!H106</f>
        <v>#REF!</v>
      </c>
      <c r="I106" s="281" t="e">
        <f>'Resultater - Vestdanmark'!I106+'Resultater - Østdanmark'!I106</f>
        <v>#REF!</v>
      </c>
      <c r="J106" s="282" t="e">
        <f>'Resultater - Vestdanmark'!J106+'Resultater - Østdanmark'!J106</f>
        <v>#REF!</v>
      </c>
    </row>
    <row r="107" spans="1:10" x14ac:dyDescent="0.25">
      <c r="A107" s="98" t="str">
        <f>'Resultater - Vestdanmark'!A107</f>
        <v>Fjerkræbrug</v>
      </c>
      <c r="B107" s="98" t="str">
        <f>'Resultater - Vestdanmark'!B107</f>
        <v>Konventionel</v>
      </c>
      <c r="C107" s="98" t="str">
        <f>'Resultater - Vestdanmark'!C107</f>
        <v/>
      </c>
      <c r="D107" s="98" t="str">
        <f>'Resultater - Vestdanmark'!D107</f>
        <v>Fjerkræ</v>
      </c>
      <c r="E107" s="98" t="str">
        <f>'Resultater - Vestdanmark'!E107</f>
        <v>Antal</v>
      </c>
      <c r="F107" s="98" t="str">
        <f>'Resultater - Vestdanmark'!F107</f>
        <v>Æg</v>
      </c>
      <c r="G107" s="98" t="str">
        <f>'Resultater - Vestdanmark'!G107</f>
        <v>Ton</v>
      </c>
      <c r="H107" s="280" t="e">
        <f>'Resultater - Vestdanmark'!H107+'Resultater - Østdanmark'!H107</f>
        <v>#REF!</v>
      </c>
      <c r="I107" s="281" t="e">
        <f>'Resultater - Vestdanmark'!I107+'Resultater - Østdanmark'!I107</f>
        <v>#REF!</v>
      </c>
      <c r="J107" s="282" t="e">
        <f>'Resultater - Vestdanmark'!J107+'Resultater - Østdanmark'!J107</f>
        <v>#REF!</v>
      </c>
    </row>
    <row r="108" spans="1:10" x14ac:dyDescent="0.25">
      <c r="A108" s="98" t="str">
        <f>'Resultater - Vestdanmark'!A108</f>
        <v>Fjerkræbrug</v>
      </c>
      <c r="B108" s="98" t="str">
        <f>'Resultater - Vestdanmark'!B108</f>
        <v>Konventionel</v>
      </c>
      <c r="C108" s="98" t="str">
        <f>'Resultater - Vestdanmark'!C108</f>
        <v/>
      </c>
      <c r="D108" s="98" t="str">
        <f>'Resultater - Vestdanmark'!D108</f>
        <v>Fjerkræ</v>
      </c>
      <c r="E108" s="98" t="str">
        <f>'Resultater - Vestdanmark'!E108</f>
        <v>Antal</v>
      </c>
      <c r="F108" s="98" t="str">
        <f>'Resultater - Vestdanmark'!F108</f>
        <v>Industriaffald</v>
      </c>
      <c r="G108" s="98" t="str">
        <f>'Resultater - Vestdanmark'!G108</f>
        <v>Ton</v>
      </c>
      <c r="H108" s="280" t="e">
        <f>'Resultater - Vestdanmark'!H108+'Resultater - Østdanmark'!H108</f>
        <v>#REF!</v>
      </c>
      <c r="I108" s="281" t="e">
        <f>'Resultater - Vestdanmark'!I108+'Resultater - Østdanmark'!I108</f>
        <v>#REF!</v>
      </c>
      <c r="J108" s="282" t="e">
        <f>'Resultater - Vestdanmark'!J108+'Resultater - Østdanmark'!J108</f>
        <v>#REF!</v>
      </c>
    </row>
    <row r="109" spans="1:10" x14ac:dyDescent="0.25">
      <c r="A109" s="98" t="str">
        <f>'Resultater - Vestdanmark'!A109</f>
        <v>Fjerkræbrug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Fjerkræ</v>
      </c>
      <c r="E109" s="98" t="str">
        <f>'Resultater - Vestdanmark'!E109</f>
        <v>Antal</v>
      </c>
      <c r="F109" s="98" t="str">
        <f>'Resultater - Vestdanmark'!F109</f>
        <v>Foder</v>
      </c>
      <c r="G109" s="98" t="str">
        <f>'Resultater - Vestdanmark'!G109</f>
        <v>FE</v>
      </c>
      <c r="H109" s="280" t="e">
        <f>'Resultater - Vestdanmark'!H109+'Resultater - Østdanmark'!H109</f>
        <v>#REF!</v>
      </c>
      <c r="I109" s="281" t="e">
        <f>'Resultater - Vestdanmark'!I109+'Resultater - Østdanmark'!I109</f>
        <v>#REF!</v>
      </c>
      <c r="J109" s="282" t="e">
        <f>'Resultater - Vestdanmark'!J109+'Resultater - Østdanmark'!J109</f>
        <v>#REF!</v>
      </c>
    </row>
    <row r="110" spans="1:10" x14ac:dyDescent="0.25">
      <c r="A110" s="98" t="str">
        <f>'Resultater - Vestdanmark'!A110</f>
        <v>Fjerkræbrug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Fjerkræ</v>
      </c>
      <c r="E110" s="98" t="str">
        <f>'Resultater - Vestdanmark'!E110</f>
        <v>Antal</v>
      </c>
      <c r="F110" s="98" t="str">
        <f>'Resultater - Vestdanmark'!F110</f>
        <v>Halm</v>
      </c>
      <c r="G110" s="98" t="str">
        <f>'Resultater - Vestdanmark'!G110</f>
        <v>Ton</v>
      </c>
      <c r="H110" s="280" t="e">
        <f>'Resultater - Vestdanmark'!H110+'Resultater - Østdanmark'!H110</f>
        <v>#REF!</v>
      </c>
      <c r="I110" s="281" t="e">
        <f>'Resultater - Vestdanmark'!I110+'Resultater - Østdanmark'!I110</f>
        <v>#REF!</v>
      </c>
      <c r="J110" s="282" t="e">
        <f>'Resultater - Vestdanmark'!J110+'Resultater - Østdanmark'!J110</f>
        <v>#REF!</v>
      </c>
    </row>
    <row r="111" spans="1:10" x14ac:dyDescent="0.25">
      <c r="A111" s="98" t="str">
        <f>'Resultater - Vestdanmark'!A111</f>
        <v>Fjerkræbrug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Fjerkræ</v>
      </c>
      <c r="E111" s="98" t="str">
        <f>'Resultater - Vestdanmark'!E111</f>
        <v>Antal</v>
      </c>
      <c r="F111" s="98" t="str">
        <f>'Resultater - Vestdanmark'!F111</f>
        <v>CO2 - atmosfære</v>
      </c>
      <c r="G111" s="98" t="str">
        <f>'Resultater - Vestdanmark'!G111</f>
        <v>t CO2-ækvivalenter</v>
      </c>
      <c r="H111" s="280" t="e">
        <f>'Resultater - Vestdanmark'!H111+'Resultater - Østdanmark'!H111</f>
        <v>#REF!</v>
      </c>
      <c r="I111" s="281" t="e">
        <f>'Resultater - Vestdanmark'!I111+'Resultater - Østdanmark'!I111</f>
        <v>#REF!</v>
      </c>
      <c r="J111" s="282" t="e">
        <f>'Resultater - Vestdanmark'!J111+'Resultater - Østdanmark'!J111</f>
        <v>#REF!</v>
      </c>
    </row>
    <row r="112" spans="1:10" x14ac:dyDescent="0.25">
      <c r="A112" s="98" t="str">
        <f>'Resultater - Vestdanmark'!A112</f>
        <v>Fjerkræbrug</v>
      </c>
      <c r="B112" s="98" t="str">
        <f>'Resultater - Vestdanmark'!B112</f>
        <v>Økologisk</v>
      </c>
      <c r="C112" s="98" t="str">
        <f>'Resultater - Vestdanmark'!C112</f>
        <v/>
      </c>
      <c r="D112" s="98" t="str">
        <f>'Resultater - Vestdanmark'!D112</f>
        <v>Fjerkræ</v>
      </c>
      <c r="E112" s="98" t="str">
        <f>'Resultater - Vestdanmark'!E112</f>
        <v>Antal</v>
      </c>
      <c r="F112" s="98" t="str">
        <f>'Resultater - Vestdanmark'!F112</f>
        <v>Slagtefjerkræ</v>
      </c>
      <c r="G112" s="98" t="str">
        <f>'Resultater - Vestdanmark'!G112</f>
        <v>Antal</v>
      </c>
      <c r="H112" s="280" t="e">
        <f>'Resultater - Vestdanmark'!H112+'Resultater - Østdanmark'!H112</f>
        <v>#REF!</v>
      </c>
      <c r="I112" s="281" t="e">
        <f>'Resultater - Vestdanmark'!I112+'Resultater - Østdanmark'!I112</f>
        <v>#REF!</v>
      </c>
      <c r="J112" s="282" t="e">
        <f>'Resultater - Vestdanmark'!J112+'Resultater - Østdanmark'!J112</f>
        <v>#REF!</v>
      </c>
    </row>
    <row r="113" spans="1:10" x14ac:dyDescent="0.25">
      <c r="A113" s="98" t="str">
        <f>'Resultater - Vestdanmark'!A113</f>
        <v>Fjerkræbrug</v>
      </c>
      <c r="B113" s="98" t="str">
        <f>'Resultater - Vestdanmark'!B113</f>
        <v>Økologisk</v>
      </c>
      <c r="C113" s="98" t="str">
        <f>'Resultater - Vestdanmark'!C113</f>
        <v/>
      </c>
      <c r="D113" s="98" t="str">
        <f>'Resultater - Vestdanmark'!D113</f>
        <v>Fjerkræ</v>
      </c>
      <c r="E113" s="98" t="str">
        <f>'Resultater - Vestdanmark'!E113</f>
        <v>Antal</v>
      </c>
      <c r="F113" s="98" t="str">
        <f>'Resultater - Vestdanmark'!F113</f>
        <v>Fjerkrægylle</v>
      </c>
      <c r="G113" s="98" t="str">
        <f>'Resultater - Vestdanmark'!G113</f>
        <v>Ton</v>
      </c>
      <c r="H113" s="280" t="e">
        <f>'Resultater - Vestdanmark'!H113+'Resultater - Østdanmark'!H113</f>
        <v>#REF!</v>
      </c>
      <c r="I113" s="281" t="e">
        <f>'Resultater - Vestdanmark'!I113+'Resultater - Østdanmark'!I113</f>
        <v>#REF!</v>
      </c>
      <c r="J113" s="282" t="e">
        <f>'Resultater - Vestdanmark'!J113+'Resultater - Østdanmark'!J113</f>
        <v>#REF!</v>
      </c>
    </row>
    <row r="114" spans="1:10" x14ac:dyDescent="0.25">
      <c r="A114" s="98" t="str">
        <f>'Resultater - Vestdanmark'!A114</f>
        <v>Fjerkræbrug</v>
      </c>
      <c r="B114" s="98" t="str">
        <f>'Resultater - Vestdanmark'!B114</f>
        <v>Økologisk</v>
      </c>
      <c r="C114" s="98" t="str">
        <f>'Resultater - Vestdanmark'!C114</f>
        <v/>
      </c>
      <c r="D114" s="98" t="str">
        <f>'Resultater - Vestdanmark'!D114</f>
        <v>Fjerkræ</v>
      </c>
      <c r="E114" s="98" t="str">
        <f>'Resultater - Vestdanmark'!E114</f>
        <v>Antal</v>
      </c>
      <c r="F114" s="98" t="str">
        <f>'Resultater - Vestdanmark'!F114</f>
        <v>Dybstrøelse</v>
      </c>
      <c r="G114" s="98" t="str">
        <f>'Resultater - Vestdanmark'!G114</f>
        <v>Ton</v>
      </c>
      <c r="H114" s="280" t="e">
        <f>'Resultater - Vestdanmark'!H114+'Resultater - Østdanmark'!H114</f>
        <v>#REF!</v>
      </c>
      <c r="I114" s="281" t="e">
        <f>'Resultater - Vestdanmark'!I114+'Resultater - Østdanmark'!I114</f>
        <v>#REF!</v>
      </c>
      <c r="J114" s="282" t="e">
        <f>'Resultater - Vestdanmark'!J114+'Resultater - Østdanmark'!J114</f>
        <v>#REF!</v>
      </c>
    </row>
    <row r="115" spans="1:10" x14ac:dyDescent="0.25">
      <c r="A115" s="98" t="str">
        <f>'Resultater - Vestdanmark'!A115</f>
        <v>Fjerkræbrug</v>
      </c>
      <c r="B115" s="98" t="str">
        <f>'Resultater - Vestdanmark'!B115</f>
        <v>Økologisk</v>
      </c>
      <c r="C115" s="98" t="str">
        <f>'Resultater - Vestdanmark'!C115</f>
        <v/>
      </c>
      <c r="D115" s="98" t="str">
        <f>'Resultater - Vestdanmark'!D115</f>
        <v>Fjerkræ</v>
      </c>
      <c r="E115" s="98" t="str">
        <f>'Resultater - Vestdanmark'!E115</f>
        <v>Antal</v>
      </c>
      <c r="F115" s="98" t="str">
        <f>'Resultater - Vestdanmark'!F115</f>
        <v>Æg</v>
      </c>
      <c r="G115" s="98" t="str">
        <f>'Resultater - Vestdanmark'!G115</f>
        <v>Ton</v>
      </c>
      <c r="H115" s="280" t="e">
        <f>'Resultater - Vestdanmark'!H115+'Resultater - Østdanmark'!H115</f>
        <v>#REF!</v>
      </c>
      <c r="I115" s="281" t="e">
        <f>'Resultater - Vestdanmark'!I115+'Resultater - Østdanmark'!I115</f>
        <v>#REF!</v>
      </c>
      <c r="J115" s="282" t="e">
        <f>'Resultater - Vestdanmark'!J115+'Resultater - Østdanmark'!J115</f>
        <v>#REF!</v>
      </c>
    </row>
    <row r="116" spans="1:10" x14ac:dyDescent="0.25">
      <c r="A116" s="98" t="str">
        <f>'Resultater - Vestdanmark'!A116</f>
        <v>Fjerkræbrug</v>
      </c>
      <c r="B116" s="98" t="str">
        <f>'Resultater - Vestdanmark'!B116</f>
        <v>Økologisk</v>
      </c>
      <c r="C116" s="98" t="str">
        <f>'Resultater - Vestdanmark'!C116</f>
        <v/>
      </c>
      <c r="D116" s="98" t="str">
        <f>'Resultater - Vestdanmark'!D116</f>
        <v>Fjerkræ</v>
      </c>
      <c r="E116" s="98" t="str">
        <f>'Resultater - Vestdanmark'!E116</f>
        <v>Antal</v>
      </c>
      <c r="F116" s="98" t="str">
        <f>'Resultater - Vestdanmark'!F116</f>
        <v>Industriaffald</v>
      </c>
      <c r="G116" s="98" t="str">
        <f>'Resultater - Vestdanmark'!G116</f>
        <v>Ton</v>
      </c>
      <c r="H116" s="280" t="e">
        <f>'Resultater - Vestdanmark'!H116+'Resultater - Østdanmark'!H116</f>
        <v>#REF!</v>
      </c>
      <c r="I116" s="281" t="e">
        <f>'Resultater - Vestdanmark'!I116+'Resultater - Østdanmark'!I116</f>
        <v>#REF!</v>
      </c>
      <c r="J116" s="282" t="e">
        <f>'Resultater - Vestdanmark'!J116+'Resultater - Østdanmark'!J116</f>
        <v>#REF!</v>
      </c>
    </row>
    <row r="117" spans="1:10" x14ac:dyDescent="0.25">
      <c r="A117" s="98" t="str">
        <f>'Resultater - Vestdanmark'!A117</f>
        <v>Fjerkræbrug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Fjerkræ</v>
      </c>
      <c r="E117" s="98" t="str">
        <f>'Resultater - Vestdanmark'!E117</f>
        <v>Antal</v>
      </c>
      <c r="F117" s="98" t="str">
        <f>'Resultater - Vestdanmark'!F117</f>
        <v>Foder</v>
      </c>
      <c r="G117" s="98" t="str">
        <f>'Resultater - Vestdanmark'!G117</f>
        <v>FE</v>
      </c>
      <c r="H117" s="280" t="e">
        <f>'Resultater - Vestdanmark'!H117+'Resultater - Østdanmark'!H117</f>
        <v>#REF!</v>
      </c>
      <c r="I117" s="281" t="e">
        <f>'Resultater - Vestdanmark'!I117+'Resultater - Østdanmark'!I117</f>
        <v>#REF!</v>
      </c>
      <c r="J117" s="282" t="e">
        <f>'Resultater - Vestdanmark'!J117+'Resultater - Østdanmark'!J117</f>
        <v>#REF!</v>
      </c>
    </row>
    <row r="118" spans="1:10" x14ac:dyDescent="0.25">
      <c r="A118" s="98" t="str">
        <f>'Resultater - Vestdanmark'!A118</f>
        <v>Fjerkræbrug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Fjerkræ</v>
      </c>
      <c r="E118" s="98" t="str">
        <f>'Resultater - Vestdanmark'!E118</f>
        <v>Antal</v>
      </c>
      <c r="F118" s="98" t="str">
        <f>'Resultater - Vestdanmark'!F118</f>
        <v>Halm</v>
      </c>
      <c r="G118" s="98" t="str">
        <f>'Resultater - Vestdanmark'!G118</f>
        <v>Ton</v>
      </c>
      <c r="H118" s="280" t="e">
        <f>'Resultater - Vestdanmark'!H118+'Resultater - Østdanmark'!H118</f>
        <v>#REF!</v>
      </c>
      <c r="I118" s="281" t="e">
        <f>'Resultater - Vestdanmark'!I118+'Resultater - Østdanmark'!I118</f>
        <v>#REF!</v>
      </c>
      <c r="J118" s="282" t="e">
        <f>'Resultater - Vestdanmark'!J118+'Resultater - Østdanmark'!J118</f>
        <v>#REF!</v>
      </c>
    </row>
    <row r="119" spans="1:10" x14ac:dyDescent="0.25">
      <c r="A119" s="98" t="str">
        <f>'Resultater - Vestdanmark'!A119</f>
        <v>Fjerkræbrug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Fjerkræ</v>
      </c>
      <c r="E119" s="98" t="str">
        <f>'Resultater - Vestdanmark'!E119</f>
        <v>Antal</v>
      </c>
      <c r="F119" s="98" t="str">
        <f>'Resultater - Vestdanmark'!F119</f>
        <v>CO2 - atmosfære</v>
      </c>
      <c r="G119" s="98" t="str">
        <f>'Resultater - Vestdanmark'!G119</f>
        <v>t CO2-ækvivalenter</v>
      </c>
      <c r="H119" s="280" t="e">
        <f>'Resultater - Vestdanmark'!H119+'Resultater - Østdanmark'!H119</f>
        <v>#REF!</v>
      </c>
      <c r="I119" s="281" t="e">
        <f>'Resultater - Vestdanmark'!I119+'Resultater - Østdanmark'!I119</f>
        <v>#REF!</v>
      </c>
      <c r="J119" s="282" t="e">
        <f>'Resultater - Vestdanmark'!J119+'Resultater - Østdanmark'!J119</f>
        <v>#REF!</v>
      </c>
    </row>
    <row r="120" spans="1:10" x14ac:dyDescent="0.25">
      <c r="A120" s="98" t="str">
        <f>'Resultater - Vestdanmark'!A120</f>
        <v>Kornmark</v>
      </c>
      <c r="B120" s="98" t="str">
        <f>'Resultater - Vestdanmark'!B120</f>
        <v>Konventionel</v>
      </c>
      <c r="C120" s="98" t="str">
        <f>'Resultater - Vestdanmark'!C120</f>
        <v>JB1-10</v>
      </c>
      <c r="D120" s="98" t="str">
        <f>'Resultater - Vestdanmark'!D120</f>
        <v>Areal-korn</v>
      </c>
      <c r="E120" s="98" t="str">
        <f>'Resultater - Vestdanmark'!E120</f>
        <v>Hektar</v>
      </c>
      <c r="F120" s="98" t="str">
        <f>'Resultater - Vestdanmark'!F120</f>
        <v>Korn</v>
      </c>
      <c r="G120" s="98" t="str">
        <f>'Resultater - Vestdanmark'!G120</f>
        <v>Ton</v>
      </c>
      <c r="H120" s="280" t="e">
        <f>'Resultater - Vestdanmark'!H120+'Resultater - Østdanmark'!H120</f>
        <v>#REF!</v>
      </c>
      <c r="I120" s="281" t="e">
        <f>'Resultater - Vestdanmark'!I120+'Resultater - Østdanmark'!I120</f>
        <v>#REF!</v>
      </c>
      <c r="J120" s="282" t="e">
        <f>'Resultater - Vestdanmark'!J120+'Resultater - Østdanmark'!J120</f>
        <v>#REF!</v>
      </c>
    </row>
    <row r="121" spans="1:10" x14ac:dyDescent="0.25">
      <c r="A121" s="98" t="str">
        <f>'Resultater - Vestdanmark'!A121</f>
        <v>Kornmark</v>
      </c>
      <c r="B121" s="98" t="str">
        <f>'Resultater - Vestdanmark'!B121</f>
        <v>Konventionel</v>
      </c>
      <c r="C121" s="98" t="str">
        <f>'Resultater - Vestdanmark'!C121</f>
        <v>JB1-10</v>
      </c>
      <c r="D121" s="98" t="str">
        <f>'Resultater - Vestdanmark'!D121</f>
        <v>Areal-korn</v>
      </c>
      <c r="E121" s="98" t="str">
        <f>'Resultater - Vestdanmark'!E121</f>
        <v>Hektar</v>
      </c>
      <c r="F121" s="98" t="str">
        <f>'Resultater - Vestdanmark'!F121</f>
        <v>Halm</v>
      </c>
      <c r="G121" s="98" t="str">
        <f>'Resultater - Vestdanmark'!G121</f>
        <v>Ton</v>
      </c>
      <c r="H121" s="280" t="e">
        <f>'Resultater - Vestdanmark'!H121+'Resultater - Østdanmark'!H121</f>
        <v>#REF!</v>
      </c>
      <c r="I121" s="281" t="e">
        <f>'Resultater - Vestdanmark'!I121+'Resultater - Østdanmark'!I121</f>
        <v>#REF!</v>
      </c>
      <c r="J121" s="282" t="e">
        <f>'Resultater - Vestdanmark'!J121+'Resultater - Østdanmark'!J121</f>
        <v>#REF!</v>
      </c>
    </row>
    <row r="122" spans="1:10" x14ac:dyDescent="0.25">
      <c r="A122" s="98" t="str">
        <f>'Resultater - Vestdanmark'!A122</f>
        <v>Kornmark</v>
      </c>
      <c r="B122" s="98" t="str">
        <f>'Resultater - Vestdanmark'!B122</f>
        <v>Konventionel</v>
      </c>
      <c r="C122" s="98" t="str">
        <f>'Resultater - Vestdanmark'!C122</f>
        <v>JB1-10</v>
      </c>
      <c r="D122" s="98" t="str">
        <f>'Resultater - Vestdanmark'!D122</f>
        <v>Areal-korn</v>
      </c>
      <c r="E122" s="98" t="str">
        <f>'Resultater - Vestdanmark'!E122</f>
        <v>Hektar</v>
      </c>
      <c r="F122" s="98" t="str">
        <f>'Resultater - Vestdanmark'!F122</f>
        <v>Gødning</v>
      </c>
      <c r="G122" s="98" t="str">
        <f>'Resultater - Vestdanmark'!G122</f>
        <v>kg N</v>
      </c>
      <c r="H122" s="280" t="e">
        <f>'Resultater - Vestdanmark'!H122+'Resultater - Østdanmark'!H122</f>
        <v>#REF!</v>
      </c>
      <c r="I122" s="281" t="e">
        <f>'Resultater - Vestdanmark'!I122+'Resultater - Østdanmark'!I122</f>
        <v>#REF!</v>
      </c>
      <c r="J122" s="282" t="e">
        <f>'Resultater - Vestdanmark'!J122+'Resultater - Østdanmark'!J122</f>
        <v>#REF!</v>
      </c>
    </row>
    <row r="123" spans="1:10" x14ac:dyDescent="0.25">
      <c r="A123" s="98" t="str">
        <f>'Resultater - Vestdanmark'!A123</f>
        <v>Kornmark</v>
      </c>
      <c r="B123" s="98" t="str">
        <f>'Resultater - Vestdanmark'!B123</f>
        <v>Konventionel</v>
      </c>
      <c r="C123" s="98" t="str">
        <f>'Resultater - Vestdanmark'!C123</f>
        <v>JB1-10</v>
      </c>
      <c r="D123" s="98" t="str">
        <f>'Resultater - Vestdanmark'!D123</f>
        <v>Areal-korn</v>
      </c>
      <c r="E123" s="98" t="str">
        <f>'Resultater - Vestdanmark'!E123</f>
        <v>Hektar</v>
      </c>
      <c r="F123" s="98" t="str">
        <f>'Resultater - Vestdanmark'!F123</f>
        <v>CO2 - atmosfære</v>
      </c>
      <c r="G123" s="98" t="str">
        <f>'Resultater - Vestdanmark'!G123</f>
        <v>t CO2-ækvivalenter</v>
      </c>
      <c r="H123" s="280" t="e">
        <f>'Resultater - Vestdanmark'!H123+'Resultater - Østdanmark'!H123</f>
        <v>#REF!</v>
      </c>
      <c r="I123" s="281" t="e">
        <f>'Resultater - Vestdanmark'!I123+'Resultater - Østdanmark'!I123</f>
        <v>#REF!</v>
      </c>
      <c r="J123" s="282" t="e">
        <f>'Resultater - Vestdanmark'!J123+'Resultater - Østdanmark'!J123</f>
        <v>#REF!</v>
      </c>
    </row>
    <row r="124" spans="1:10" x14ac:dyDescent="0.25">
      <c r="A124" s="98" t="str">
        <f>'Resultater - Vestdanmark'!A124</f>
        <v>Kornmark</v>
      </c>
      <c r="B124" s="98" t="str">
        <f>'Resultater - Vestdanmark'!B124</f>
        <v>Konventionel</v>
      </c>
      <c r="C124" s="98" t="str">
        <f>'Resultater - Vestdanmark'!C124</f>
        <v>OC6</v>
      </c>
      <c r="D124" s="98" t="str">
        <f>'Resultater - Vestdanmark'!D124</f>
        <v>Areal-korn</v>
      </c>
      <c r="E124" s="98" t="str">
        <f>'Resultater - Vestdanmark'!E124</f>
        <v>Hektar</v>
      </c>
      <c r="F124" s="98" t="str">
        <f>'Resultater - Vestdanmark'!F124</f>
        <v>Korn</v>
      </c>
      <c r="G124" s="98" t="str">
        <f>'Resultater - Vestdanmark'!G124</f>
        <v>Ton</v>
      </c>
      <c r="H124" s="280" t="e">
        <f>'Resultater - Vestdanmark'!H124+'Resultater - Østdanmark'!H124</f>
        <v>#REF!</v>
      </c>
      <c r="I124" s="281" t="e">
        <f>'Resultater - Vestdanmark'!I124+'Resultater - Østdanmark'!I124</f>
        <v>#REF!</v>
      </c>
      <c r="J124" s="282" t="e">
        <f>'Resultater - Vestdanmark'!J124+'Resultater - Østdanmark'!J124</f>
        <v>#REF!</v>
      </c>
    </row>
    <row r="125" spans="1:10" x14ac:dyDescent="0.25">
      <c r="A125" s="98" t="str">
        <f>'Resultater - Vestdanmark'!A125</f>
        <v>Kornmark</v>
      </c>
      <c r="B125" s="98" t="str">
        <f>'Resultater - Vestdanmark'!B125</f>
        <v>Konventionel</v>
      </c>
      <c r="C125" s="98" t="str">
        <f>'Resultater - Vestdanmark'!C125</f>
        <v>OC6</v>
      </c>
      <c r="D125" s="98" t="str">
        <f>'Resultater - Vestdanmark'!D125</f>
        <v>Areal-korn</v>
      </c>
      <c r="E125" s="98" t="str">
        <f>'Resultater - Vestdanmark'!E125</f>
        <v>Hektar</v>
      </c>
      <c r="F125" s="98" t="str">
        <f>'Resultater - Vestdanmark'!F125</f>
        <v>Halm</v>
      </c>
      <c r="G125" s="98" t="str">
        <f>'Resultater - Vestdanmark'!G125</f>
        <v>Ton</v>
      </c>
      <c r="H125" s="280" t="e">
        <f>'Resultater - Vestdanmark'!H125+'Resultater - Østdanmark'!H125</f>
        <v>#REF!</v>
      </c>
      <c r="I125" s="281" t="e">
        <f>'Resultater - Vestdanmark'!I125+'Resultater - Østdanmark'!I125</f>
        <v>#REF!</v>
      </c>
      <c r="J125" s="282" t="e">
        <f>'Resultater - Vestdanmark'!J125+'Resultater - Østdanmark'!J125</f>
        <v>#REF!</v>
      </c>
    </row>
    <row r="126" spans="1:10" x14ac:dyDescent="0.25">
      <c r="A126" s="98" t="str">
        <f>'Resultater - Vestdanmark'!A126</f>
        <v>Kornmark</v>
      </c>
      <c r="B126" s="98" t="str">
        <f>'Resultater - Vestdanmark'!B126</f>
        <v>Konventionel</v>
      </c>
      <c r="C126" s="98" t="str">
        <f>'Resultater - Vestdanmark'!C126</f>
        <v>OC6</v>
      </c>
      <c r="D126" s="98" t="str">
        <f>'Resultater - Vestdanmark'!D126</f>
        <v>Areal-korn</v>
      </c>
      <c r="E126" s="98" t="str">
        <f>'Resultater - Vestdanmark'!E126</f>
        <v>Hektar</v>
      </c>
      <c r="F126" s="98" t="str">
        <f>'Resultater - Vestdanmark'!F126</f>
        <v>Gødning</v>
      </c>
      <c r="G126" s="98" t="str">
        <f>'Resultater - Vestdanmark'!G126</f>
        <v>kg N</v>
      </c>
      <c r="H126" s="280" t="e">
        <f>'Resultater - Vestdanmark'!H126+'Resultater - Østdanmark'!H126</f>
        <v>#REF!</v>
      </c>
      <c r="I126" s="281" t="e">
        <f>'Resultater - Vestdanmark'!I126+'Resultater - Østdanmark'!I126</f>
        <v>#REF!</v>
      </c>
      <c r="J126" s="282" t="e">
        <f>'Resultater - Vestdanmark'!J126+'Resultater - Østdanmark'!J126</f>
        <v>#REF!</v>
      </c>
    </row>
    <row r="127" spans="1:10" x14ac:dyDescent="0.25">
      <c r="A127" s="98" t="str">
        <f>'Resultater - Vestdanmark'!A127</f>
        <v>Kornmark</v>
      </c>
      <c r="B127" s="98" t="str">
        <f>'Resultater - Vestdanmark'!B127</f>
        <v>Konventionel</v>
      </c>
      <c r="C127" s="98" t="str">
        <f>'Resultater - Vestdanmark'!C127</f>
        <v>OC6</v>
      </c>
      <c r="D127" s="98" t="str">
        <f>'Resultater - Vestdanmark'!D127</f>
        <v>Areal-korn</v>
      </c>
      <c r="E127" s="98" t="str">
        <f>'Resultater - Vestdanmark'!E127</f>
        <v>Hektar</v>
      </c>
      <c r="F127" s="98" t="str">
        <f>'Resultater - Vestdanmark'!F127</f>
        <v>CO2 - atmosfære</v>
      </c>
      <c r="G127" s="98" t="str">
        <f>'Resultater - Vestdanmark'!G127</f>
        <v>t CO2-ækvivalenter</v>
      </c>
      <c r="H127" s="280" t="e">
        <f>'Resultater - Vestdanmark'!H127+'Resultater - Østdanmark'!H127</f>
        <v>#REF!</v>
      </c>
      <c r="I127" s="281" t="e">
        <f>'Resultater - Vestdanmark'!I127+'Resultater - Østdanmark'!I127</f>
        <v>#REF!</v>
      </c>
      <c r="J127" s="282" t="e">
        <f>'Resultater - Vestdanmark'!J127+'Resultater - Østdanmark'!J127</f>
        <v>#REF!</v>
      </c>
    </row>
    <row r="128" spans="1:10" x14ac:dyDescent="0.25">
      <c r="A128" s="98" t="str">
        <f>'Resultater - Vestdanmark'!A128</f>
        <v>Kornmark</v>
      </c>
      <c r="B128" s="98" t="str">
        <f>'Resultater - Vestdanmark'!B128</f>
        <v>Konventionel</v>
      </c>
      <c r="C128" s="98" t="str">
        <f>'Resultater - Vestdanmark'!C128</f>
        <v>OC12</v>
      </c>
      <c r="D128" s="98" t="str">
        <f>'Resultater - Vestdanmark'!D128</f>
        <v>Areal-korn</v>
      </c>
      <c r="E128" s="98" t="str">
        <f>'Resultater - Vestdanmark'!E128</f>
        <v>Hektar</v>
      </c>
      <c r="F128" s="98" t="str">
        <f>'Resultater - Vestdanmark'!F128</f>
        <v>Korn</v>
      </c>
      <c r="G128" s="98" t="str">
        <f>'Resultater - Vestdanmark'!G128</f>
        <v>Ton</v>
      </c>
      <c r="H128" s="280" t="e">
        <f>'Resultater - Vestdanmark'!H128+'Resultater - Østdanmark'!H128</f>
        <v>#REF!</v>
      </c>
      <c r="I128" s="281" t="e">
        <f>'Resultater - Vestdanmark'!I128+'Resultater - Østdanmark'!I128</f>
        <v>#REF!</v>
      </c>
      <c r="J128" s="282" t="e">
        <f>'Resultater - Vestdanmark'!J128+'Resultater - Østdanmark'!J128</f>
        <v>#REF!</v>
      </c>
    </row>
    <row r="129" spans="1:10" x14ac:dyDescent="0.25">
      <c r="A129" s="98" t="str">
        <f>'Resultater - Vestdanmark'!A129</f>
        <v>Kornmark</v>
      </c>
      <c r="B129" s="98" t="str">
        <f>'Resultater - Vestdanmark'!B129</f>
        <v>Konventionel</v>
      </c>
      <c r="C129" s="98" t="str">
        <f>'Resultater - Vestdanmark'!C129</f>
        <v>OC12</v>
      </c>
      <c r="D129" s="98" t="str">
        <f>'Resultater - Vestdanmark'!D129</f>
        <v>Areal-korn</v>
      </c>
      <c r="E129" s="98" t="str">
        <f>'Resultater - Vestdanmark'!E129</f>
        <v>Hektar</v>
      </c>
      <c r="F129" s="98" t="str">
        <f>'Resultater - Vestdanmark'!F129</f>
        <v>Halm</v>
      </c>
      <c r="G129" s="98" t="str">
        <f>'Resultater - Vestdanmark'!G129</f>
        <v>Ton</v>
      </c>
      <c r="H129" s="280" t="e">
        <f>'Resultater - Vestdanmark'!H129+'Resultater - Østdanmark'!H129</f>
        <v>#REF!</v>
      </c>
      <c r="I129" s="281" t="e">
        <f>'Resultater - Vestdanmark'!I129+'Resultater - Østdanmark'!I129</f>
        <v>#REF!</v>
      </c>
      <c r="J129" s="282" t="e">
        <f>'Resultater - Vestdanmark'!J129+'Resultater - Østdanmark'!J129</f>
        <v>#REF!</v>
      </c>
    </row>
    <row r="130" spans="1:10" x14ac:dyDescent="0.25">
      <c r="A130" s="98" t="str">
        <f>'Resultater - Vestdanmark'!A130</f>
        <v>Kornmark</v>
      </c>
      <c r="B130" s="98" t="str">
        <f>'Resultater - Vestdanmark'!B130</f>
        <v>Konventionel</v>
      </c>
      <c r="C130" s="98" t="str">
        <f>'Resultater - Vestdanmark'!C130</f>
        <v>OC12</v>
      </c>
      <c r="D130" s="98" t="str">
        <f>'Resultater - Vestdanmark'!D130</f>
        <v>Areal-korn</v>
      </c>
      <c r="E130" s="98" t="str">
        <f>'Resultater - Vestdanmark'!E130</f>
        <v>Hektar</v>
      </c>
      <c r="F130" s="98" t="str">
        <f>'Resultater - Vestdanmark'!F130</f>
        <v>Gødning</v>
      </c>
      <c r="G130" s="98" t="str">
        <f>'Resultater - Vestdanmark'!G130</f>
        <v>kg N</v>
      </c>
      <c r="H130" s="280" t="e">
        <f>'Resultater - Vestdanmark'!H130+'Resultater - Østdanmark'!H130</f>
        <v>#REF!</v>
      </c>
      <c r="I130" s="281" t="e">
        <f>'Resultater - Vestdanmark'!I130+'Resultater - Østdanmark'!I130</f>
        <v>#REF!</v>
      </c>
      <c r="J130" s="282" t="e">
        <f>'Resultater - Vestdanmark'!J130+'Resultater - Østdanmark'!J130</f>
        <v>#REF!</v>
      </c>
    </row>
    <row r="131" spans="1:10" x14ac:dyDescent="0.25">
      <c r="A131" s="98" t="str">
        <f>'Resultater - Vestdanmark'!A131</f>
        <v>Kornmark</v>
      </c>
      <c r="B131" s="98" t="str">
        <f>'Resultater - Vestdanmark'!B131</f>
        <v>Konventionel</v>
      </c>
      <c r="C131" s="98" t="str">
        <f>'Resultater - Vestdanmark'!C131</f>
        <v>OC12</v>
      </c>
      <c r="D131" s="98" t="str">
        <f>'Resultater - Vestdanmark'!D131</f>
        <v>Areal-korn</v>
      </c>
      <c r="E131" s="98" t="str">
        <f>'Resultater - Vestdanmark'!E131</f>
        <v>Hektar</v>
      </c>
      <c r="F131" s="98" t="str">
        <f>'Resultater - Vestdanmark'!F131</f>
        <v>CO2 - atmosfære</v>
      </c>
      <c r="G131" s="98" t="str">
        <f>'Resultater - Vestdanmark'!G131</f>
        <v>t CO2-ækvivalenter</v>
      </c>
      <c r="H131" s="280" t="e">
        <f>'Resultater - Vestdanmark'!H131+'Resultater - Østdanmark'!H131</f>
        <v>#REF!</v>
      </c>
      <c r="I131" s="281" t="e">
        <f>'Resultater - Vestdanmark'!I131+'Resultater - Østdanmark'!I131</f>
        <v>#REF!</v>
      </c>
      <c r="J131" s="282" t="e">
        <f>'Resultater - Vestdanmark'!J131+'Resultater - Østdanmark'!J131</f>
        <v>#REF!</v>
      </c>
    </row>
    <row r="132" spans="1:10" x14ac:dyDescent="0.25">
      <c r="A132" s="98" t="str">
        <f>'Resultater - Vestdanmark'!A132</f>
        <v>Kornmark</v>
      </c>
      <c r="B132" s="98" t="str">
        <f>'Resultater - Vestdanmark'!B132</f>
        <v>Økologisk</v>
      </c>
      <c r="C132" s="98" t="str">
        <f>'Resultater - Vestdanmark'!C132</f>
        <v>JB1-10</v>
      </c>
      <c r="D132" s="98" t="str">
        <f>'Resultater - Vestdanmark'!D132</f>
        <v>Areal-korn</v>
      </c>
      <c r="E132" s="98" t="str">
        <f>'Resultater - Vestdanmark'!E132</f>
        <v>Hektar</v>
      </c>
      <c r="F132" s="98" t="str">
        <f>'Resultater - Vestdanmark'!F132</f>
        <v>Korn</v>
      </c>
      <c r="G132" s="98" t="str">
        <f>'Resultater - Vestdanmark'!G132</f>
        <v>Ton</v>
      </c>
      <c r="H132" s="280" t="e">
        <f>'Resultater - Vestdanmark'!H132+'Resultater - Østdanmark'!H132</f>
        <v>#REF!</v>
      </c>
      <c r="I132" s="281" t="e">
        <f>'Resultater - Vestdanmark'!I132+'Resultater - Østdanmark'!I132</f>
        <v>#REF!</v>
      </c>
      <c r="J132" s="282" t="e">
        <f>'Resultater - Vestdanmark'!J132+'Resultater - Østdanmark'!J132</f>
        <v>#REF!</v>
      </c>
    </row>
    <row r="133" spans="1:10" x14ac:dyDescent="0.25">
      <c r="A133" s="98" t="str">
        <f>'Resultater - Vestdanmark'!A133</f>
        <v>Kornmark</v>
      </c>
      <c r="B133" s="98" t="str">
        <f>'Resultater - Vestdanmark'!B133</f>
        <v>Økologisk</v>
      </c>
      <c r="C133" s="98" t="str">
        <f>'Resultater - Vestdanmark'!C133</f>
        <v>JB1-10</v>
      </c>
      <c r="D133" s="98" t="str">
        <f>'Resultater - Vestdanmark'!D133</f>
        <v>Areal-korn</v>
      </c>
      <c r="E133" s="98" t="str">
        <f>'Resultater - Vestdanmark'!E133</f>
        <v>Hektar</v>
      </c>
      <c r="F133" s="98" t="str">
        <f>'Resultater - Vestdanmark'!F133</f>
        <v>Halm</v>
      </c>
      <c r="G133" s="98" t="str">
        <f>'Resultater - Vestdanmark'!G133</f>
        <v>Ton</v>
      </c>
      <c r="H133" s="280" t="e">
        <f>'Resultater - Vestdanmark'!H133+'Resultater - Østdanmark'!H133</f>
        <v>#REF!</v>
      </c>
      <c r="I133" s="281" t="e">
        <f>'Resultater - Vestdanmark'!I133+'Resultater - Østdanmark'!I133</f>
        <v>#REF!</v>
      </c>
      <c r="J133" s="282" t="e">
        <f>'Resultater - Vestdanmark'!J133+'Resultater - Østdanmark'!J133</f>
        <v>#REF!</v>
      </c>
    </row>
    <row r="134" spans="1:10" x14ac:dyDescent="0.25">
      <c r="A134" s="98" t="str">
        <f>'Resultater - Vestdanmark'!A134</f>
        <v>Kornmark</v>
      </c>
      <c r="B134" s="98" t="str">
        <f>'Resultater - Vestdanmark'!B134</f>
        <v>Økologisk</v>
      </c>
      <c r="C134" s="98" t="str">
        <f>'Resultater - Vestdanmark'!C134</f>
        <v>JB1-10</v>
      </c>
      <c r="D134" s="98" t="str">
        <f>'Resultater - Vestdanmark'!D134</f>
        <v>Areal-korn</v>
      </c>
      <c r="E134" s="98" t="str">
        <f>'Resultater - Vestdanmark'!E134</f>
        <v>Hektar</v>
      </c>
      <c r="F134" s="98" t="str">
        <f>'Resultater - Vestdanmark'!F134</f>
        <v>Gødning</v>
      </c>
      <c r="G134" s="98" t="str">
        <f>'Resultater - Vestdanmark'!G134</f>
        <v>kg N</v>
      </c>
      <c r="H134" s="280" t="e">
        <f>'Resultater - Vestdanmark'!H134+'Resultater - Østdanmark'!H134</f>
        <v>#REF!</v>
      </c>
      <c r="I134" s="281" t="e">
        <f>'Resultater - Vestdanmark'!I134+'Resultater - Østdanmark'!I134</f>
        <v>#REF!</v>
      </c>
      <c r="J134" s="282" t="e">
        <f>'Resultater - Vestdanmark'!J134+'Resultater - Østdanmark'!J134</f>
        <v>#REF!</v>
      </c>
    </row>
    <row r="135" spans="1:10" x14ac:dyDescent="0.25">
      <c r="A135" s="98" t="str">
        <f>'Resultater - Vestdanmark'!A135</f>
        <v>Kornmark</v>
      </c>
      <c r="B135" s="98" t="str">
        <f>'Resultater - Vestdanmark'!B135</f>
        <v>Økologisk</v>
      </c>
      <c r="C135" s="98" t="str">
        <f>'Resultater - Vestdanmark'!C135</f>
        <v>JB1-10</v>
      </c>
      <c r="D135" s="98" t="str">
        <f>'Resultater - Vestdanmark'!D135</f>
        <v>Areal-korn</v>
      </c>
      <c r="E135" s="98" t="str">
        <f>'Resultater - Vestdanmark'!E135</f>
        <v>Hektar</v>
      </c>
      <c r="F135" s="98" t="str">
        <f>'Resultater - Vestdanmark'!F135</f>
        <v>CO2 - atmosfære</v>
      </c>
      <c r="G135" s="98" t="str">
        <f>'Resultater - Vestdanmark'!G135</f>
        <v>t CO2-ækvivalenter</v>
      </c>
      <c r="H135" s="280" t="e">
        <f>'Resultater - Vestdanmark'!H135+'Resultater - Østdanmark'!H135</f>
        <v>#REF!</v>
      </c>
      <c r="I135" s="281" t="e">
        <f>'Resultater - Vestdanmark'!I135+'Resultater - Østdanmark'!I135</f>
        <v>#REF!</v>
      </c>
      <c r="J135" s="282" t="e">
        <f>'Resultater - Vestdanmark'!J135+'Resultater - Østdanmark'!J135</f>
        <v>#REF!</v>
      </c>
    </row>
    <row r="136" spans="1:10" x14ac:dyDescent="0.25">
      <c r="A136" s="98" t="str">
        <f>'Resultater - Vestdanmark'!A136</f>
        <v>Kornmark</v>
      </c>
      <c r="B136" s="98" t="str">
        <f>'Resultater - Vestdanmark'!B136</f>
        <v>Økologisk</v>
      </c>
      <c r="C136" s="98" t="str">
        <f>'Resultater - Vestdanmark'!C136</f>
        <v>OC6</v>
      </c>
      <c r="D136" s="98" t="str">
        <f>'Resultater - Vestdanmark'!D136</f>
        <v>Areal-korn</v>
      </c>
      <c r="E136" s="98" t="str">
        <f>'Resultater - Vestdanmark'!E136</f>
        <v>Hektar</v>
      </c>
      <c r="F136" s="98" t="str">
        <f>'Resultater - Vestdanmark'!F136</f>
        <v>Korn</v>
      </c>
      <c r="G136" s="98" t="str">
        <f>'Resultater - Vestdanmark'!G136</f>
        <v>Ton</v>
      </c>
      <c r="H136" s="280" t="e">
        <f>'Resultater - Vestdanmark'!H136+'Resultater - Østdanmark'!H136</f>
        <v>#REF!</v>
      </c>
      <c r="I136" s="281" t="e">
        <f>'Resultater - Vestdanmark'!I136+'Resultater - Østdanmark'!I136</f>
        <v>#REF!</v>
      </c>
      <c r="J136" s="282" t="e">
        <f>'Resultater - Vestdanmark'!J136+'Resultater - Østdanmark'!J136</f>
        <v>#REF!</v>
      </c>
    </row>
    <row r="137" spans="1:10" x14ac:dyDescent="0.25">
      <c r="A137" s="98" t="str">
        <f>'Resultater - Vestdanmark'!A137</f>
        <v>Kornmark</v>
      </c>
      <c r="B137" s="98" t="str">
        <f>'Resultater - Vestdanmark'!B137</f>
        <v>Økologisk</v>
      </c>
      <c r="C137" s="98" t="str">
        <f>'Resultater - Vestdanmark'!C137</f>
        <v>OC6</v>
      </c>
      <c r="D137" s="98" t="str">
        <f>'Resultater - Vestdanmark'!D137</f>
        <v>Areal-korn</v>
      </c>
      <c r="E137" s="98" t="str">
        <f>'Resultater - Vestdanmark'!E137</f>
        <v>Hektar</v>
      </c>
      <c r="F137" s="98" t="str">
        <f>'Resultater - Vestdanmark'!F137</f>
        <v>Halm</v>
      </c>
      <c r="G137" s="98" t="str">
        <f>'Resultater - Vestdanmark'!G137</f>
        <v>Ton</v>
      </c>
      <c r="H137" s="280" t="e">
        <f>'Resultater - Vestdanmark'!H137+'Resultater - Østdanmark'!H137</f>
        <v>#REF!</v>
      </c>
      <c r="I137" s="281" t="e">
        <f>'Resultater - Vestdanmark'!I137+'Resultater - Østdanmark'!I137</f>
        <v>#REF!</v>
      </c>
      <c r="J137" s="282" t="e">
        <f>'Resultater - Vestdanmark'!J137+'Resultater - Østdanmark'!J137</f>
        <v>#REF!</v>
      </c>
    </row>
    <row r="138" spans="1:10" x14ac:dyDescent="0.25">
      <c r="A138" s="98" t="str">
        <f>'Resultater - Vestdanmark'!A138</f>
        <v>Kornmark</v>
      </c>
      <c r="B138" s="98" t="str">
        <f>'Resultater - Vestdanmark'!B138</f>
        <v>Økologisk</v>
      </c>
      <c r="C138" s="98" t="str">
        <f>'Resultater - Vestdanmark'!C138</f>
        <v>OC6</v>
      </c>
      <c r="D138" s="98" t="str">
        <f>'Resultater - Vestdanmark'!D138</f>
        <v>Areal-korn</v>
      </c>
      <c r="E138" s="98" t="str">
        <f>'Resultater - Vestdanmark'!E138</f>
        <v>Hektar</v>
      </c>
      <c r="F138" s="98" t="str">
        <f>'Resultater - Vestdanmark'!F138</f>
        <v>Gødning</v>
      </c>
      <c r="G138" s="98" t="str">
        <f>'Resultater - Vestdanmark'!G138</f>
        <v>kg N</v>
      </c>
      <c r="H138" s="280" t="e">
        <f>'Resultater - Vestdanmark'!H138+'Resultater - Østdanmark'!H138</f>
        <v>#REF!</v>
      </c>
      <c r="I138" s="281" t="e">
        <f>'Resultater - Vestdanmark'!I138+'Resultater - Østdanmark'!I138</f>
        <v>#REF!</v>
      </c>
      <c r="J138" s="282" t="e">
        <f>'Resultater - Vestdanmark'!J138+'Resultater - Østdanmark'!J138</f>
        <v>#REF!</v>
      </c>
    </row>
    <row r="139" spans="1:10" x14ac:dyDescent="0.25">
      <c r="A139" s="98" t="str">
        <f>'Resultater - Vestdanmark'!A139</f>
        <v>Kornmark</v>
      </c>
      <c r="B139" s="98" t="str">
        <f>'Resultater - Vestdanmark'!B139</f>
        <v>Økologisk</v>
      </c>
      <c r="C139" s="98" t="str">
        <f>'Resultater - Vestdanmark'!C139</f>
        <v>OC6</v>
      </c>
      <c r="D139" s="98" t="str">
        <f>'Resultater - Vestdanmark'!D139</f>
        <v>Areal-korn</v>
      </c>
      <c r="E139" s="98" t="str">
        <f>'Resultater - Vestdanmark'!E139</f>
        <v>Hektar</v>
      </c>
      <c r="F139" s="98" t="str">
        <f>'Resultater - Vestdanmark'!F139</f>
        <v>CO2 - atmosfære</v>
      </c>
      <c r="G139" s="98" t="str">
        <f>'Resultater - Vestdanmark'!G139</f>
        <v>t CO2-ækvivalenter</v>
      </c>
      <c r="H139" s="280" t="e">
        <f>'Resultater - Vestdanmark'!H139+'Resultater - Østdanmark'!H139</f>
        <v>#REF!</v>
      </c>
      <c r="I139" s="281" t="e">
        <f>'Resultater - Vestdanmark'!I139+'Resultater - Østdanmark'!I139</f>
        <v>#REF!</v>
      </c>
      <c r="J139" s="282" t="e">
        <f>'Resultater - Vestdanmark'!J139+'Resultater - Østdanmark'!J139</f>
        <v>#REF!</v>
      </c>
    </row>
    <row r="140" spans="1:10" x14ac:dyDescent="0.25">
      <c r="A140" s="98" t="str">
        <f>'Resultater - Vestdanmark'!A140</f>
        <v>Kornmark</v>
      </c>
      <c r="B140" s="98" t="str">
        <f>'Resultater - Vestdanmark'!B140</f>
        <v>Økologisk</v>
      </c>
      <c r="C140" s="98" t="str">
        <f>'Resultater - Vestdanmark'!C140</f>
        <v>OC12</v>
      </c>
      <c r="D140" s="98" t="str">
        <f>'Resultater - Vestdanmark'!D140</f>
        <v>Areal-korn</v>
      </c>
      <c r="E140" s="98" t="str">
        <f>'Resultater - Vestdanmark'!E140</f>
        <v>Hektar</v>
      </c>
      <c r="F140" s="98" t="str">
        <f>'Resultater - Vestdanmark'!F140</f>
        <v>Korn</v>
      </c>
      <c r="G140" s="98" t="str">
        <f>'Resultater - Vestdanmark'!G140</f>
        <v>Ton</v>
      </c>
      <c r="H140" s="280" t="e">
        <f>'Resultater - Vestdanmark'!H140+'Resultater - Østdanmark'!H140</f>
        <v>#REF!</v>
      </c>
      <c r="I140" s="281" t="e">
        <f>'Resultater - Vestdanmark'!I140+'Resultater - Østdanmark'!I140</f>
        <v>#REF!</v>
      </c>
      <c r="J140" s="282" t="e">
        <f>'Resultater - Vestdanmark'!J140+'Resultater - Østdanmark'!J140</f>
        <v>#REF!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Økologisk</v>
      </c>
      <c r="C141" s="98" t="str">
        <f>'Resultater - Vestdanmark'!C141</f>
        <v>OC12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Halm</v>
      </c>
      <c r="G141" s="98" t="str">
        <f>'Resultater - Vestdanmark'!G141</f>
        <v>Ton</v>
      </c>
      <c r="H141" s="280" t="e">
        <f>'Resultater - Vestdanmark'!H141+'Resultater - Østdanmark'!H141</f>
        <v>#REF!</v>
      </c>
      <c r="I141" s="281" t="e">
        <f>'Resultater - Vestdanmark'!I141+'Resultater - Østdanmark'!I141</f>
        <v>#REF!</v>
      </c>
      <c r="J141" s="282" t="e">
        <f>'Resultater - Vestdanmark'!J141+'Resultater - Østdanmark'!J141</f>
        <v>#REF!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Økologisk</v>
      </c>
      <c r="C142" s="98" t="str">
        <f>'Resultater - Vestdanmark'!C142</f>
        <v>OC12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Gødning</v>
      </c>
      <c r="G142" s="98" t="str">
        <f>'Resultater - Vestdanmark'!G142</f>
        <v>kg N</v>
      </c>
      <c r="H142" s="280" t="e">
        <f>'Resultater - Vestdanmark'!H142+'Resultater - Østdanmark'!H142</f>
        <v>#REF!</v>
      </c>
      <c r="I142" s="281" t="e">
        <f>'Resultater - Vestdanmark'!I142+'Resultater - Østdanmark'!I142</f>
        <v>#REF!</v>
      </c>
      <c r="J142" s="282" t="e">
        <f>'Resultater - Vestdanmark'!J142+'Resultater - Østdanmark'!J142</f>
        <v>#REF!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Økologisk</v>
      </c>
      <c r="C143" s="98" t="str">
        <f>'Resultater - Vestdanmark'!C143</f>
        <v>OC12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CO2 - atmosfære</v>
      </c>
      <c r="G143" s="98" t="str">
        <f>'Resultater - Vestdanmark'!G143</f>
        <v>t CO2-ækvivalenter</v>
      </c>
      <c r="H143" s="280" t="e">
        <f>'Resultater - Vestdanmark'!H143+'Resultater - Østdanmark'!H143</f>
        <v>#REF!</v>
      </c>
      <c r="I143" s="281" t="e">
        <f>'Resultater - Vestdanmark'!I143+'Resultater - Østdanmark'!I143</f>
        <v>#REF!</v>
      </c>
      <c r="J143" s="282" t="e">
        <f>'Resultater - Vestdanmark'!J143+'Resultater - Østdanmark'!J143</f>
        <v>#REF!</v>
      </c>
    </row>
    <row r="144" spans="1:10" x14ac:dyDescent="0.25">
      <c r="A144" s="98" t="str">
        <f>'Resultater - Vestdanmark'!A144</f>
        <v>Grøntsager på land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Areal-grøntsager</v>
      </c>
      <c r="E144" s="98" t="str">
        <f>'Resultater - Vestdanmark'!E144</f>
        <v>Hektar</v>
      </c>
      <c r="F144" s="98" t="str">
        <f>'Resultater - Vestdanmark'!F144</f>
        <v>Grøntsager</v>
      </c>
      <c r="G144" s="98" t="str">
        <f>'Resultater - Vestdanmark'!G144</f>
        <v>Ton</v>
      </c>
      <c r="H144" s="280" t="e">
        <f>'Resultater - Vestdanmark'!H144+'Resultater - Østdanmark'!H144</f>
        <v>#REF!</v>
      </c>
      <c r="I144" s="281" t="e">
        <f>'Resultater - Vestdanmark'!I144+'Resultater - Østdanmark'!I144</f>
        <v>#REF!</v>
      </c>
      <c r="J144" s="282" t="e">
        <f>'Resultater - Vestdanmark'!J144+'Resultater - Østdanmark'!J144</f>
        <v>#REF!</v>
      </c>
    </row>
    <row r="145" spans="1:10" x14ac:dyDescent="0.25">
      <c r="A145" s="98" t="str">
        <f>'Resultater - Vestdanmark'!A145</f>
        <v>Grøntsager på land</v>
      </c>
      <c r="B145" s="98" t="str">
        <f>'Resultater - Vestdanmark'!B145</f>
        <v>Konventionel</v>
      </c>
      <c r="C145" s="98" t="str">
        <f>'Resultater - Vestdanmark'!C145</f>
        <v>JB1-10</v>
      </c>
      <c r="D145" s="98" t="str">
        <f>'Resultater - Vestdanmark'!D145</f>
        <v>Areal-grøntsager</v>
      </c>
      <c r="E145" s="98" t="str">
        <f>'Resultater - Vestdanmark'!E145</f>
        <v>Hektar</v>
      </c>
      <c r="F145" s="98" t="str">
        <f>'Resultater - Vestdanmark'!F145</f>
        <v>Gødning</v>
      </c>
      <c r="G145" s="98" t="str">
        <f>'Resultater - Vestdanmark'!G145</f>
        <v>kg N</v>
      </c>
      <c r="H145" s="280" t="e">
        <f>'Resultater - Vestdanmark'!H145+'Resultater - Østdanmark'!H145</f>
        <v>#REF!</v>
      </c>
      <c r="I145" s="281" t="e">
        <f>'Resultater - Vestdanmark'!I145+'Resultater - Østdanmark'!I145</f>
        <v>#REF!</v>
      </c>
      <c r="J145" s="282" t="e">
        <f>'Resultater - Vestdanmark'!J145+'Resultater - Østdanmark'!J145</f>
        <v>#REF!</v>
      </c>
    </row>
    <row r="146" spans="1:10" x14ac:dyDescent="0.25">
      <c r="A146" s="98" t="str">
        <f>'Resultater - Vestdanmark'!A146</f>
        <v>Grøntsager på land</v>
      </c>
      <c r="B146" s="98" t="str">
        <f>'Resultater - Vestdanmark'!B146</f>
        <v>Konventionel</v>
      </c>
      <c r="C146" s="98" t="str">
        <f>'Resultater - Vestdanmark'!C146</f>
        <v>JB1-10</v>
      </c>
      <c r="D146" s="98" t="str">
        <f>'Resultater - Vestdanmark'!D146</f>
        <v>Areal-grøntsager</v>
      </c>
      <c r="E146" s="98" t="str">
        <f>'Resultater - Vestdanmark'!E146</f>
        <v>Hektar</v>
      </c>
      <c r="F146" s="98" t="str">
        <f>'Resultater - Vestdanmark'!F146</f>
        <v>CO2 - atmosfære</v>
      </c>
      <c r="G146" s="98" t="str">
        <f>'Resultater - Vestdanmark'!G146</f>
        <v>t CO2-ækvivalenter</v>
      </c>
      <c r="H146" s="280" t="e">
        <f>'Resultater - Vestdanmark'!H146+'Resultater - Østdanmark'!H146</f>
        <v>#REF!</v>
      </c>
      <c r="I146" s="281" t="e">
        <f>'Resultater - Vestdanmark'!I146+'Resultater - Østdanmark'!I146</f>
        <v>#REF!</v>
      </c>
      <c r="J146" s="282" t="e">
        <f>'Resultater - Vestdanmark'!J146+'Resultater - Østdanmark'!J146</f>
        <v>#REF!</v>
      </c>
    </row>
    <row r="147" spans="1:10" x14ac:dyDescent="0.25">
      <c r="A147" s="98" t="str">
        <f>'Resultater - Vestdanmark'!A147</f>
        <v>Grøntsager på land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Areal-grøntsager</v>
      </c>
      <c r="E147" s="98" t="str">
        <f>'Resultater - Vestdanmark'!E147</f>
        <v>Hektar</v>
      </c>
      <c r="F147" s="98" t="str">
        <f>'Resultater - Vestdanmark'!F147</f>
        <v>Grøntsager</v>
      </c>
      <c r="G147" s="98" t="str">
        <f>'Resultater - Vestdanmark'!G147</f>
        <v>Ton</v>
      </c>
      <c r="H147" s="280" t="e">
        <f>'Resultater - Vestdanmark'!H147+'Resultater - Østdanmark'!H147</f>
        <v>#REF!</v>
      </c>
      <c r="I147" s="281" t="e">
        <f>'Resultater - Vestdanmark'!I147+'Resultater - Østdanmark'!I147</f>
        <v>#REF!</v>
      </c>
      <c r="J147" s="282" t="e">
        <f>'Resultater - Vestdanmark'!J147+'Resultater - Østdanmark'!J147</f>
        <v>#REF!</v>
      </c>
    </row>
    <row r="148" spans="1:10" x14ac:dyDescent="0.25">
      <c r="A148" s="98" t="str">
        <f>'Resultater - Vestdanmark'!A148</f>
        <v>Grøntsager på land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Areal-grøntsager</v>
      </c>
      <c r="E148" s="98" t="str">
        <f>'Resultater - Vestdanmark'!E148</f>
        <v>Hektar</v>
      </c>
      <c r="F148" s="98" t="str">
        <f>'Resultater - Vestdanmark'!F148</f>
        <v>Gødning</v>
      </c>
      <c r="G148" s="98" t="str">
        <f>'Resultater - Vestdanmark'!G148</f>
        <v>kg N</v>
      </c>
      <c r="H148" s="280" t="e">
        <f>'Resultater - Vestdanmark'!H148+'Resultater - Østdanmark'!H148</f>
        <v>#REF!</v>
      </c>
      <c r="I148" s="281" t="e">
        <f>'Resultater - Vestdanmark'!I148+'Resultater - Østdanmark'!I148</f>
        <v>#REF!</v>
      </c>
      <c r="J148" s="282" t="e">
        <f>'Resultater - Vestdanmark'!J148+'Resultater - Østdanmark'!J148</f>
        <v>#REF!</v>
      </c>
    </row>
    <row r="149" spans="1:10" x14ac:dyDescent="0.25">
      <c r="A149" s="98" t="str">
        <f>'Resultater - Vestdanmark'!A149</f>
        <v>Grøntsager på land</v>
      </c>
      <c r="B149" s="98" t="str">
        <f>'Resultater - Vestdanmark'!B149</f>
        <v>Konventionel</v>
      </c>
      <c r="C149" s="98" t="str">
        <f>'Resultater - Vestdanmark'!C149</f>
        <v>OC6</v>
      </c>
      <c r="D149" s="98" t="str">
        <f>'Resultater - Vestdanmark'!D149</f>
        <v>Areal-grøntsager</v>
      </c>
      <c r="E149" s="98" t="str">
        <f>'Resultater - Vestdanmark'!E149</f>
        <v>Hektar</v>
      </c>
      <c r="F149" s="98" t="str">
        <f>'Resultater - Vestdanmark'!F149</f>
        <v>CO2 - atmosfære</v>
      </c>
      <c r="G149" s="98" t="str">
        <f>'Resultater - Vestdanmark'!G149</f>
        <v>t CO2-ækvivalenter</v>
      </c>
      <c r="H149" s="280" t="e">
        <f>'Resultater - Vestdanmark'!H149+'Resultater - Østdanmark'!H149</f>
        <v>#REF!</v>
      </c>
      <c r="I149" s="281" t="e">
        <f>'Resultater - Vestdanmark'!I149+'Resultater - Østdanmark'!I149</f>
        <v>#REF!</v>
      </c>
      <c r="J149" s="282" t="e">
        <f>'Resultater - Vestdanmark'!J149+'Resultater - Østdanmark'!J149</f>
        <v>#REF!</v>
      </c>
    </row>
    <row r="150" spans="1:10" x14ac:dyDescent="0.25">
      <c r="A150" s="98" t="str">
        <f>'Resultater - Vestdanmark'!A150</f>
        <v>Grøntsager på land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Areal-grøntsager</v>
      </c>
      <c r="E150" s="98" t="str">
        <f>'Resultater - Vestdanmark'!E150</f>
        <v>Hektar</v>
      </c>
      <c r="F150" s="98" t="str">
        <f>'Resultater - Vestdanmark'!F150</f>
        <v>Grøntsager</v>
      </c>
      <c r="G150" s="98" t="str">
        <f>'Resultater - Vestdanmark'!G150</f>
        <v>Ton</v>
      </c>
      <c r="H150" s="280" t="e">
        <f>'Resultater - Vestdanmark'!H150+'Resultater - Østdanmark'!H150</f>
        <v>#REF!</v>
      </c>
      <c r="I150" s="281" t="e">
        <f>'Resultater - Vestdanmark'!I150+'Resultater - Østdanmark'!I150</f>
        <v>#REF!</v>
      </c>
      <c r="J150" s="282" t="e">
        <f>'Resultater - Vestdanmark'!J150+'Resultater - Østdanmark'!J150</f>
        <v>#REF!</v>
      </c>
    </row>
    <row r="151" spans="1:10" x14ac:dyDescent="0.25">
      <c r="A151" s="98" t="str">
        <f>'Resultater - Vestdanmark'!A151</f>
        <v>Grøntsager på land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Areal-grøntsager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80" t="e">
        <f>'Resultater - Vestdanmark'!H151+'Resultater - Østdanmark'!H151</f>
        <v>#REF!</v>
      </c>
      <c r="I151" s="281" t="e">
        <f>'Resultater - Vestdanmark'!I151+'Resultater - Østdanmark'!I151</f>
        <v>#REF!</v>
      </c>
      <c r="J151" s="282" t="e">
        <f>'Resultater - Vestdanmark'!J151+'Resultater - Østdanmark'!J151</f>
        <v>#REF!</v>
      </c>
    </row>
    <row r="152" spans="1:10" x14ac:dyDescent="0.25">
      <c r="A152" s="98" t="str">
        <f>'Resultater - Vestdanmark'!A152</f>
        <v>Grøntsager på land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Areal-grøntsager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80" t="e">
        <f>'Resultater - Vestdanmark'!H152+'Resultater - Østdanmark'!H152</f>
        <v>#REF!</v>
      </c>
      <c r="I152" s="281" t="e">
        <f>'Resultater - Vestdanmark'!I152+'Resultater - Østdanmark'!I152</f>
        <v>#REF!</v>
      </c>
      <c r="J152" s="282" t="e">
        <f>'Resultater - Vestdanmark'!J152+'Resultater - Østdanmark'!J152</f>
        <v>#REF!</v>
      </c>
    </row>
    <row r="153" spans="1:10" x14ac:dyDescent="0.25">
      <c r="A153" s="98" t="str">
        <f>'Resultater - Vestdanmark'!A153</f>
        <v>Grøntsager på land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Areal-grøntsager</v>
      </c>
      <c r="E153" s="98" t="str">
        <f>'Resultater - Vestdanmark'!E153</f>
        <v>Hektar</v>
      </c>
      <c r="F153" s="98" t="str">
        <f>'Resultater - Vestdanmark'!F153</f>
        <v>Grøntsager</v>
      </c>
      <c r="G153" s="98" t="str">
        <f>'Resultater - Vestdanmark'!G153</f>
        <v>Ton</v>
      </c>
      <c r="H153" s="280" t="e">
        <f>'Resultater - Vestdanmark'!H153+'Resultater - Østdanmark'!H153</f>
        <v>#REF!</v>
      </c>
      <c r="I153" s="281" t="e">
        <f>'Resultater - Vestdanmark'!I153+'Resultater - Østdanmark'!I153</f>
        <v>#REF!</v>
      </c>
      <c r="J153" s="282" t="e">
        <f>'Resultater - Vestdanmark'!J153+'Resultater - Østdanmark'!J153</f>
        <v>#REF!</v>
      </c>
    </row>
    <row r="154" spans="1:10" x14ac:dyDescent="0.25">
      <c r="A154" s="98" t="str">
        <f>'Resultater - Vestdanmark'!A154</f>
        <v>Grøntsager på land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Areal-grøntsager</v>
      </c>
      <c r="E154" s="98" t="str">
        <f>'Resultater - Vestdanmark'!E154</f>
        <v>Hektar</v>
      </c>
      <c r="F154" s="98" t="str">
        <f>'Resultater - Vestdanmark'!F154</f>
        <v>Gødning</v>
      </c>
      <c r="G154" s="98" t="str">
        <f>'Resultater - Vestdanmark'!G154</f>
        <v>kg N</v>
      </c>
      <c r="H154" s="280" t="e">
        <f>'Resultater - Vestdanmark'!H154+'Resultater - Østdanmark'!H154</f>
        <v>#REF!</v>
      </c>
      <c r="I154" s="281" t="e">
        <f>'Resultater - Vestdanmark'!I154+'Resultater - Østdanmark'!I154</f>
        <v>#REF!</v>
      </c>
      <c r="J154" s="282" t="e">
        <f>'Resultater - Vestdanmark'!J154+'Resultater - Østdanmark'!J154</f>
        <v>#REF!</v>
      </c>
    </row>
    <row r="155" spans="1:10" x14ac:dyDescent="0.25">
      <c r="A155" s="98" t="str">
        <f>'Resultater - Vestdanmark'!A155</f>
        <v>Grøntsager på land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Areal-grøntsager</v>
      </c>
      <c r="E155" s="98" t="str">
        <f>'Resultater - Vestdanmark'!E155</f>
        <v>Hektar</v>
      </c>
      <c r="F155" s="98" t="str">
        <f>'Resultater - Vestdanmark'!F155</f>
        <v>CO2 - atmosfære</v>
      </c>
      <c r="G155" s="98" t="str">
        <f>'Resultater - Vestdanmark'!G155</f>
        <v>t CO2-ækvivalenter</v>
      </c>
      <c r="H155" s="280" t="e">
        <f>'Resultater - Vestdanmark'!H155+'Resultater - Østdanmark'!H155</f>
        <v>#REF!</v>
      </c>
      <c r="I155" s="281" t="e">
        <f>'Resultater - Vestdanmark'!I155+'Resultater - Østdanmark'!I155</f>
        <v>#REF!</v>
      </c>
      <c r="J155" s="282" t="e">
        <f>'Resultater - Vestdanmark'!J155+'Resultater - Østdanmark'!J155</f>
        <v>#REF!</v>
      </c>
    </row>
    <row r="156" spans="1:10" x14ac:dyDescent="0.25">
      <c r="A156" s="98" t="str">
        <f>'Resultater - Vestdanmark'!A156</f>
        <v>Grøntsager på land</v>
      </c>
      <c r="B156" s="98" t="str">
        <f>'Resultater - Vestdanmark'!B156</f>
        <v>Økologisk</v>
      </c>
      <c r="C156" s="98" t="str">
        <f>'Resultater - Vestdanmark'!C156</f>
        <v>OC6</v>
      </c>
      <c r="D156" s="98" t="str">
        <f>'Resultater - Vestdanmark'!D156</f>
        <v>Areal-grøntsager</v>
      </c>
      <c r="E156" s="98" t="str">
        <f>'Resultater - Vestdanmark'!E156</f>
        <v>Hektar</v>
      </c>
      <c r="F156" s="98" t="str">
        <f>'Resultater - Vestdanmark'!F156</f>
        <v>Grøntsager</v>
      </c>
      <c r="G156" s="98" t="str">
        <f>'Resultater - Vestdanmark'!G156</f>
        <v>Ton</v>
      </c>
      <c r="H156" s="280" t="e">
        <f>'Resultater - Vestdanmark'!H156+'Resultater - Østdanmark'!H156</f>
        <v>#REF!</v>
      </c>
      <c r="I156" s="281" t="e">
        <f>'Resultater - Vestdanmark'!I156+'Resultater - Østdanmark'!I156</f>
        <v>#REF!</v>
      </c>
      <c r="J156" s="282" t="e">
        <f>'Resultater - Vestdanmark'!J156+'Resultater - Østdanmark'!J156</f>
        <v>#REF!</v>
      </c>
    </row>
    <row r="157" spans="1:10" x14ac:dyDescent="0.25">
      <c r="A157" s="98" t="str">
        <f>'Resultater - Vestdanmark'!A157</f>
        <v>Grøntsager på land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Areal-grøntsager</v>
      </c>
      <c r="E157" s="98" t="str">
        <f>'Resultater - Vestdanmark'!E157</f>
        <v>Hektar</v>
      </c>
      <c r="F157" s="98" t="str">
        <f>'Resultater - Vestdanmark'!F157</f>
        <v>Gødning</v>
      </c>
      <c r="G157" s="98" t="str">
        <f>'Resultater - Vestdanmark'!G157</f>
        <v>kg N</v>
      </c>
      <c r="H157" s="280" t="e">
        <f>'Resultater - Vestdanmark'!H157+'Resultater - Østdanmark'!H157</f>
        <v>#REF!</v>
      </c>
      <c r="I157" s="281" t="e">
        <f>'Resultater - Vestdanmark'!I157+'Resultater - Østdanmark'!I157</f>
        <v>#REF!</v>
      </c>
      <c r="J157" s="282" t="e">
        <f>'Resultater - Vestdanmark'!J157+'Resultater - Østdanmark'!J157</f>
        <v>#REF!</v>
      </c>
    </row>
    <row r="158" spans="1:10" x14ac:dyDescent="0.25">
      <c r="A158" s="98" t="str">
        <f>'Resultater - Vestdanmark'!A158</f>
        <v>Grøntsager på land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Areal-grøntsager</v>
      </c>
      <c r="E158" s="98" t="str">
        <f>'Resultater - Vestdanmark'!E158</f>
        <v>Hektar</v>
      </c>
      <c r="F158" s="98" t="str">
        <f>'Resultater - Vestdanmark'!F158</f>
        <v>CO2 - atmosfære</v>
      </c>
      <c r="G158" s="98" t="str">
        <f>'Resultater - Vestdanmark'!G158</f>
        <v>t CO2-ækvivalenter</v>
      </c>
      <c r="H158" s="280" t="e">
        <f>'Resultater - Vestdanmark'!H158+'Resultater - Østdanmark'!H158</f>
        <v>#REF!</v>
      </c>
      <c r="I158" s="281" t="e">
        <f>'Resultater - Vestdanmark'!I158+'Resultater - Østdanmark'!I158</f>
        <v>#REF!</v>
      </c>
      <c r="J158" s="282" t="e">
        <f>'Resultater - Vestdanmark'!J158+'Resultater - Østdanmark'!J158</f>
        <v>#REF!</v>
      </c>
    </row>
    <row r="159" spans="1:10" x14ac:dyDescent="0.25">
      <c r="A159" s="98" t="str">
        <f>'Resultater - Vestdanmark'!A159</f>
        <v>Grøntsager på land</v>
      </c>
      <c r="B159" s="98" t="str">
        <f>'Resultater - Vestdanmark'!B159</f>
        <v>Økologisk</v>
      </c>
      <c r="C159" s="98" t="str">
        <f>'Resultater - Vestdanmark'!C159</f>
        <v>OC12</v>
      </c>
      <c r="D159" s="98" t="str">
        <f>'Resultater - Vestdanmark'!D159</f>
        <v>Areal-grøntsager</v>
      </c>
      <c r="E159" s="98" t="str">
        <f>'Resultater - Vestdanmark'!E159</f>
        <v>Hektar</v>
      </c>
      <c r="F159" s="98" t="str">
        <f>'Resultater - Vestdanmark'!F159</f>
        <v>Grøntsager</v>
      </c>
      <c r="G159" s="98" t="str">
        <f>'Resultater - Vestdanmark'!G159</f>
        <v>Ton</v>
      </c>
      <c r="H159" s="280" t="e">
        <f>'Resultater - Vestdanmark'!H159+'Resultater - Østdanmark'!H159</f>
        <v>#REF!</v>
      </c>
      <c r="I159" s="281" t="e">
        <f>'Resultater - Vestdanmark'!I159+'Resultater - Østdanmark'!I159</f>
        <v>#REF!</v>
      </c>
      <c r="J159" s="282" t="e">
        <f>'Resultater - Vestdanmark'!J159+'Resultater - Østdanmark'!J159</f>
        <v>#REF!</v>
      </c>
    </row>
    <row r="160" spans="1:10" x14ac:dyDescent="0.25">
      <c r="A160" s="98" t="str">
        <f>'Resultater - Vestdanmark'!A160</f>
        <v>Grøntsager på land</v>
      </c>
      <c r="B160" s="98" t="str">
        <f>'Resultater - Vestdanmark'!B160</f>
        <v>Økologisk</v>
      </c>
      <c r="C160" s="98" t="str">
        <f>'Resultater - Vestdanmark'!C160</f>
        <v>OC12</v>
      </c>
      <c r="D160" s="98" t="str">
        <f>'Resultater - Vestdanmark'!D160</f>
        <v>Areal-grøntsager</v>
      </c>
      <c r="E160" s="98" t="str">
        <f>'Resultater - Vestdanmark'!E160</f>
        <v>Hektar</v>
      </c>
      <c r="F160" s="98" t="str">
        <f>'Resultater - Vestdanmark'!F160</f>
        <v>Gødning</v>
      </c>
      <c r="G160" s="98" t="str">
        <f>'Resultater - Vestdanmark'!G160</f>
        <v>kg N</v>
      </c>
      <c r="H160" s="280" t="e">
        <f>'Resultater - Vestdanmark'!H160+'Resultater - Østdanmark'!H160</f>
        <v>#REF!</v>
      </c>
      <c r="I160" s="281" t="e">
        <f>'Resultater - Vestdanmark'!I160+'Resultater - Østdanmark'!I160</f>
        <v>#REF!</v>
      </c>
      <c r="J160" s="282" t="e">
        <f>'Resultater - Vestdanmark'!J160+'Resultater - Østdanmark'!J160</f>
        <v>#REF!</v>
      </c>
    </row>
    <row r="161" spans="1:10" x14ac:dyDescent="0.25">
      <c r="A161" s="98" t="str">
        <f>'Resultater - Vestdanmark'!A161</f>
        <v>Grøntsager på land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Areal-grøntsager</v>
      </c>
      <c r="E161" s="98" t="str">
        <f>'Resultater - Vestdanmark'!E161</f>
        <v>Hektar</v>
      </c>
      <c r="F161" s="98" t="str">
        <f>'Resultater - Vestdanmark'!F161</f>
        <v>CO2 - atmosfære</v>
      </c>
      <c r="G161" s="98" t="str">
        <f>'Resultater - Vestdanmark'!G161</f>
        <v>t CO2-ækvivalenter</v>
      </c>
      <c r="H161" s="280" t="e">
        <f>'Resultater - Vestdanmark'!H161+'Resultater - Østdanmark'!H161</f>
        <v>#REF!</v>
      </c>
      <c r="I161" s="281" t="e">
        <f>'Resultater - Vestdanmark'!I161+'Resultater - Østdanmark'!I161</f>
        <v>#REF!</v>
      </c>
      <c r="J161" s="282" t="e">
        <f>'Resultater - Vestdanmark'!J161+'Resultater - Østdanmark'!J161</f>
        <v>#REF!</v>
      </c>
    </row>
    <row r="162" spans="1:10" x14ac:dyDescent="0.25">
      <c r="A162" s="98" t="str">
        <f>'Resultater - Vestdanmark'!A162</f>
        <v>Grøntsager i drivhus</v>
      </c>
      <c r="B162" s="98" t="str">
        <f>'Resultater - Vestdanmark'!B162</f>
        <v>Konventionel</v>
      </c>
      <c r="C162" s="98" t="str">
        <f>'Resultater - Vestdanmark'!C162</f>
        <v/>
      </c>
      <c r="D162" s="98" t="str">
        <f>'Resultater - Vestdanmark'!D162</f>
        <v>Areal-grøntsager</v>
      </c>
      <c r="E162" s="98" t="str">
        <f>'Resultater - Vestdanmark'!E162</f>
        <v>Hektar</v>
      </c>
      <c r="F162" s="98" t="str">
        <f>'Resultater - Vestdanmark'!F162</f>
        <v>Grøntsager</v>
      </c>
      <c r="G162" s="98" t="str">
        <f>'Resultater - Vestdanmark'!G162</f>
        <v>Ton</v>
      </c>
      <c r="H162" s="280" t="e">
        <f>'Resultater - Vestdanmark'!H162+'Resultater - Østdanmark'!H162</f>
        <v>#REF!</v>
      </c>
      <c r="I162" s="281" t="e">
        <f>'Resultater - Vestdanmark'!I162+'Resultater - Østdanmark'!I162</f>
        <v>#REF!</v>
      </c>
      <c r="J162" s="282" t="e">
        <f>'Resultater - Vestdanmark'!J162+'Resultater - Østdanmark'!J162</f>
        <v>#REF!</v>
      </c>
    </row>
    <row r="163" spans="1:10" x14ac:dyDescent="0.25">
      <c r="A163" s="98" t="str">
        <f>'Resultater - Vestdanmark'!A163</f>
        <v>Grøntsager i drivhus</v>
      </c>
      <c r="B163" s="98" t="str">
        <f>'Resultater - Vestdanmark'!B163</f>
        <v>Konventionel</v>
      </c>
      <c r="C163" s="98" t="str">
        <f>'Resultater - Vestdanmark'!C163</f>
        <v/>
      </c>
      <c r="D163" s="98" t="str">
        <f>'Resultater - Vestdanmark'!D163</f>
        <v>Areal-grøntsager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80" t="e">
        <f>'Resultater - Vestdanmark'!H163+'Resultater - Østdanmark'!H163</f>
        <v>#REF!</v>
      </c>
      <c r="I163" s="281" t="e">
        <f>'Resultater - Vestdanmark'!I163+'Resultater - Østdanmark'!I163</f>
        <v>#REF!</v>
      </c>
      <c r="J163" s="282" t="e">
        <f>'Resultater - Vestdanmark'!J163+'Resultater - Østdanmark'!J163</f>
        <v>#REF!</v>
      </c>
    </row>
    <row r="164" spans="1:10" x14ac:dyDescent="0.25">
      <c r="A164" s="98" t="str">
        <f>'Resultater - Vestdanmark'!A164</f>
        <v>Grøntsager i drivhus</v>
      </c>
      <c r="B164" s="98" t="str">
        <f>'Resultater - Vestdanmark'!B164</f>
        <v>Konventionel</v>
      </c>
      <c r="C164" s="98" t="str">
        <f>'Resultater - Vestdanmark'!C164</f>
        <v/>
      </c>
      <c r="D164" s="98" t="str">
        <f>'Resultater - Vestdanmark'!D164</f>
        <v>Areal-grøntsager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80" t="e">
        <f>'Resultater - Vestdanmark'!H164+'Resultater - Østdanmark'!H164</f>
        <v>#REF!</v>
      </c>
      <c r="I164" s="281" t="e">
        <f>'Resultater - Vestdanmark'!I164+'Resultater - Østdanmark'!I164</f>
        <v>#REF!</v>
      </c>
      <c r="J164" s="282" t="e">
        <f>'Resultater - Vestdanmark'!J164+'Resultater - Østdanmark'!J164</f>
        <v>#REF!</v>
      </c>
    </row>
    <row r="165" spans="1:10" x14ac:dyDescent="0.25">
      <c r="A165" s="98" t="str">
        <f>'Resultater - Vestdanmark'!A165</f>
        <v>Grøntsager i drivhus</v>
      </c>
      <c r="B165" s="98" t="str">
        <f>'Resultater - Vestdanmark'!B165</f>
        <v>Økologisk</v>
      </c>
      <c r="C165" s="98" t="str">
        <f>'Resultater - Vestdanmark'!C165</f>
        <v/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80" t="e">
        <f>'Resultater - Vestdanmark'!H165+'Resultater - Østdanmark'!H165</f>
        <v>#REF!</v>
      </c>
      <c r="I165" s="281" t="e">
        <f>'Resultater - Vestdanmark'!I165+'Resultater - Østdanmark'!I165</f>
        <v>#REF!</v>
      </c>
      <c r="J165" s="282" t="e">
        <f>'Resultater - Vestdanmark'!J165+'Resultater - Østdanmark'!J165</f>
        <v>#REF!</v>
      </c>
    </row>
    <row r="166" spans="1:10" x14ac:dyDescent="0.25">
      <c r="A166" s="98" t="str">
        <f>'Resultater - Vestdanmark'!A166</f>
        <v>Grøntsager i drivhus</v>
      </c>
      <c r="B166" s="98" t="str">
        <f>'Resultater - Vestdanmark'!B166</f>
        <v>Økologisk</v>
      </c>
      <c r="C166" s="98" t="str">
        <f>'Resultater - Vestdanmark'!C166</f>
        <v/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80" t="e">
        <f>'Resultater - Vestdanmark'!H166+'Resultater - Østdanmark'!H166</f>
        <v>#REF!</v>
      </c>
      <c r="I166" s="281" t="e">
        <f>'Resultater - Vestdanmark'!I166+'Resultater - Østdanmark'!I166</f>
        <v>#REF!</v>
      </c>
      <c r="J166" s="282" t="e">
        <f>'Resultater - Vestdanmark'!J166+'Resultater - Østdanmark'!J166</f>
        <v>#REF!</v>
      </c>
    </row>
    <row r="167" spans="1:10" x14ac:dyDescent="0.25">
      <c r="A167" s="98" t="str">
        <f>'Resultater - Vestdanmark'!A167</f>
        <v>Grøntsager i drivhus</v>
      </c>
      <c r="B167" s="98" t="str">
        <f>'Resultater - Vestdanmark'!B167</f>
        <v>Økologisk</v>
      </c>
      <c r="C167" s="98" t="str">
        <f>'Resultater - Vestdanmark'!C167</f>
        <v/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80" t="e">
        <f>'Resultater - Vestdanmark'!H167+'Resultater - Østdanmark'!H167</f>
        <v>#REF!</v>
      </c>
      <c r="I167" s="281" t="e">
        <f>'Resultater - Vestdanmark'!I167+'Resultater - Østdanmark'!I167</f>
        <v>#REF!</v>
      </c>
      <c r="J167" s="282" t="e">
        <f>'Resultater - Vestdanmark'!J167+'Resultater - Østdanmark'!J167</f>
        <v>#REF!</v>
      </c>
    </row>
    <row r="168" spans="1:10" x14ac:dyDescent="0.25">
      <c r="A168" s="98" t="str">
        <f>'Resultater - Vestdanmark'!A168</f>
        <v>Kartoffelmark</v>
      </c>
      <c r="B168" s="98" t="str">
        <f>'Resultater - Vestdanmark'!B168</f>
        <v>Konventionel</v>
      </c>
      <c r="C168" s="98" t="str">
        <f>'Resultater - Vestdanmark'!C168</f>
        <v>JB1-10</v>
      </c>
      <c r="D168" s="98" t="str">
        <f>'Resultater - Vestdanmark'!D168</f>
        <v>Areal-kartofler</v>
      </c>
      <c r="E168" s="98" t="str">
        <f>'Resultater - Vestdanmark'!E168</f>
        <v>Hektar</v>
      </c>
      <c r="F168" s="98" t="str">
        <f>'Resultater - Vestdanmark'!F168</f>
        <v>Kartofler</v>
      </c>
      <c r="G168" s="98" t="str">
        <f>'Resultater - Vestdanmark'!G168</f>
        <v>Ton</v>
      </c>
      <c r="H168" s="280" t="e">
        <f>'Resultater - Vestdanmark'!H168+'Resultater - Østdanmark'!H168</f>
        <v>#REF!</v>
      </c>
      <c r="I168" s="281" t="e">
        <f>'Resultater - Vestdanmark'!I168+'Resultater - Østdanmark'!I168</f>
        <v>#REF!</v>
      </c>
      <c r="J168" s="282" t="e">
        <f>'Resultater - Vestdanmark'!J168+'Resultater - Østdanmark'!J168</f>
        <v>#REF!</v>
      </c>
    </row>
    <row r="169" spans="1:10" x14ac:dyDescent="0.25">
      <c r="A169" s="98" t="str">
        <f>'Resultater - Vestdanmark'!A169</f>
        <v>Kartoffelmark</v>
      </c>
      <c r="B169" s="98" t="str">
        <f>'Resultater - Vestdanmark'!B169</f>
        <v>Konventionel</v>
      </c>
      <c r="C169" s="98" t="str">
        <f>'Resultater - Vestdanmark'!C169</f>
        <v>JB1-10</v>
      </c>
      <c r="D169" s="98" t="str">
        <f>'Resultater - Vestdanmark'!D169</f>
        <v>Areal-kartofler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80" t="e">
        <f>'Resultater - Vestdanmark'!H169+'Resultater - Østdanmark'!H169</f>
        <v>#REF!</v>
      </c>
      <c r="I169" s="281" t="e">
        <f>'Resultater - Vestdanmark'!I169+'Resultater - Østdanmark'!I169</f>
        <v>#REF!</v>
      </c>
      <c r="J169" s="282" t="e">
        <f>'Resultater - Vestdanmark'!J169+'Resultater - Østdanmark'!J169</f>
        <v>#REF!</v>
      </c>
    </row>
    <row r="170" spans="1:10" x14ac:dyDescent="0.25">
      <c r="A170" s="98" t="str">
        <f>'Resultater - Vestdanmark'!A170</f>
        <v>Kartoffelmark</v>
      </c>
      <c r="B170" s="98" t="str">
        <f>'Resultater - Vestdanmark'!B170</f>
        <v>Konventionel</v>
      </c>
      <c r="C170" s="98" t="str">
        <f>'Resultater - Vestdanmark'!C170</f>
        <v>JB1-10</v>
      </c>
      <c r="D170" s="98" t="str">
        <f>'Resultater - Vestdanmark'!D170</f>
        <v>Areal-kartofler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80" t="e">
        <f>'Resultater - Vestdanmark'!H170+'Resultater - Østdanmark'!H170</f>
        <v>#REF!</v>
      </c>
      <c r="I170" s="281" t="e">
        <f>'Resultater - Vestdanmark'!I170+'Resultater - Østdanmark'!I170</f>
        <v>#REF!</v>
      </c>
      <c r="J170" s="282" t="e">
        <f>'Resultater - Vestdanmark'!J170+'Resultater - Østdanmark'!J170</f>
        <v>#REF!</v>
      </c>
    </row>
    <row r="171" spans="1:10" x14ac:dyDescent="0.25">
      <c r="A171" s="98" t="str">
        <f>'Resultater - Vestdanmark'!A171</f>
        <v>Kartoffelmark</v>
      </c>
      <c r="B171" s="98" t="str">
        <f>'Resultater - Vestdanmark'!B171</f>
        <v>Konventionel</v>
      </c>
      <c r="C171" s="98" t="str">
        <f>'Resultater - Vestdanmark'!C171</f>
        <v>OC6</v>
      </c>
      <c r="D171" s="98" t="str">
        <f>'Resultater - Vestdanmark'!D171</f>
        <v>Areal-kartofler</v>
      </c>
      <c r="E171" s="98" t="str">
        <f>'Resultater - Vestdanmark'!E171</f>
        <v>Hektar</v>
      </c>
      <c r="F171" s="98" t="str">
        <f>'Resultater - Vestdanmark'!F171</f>
        <v>Kartofler</v>
      </c>
      <c r="G171" s="98" t="str">
        <f>'Resultater - Vestdanmark'!G171</f>
        <v>Ton</v>
      </c>
      <c r="H171" s="280" t="e">
        <f>'Resultater - Vestdanmark'!H171+'Resultater - Østdanmark'!H171</f>
        <v>#REF!</v>
      </c>
      <c r="I171" s="281" t="e">
        <f>'Resultater - Vestdanmark'!I171+'Resultater - Østdanmark'!I171</f>
        <v>#REF!</v>
      </c>
      <c r="J171" s="282" t="e">
        <f>'Resultater - Vestdanmark'!J171+'Resultater - Østdanmark'!J171</f>
        <v>#REF!</v>
      </c>
    </row>
    <row r="172" spans="1:10" x14ac:dyDescent="0.25">
      <c r="A172" s="98" t="str">
        <f>'Resultater - Vestdanmark'!A172</f>
        <v>Kartoffelmark</v>
      </c>
      <c r="B172" s="98" t="str">
        <f>'Resultater - Vestdanmark'!B172</f>
        <v>Konventionel</v>
      </c>
      <c r="C172" s="98" t="str">
        <f>'Resultater - Vestdanmark'!C172</f>
        <v>OC6</v>
      </c>
      <c r="D172" s="98" t="str">
        <f>'Resultater - Vestdanmark'!D172</f>
        <v>Areal-kartofler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80" t="e">
        <f>'Resultater - Vestdanmark'!H172+'Resultater - Østdanmark'!H172</f>
        <v>#REF!</v>
      </c>
      <c r="I172" s="281" t="e">
        <f>'Resultater - Vestdanmark'!I172+'Resultater - Østdanmark'!I172</f>
        <v>#REF!</v>
      </c>
      <c r="J172" s="282" t="e">
        <f>'Resultater - Vestdanmark'!J172+'Resultater - Østdanmark'!J172</f>
        <v>#REF!</v>
      </c>
    </row>
    <row r="173" spans="1:10" x14ac:dyDescent="0.25">
      <c r="A173" s="98" t="str">
        <f>'Resultater - Vestdanmark'!A173</f>
        <v>Kartoffelmark</v>
      </c>
      <c r="B173" s="98" t="str">
        <f>'Resultater - Vestdanmark'!B173</f>
        <v>Konventionel</v>
      </c>
      <c r="C173" s="98" t="str">
        <f>'Resultater - Vestdanmark'!C173</f>
        <v>OC6</v>
      </c>
      <c r="D173" s="98" t="str">
        <f>'Resultater - Vestdanmark'!D173</f>
        <v>Areal-kartofler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80" t="e">
        <f>'Resultater - Vestdanmark'!H173+'Resultater - Østdanmark'!H173</f>
        <v>#REF!</v>
      </c>
      <c r="I173" s="281" t="e">
        <f>'Resultater - Vestdanmark'!I173+'Resultater - Østdanmark'!I173</f>
        <v>#REF!</v>
      </c>
      <c r="J173" s="282" t="e">
        <f>'Resultater - Vestdanmark'!J173+'Resultater - Østdanmark'!J173</f>
        <v>#REF!</v>
      </c>
    </row>
    <row r="174" spans="1:10" x14ac:dyDescent="0.25">
      <c r="A174" s="98" t="str">
        <f>'Resultater - Vestdanmark'!A174</f>
        <v>Kartoffelmark</v>
      </c>
      <c r="B174" s="98" t="str">
        <f>'Resultater - Vestdanmark'!B174</f>
        <v>Konventionel</v>
      </c>
      <c r="C174" s="98" t="str">
        <f>'Resultater - Vestdanmark'!C174</f>
        <v>OC12</v>
      </c>
      <c r="D174" s="98" t="str">
        <f>'Resultater - Vestdanmark'!D174</f>
        <v>Areal-kartofler</v>
      </c>
      <c r="E174" s="98" t="str">
        <f>'Resultater - Vestdanmark'!E174</f>
        <v>Hektar</v>
      </c>
      <c r="F174" s="98" t="str">
        <f>'Resultater - Vestdanmark'!F174</f>
        <v>Kartofler</v>
      </c>
      <c r="G174" s="98" t="str">
        <f>'Resultater - Vestdanmark'!G174</f>
        <v>Ton</v>
      </c>
      <c r="H174" s="280" t="e">
        <f>'Resultater - Vestdanmark'!H174+'Resultater - Østdanmark'!H174</f>
        <v>#REF!</v>
      </c>
      <c r="I174" s="281" t="e">
        <f>'Resultater - Vestdanmark'!I174+'Resultater - Østdanmark'!I174</f>
        <v>#REF!</v>
      </c>
      <c r="J174" s="282" t="e">
        <f>'Resultater - Vestdanmark'!J174+'Resultater - Østdanmark'!J174</f>
        <v>#REF!</v>
      </c>
    </row>
    <row r="175" spans="1:10" x14ac:dyDescent="0.25">
      <c r="A175" s="98" t="str">
        <f>'Resultater - Vestdanmark'!A175</f>
        <v>Kartoffelmark</v>
      </c>
      <c r="B175" s="98" t="str">
        <f>'Resultater - Vestdanmark'!B175</f>
        <v>Konventionel</v>
      </c>
      <c r="C175" s="98" t="str">
        <f>'Resultater - Vestdanmark'!C175</f>
        <v>OC12</v>
      </c>
      <c r="D175" s="98" t="str">
        <f>'Resultater - Vestdanmark'!D175</f>
        <v>Areal-kartofler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80" t="e">
        <f>'Resultater - Vestdanmark'!H175+'Resultater - Østdanmark'!H175</f>
        <v>#REF!</v>
      </c>
      <c r="I175" s="281" t="e">
        <f>'Resultater - Vestdanmark'!I175+'Resultater - Østdanmark'!I175</f>
        <v>#REF!</v>
      </c>
      <c r="J175" s="282" t="e">
        <f>'Resultater - Vestdanmark'!J175+'Resultater - Østdanmark'!J175</f>
        <v>#REF!</v>
      </c>
    </row>
    <row r="176" spans="1:10" x14ac:dyDescent="0.25">
      <c r="A176" s="98" t="str">
        <f>'Resultater - Vestdanmark'!A176</f>
        <v>Kartoffelmark</v>
      </c>
      <c r="B176" s="98" t="str">
        <f>'Resultater - Vestdanmark'!B176</f>
        <v>Konventionel</v>
      </c>
      <c r="C176" s="98" t="str">
        <f>'Resultater - Vestdanmark'!C176</f>
        <v>OC12</v>
      </c>
      <c r="D176" s="98" t="str">
        <f>'Resultater - Vestdanmark'!D176</f>
        <v>Areal-kartofler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80" t="e">
        <f>'Resultater - Vestdanmark'!H176+'Resultater - Østdanmark'!H176</f>
        <v>#REF!</v>
      </c>
      <c r="I176" s="281" t="e">
        <f>'Resultater - Vestdanmark'!I176+'Resultater - Østdanmark'!I176</f>
        <v>#REF!</v>
      </c>
      <c r="J176" s="282" t="e">
        <f>'Resultater - Vestdanmark'!J176+'Resultater - Østdanmark'!J176</f>
        <v>#REF!</v>
      </c>
    </row>
    <row r="177" spans="1:10" x14ac:dyDescent="0.25">
      <c r="A177" s="98" t="str">
        <f>'Resultater - Vestdanmark'!A177</f>
        <v>Kartoffelmark</v>
      </c>
      <c r="B177" s="98" t="str">
        <f>'Resultater - Vestdanmark'!B177</f>
        <v>Økologisk</v>
      </c>
      <c r="C177" s="98" t="str">
        <f>'Resultater - Vestdanmark'!C177</f>
        <v>JB1-10</v>
      </c>
      <c r="D177" s="98" t="str">
        <f>'Resultater - Vestdanmark'!D177</f>
        <v>Areal-kartofler</v>
      </c>
      <c r="E177" s="98" t="str">
        <f>'Resultater - Vestdanmark'!E177</f>
        <v>Hektar</v>
      </c>
      <c r="F177" s="98" t="str">
        <f>'Resultater - Vestdanmark'!F177</f>
        <v>Kartofler</v>
      </c>
      <c r="G177" s="98" t="str">
        <f>'Resultater - Vestdanmark'!G177</f>
        <v>Ton</v>
      </c>
      <c r="H177" s="280" t="e">
        <f>'Resultater - Vestdanmark'!H177+'Resultater - Østdanmark'!H177</f>
        <v>#REF!</v>
      </c>
      <c r="I177" s="281" t="e">
        <f>'Resultater - Vestdanmark'!I177+'Resultater - Østdanmark'!I177</f>
        <v>#REF!</v>
      </c>
      <c r="J177" s="282" t="e">
        <f>'Resultater - Vestdanmark'!J177+'Resultater - Østdanmark'!J177</f>
        <v>#REF!</v>
      </c>
    </row>
    <row r="178" spans="1:10" x14ac:dyDescent="0.25">
      <c r="A178" s="98" t="str">
        <f>'Resultater - Vestdanmark'!A178</f>
        <v>Kartoffelmark</v>
      </c>
      <c r="B178" s="98" t="str">
        <f>'Resultater - Vestdanmark'!B178</f>
        <v>Økologisk</v>
      </c>
      <c r="C178" s="98" t="str">
        <f>'Resultater - Vestdanmark'!C178</f>
        <v>JB1-10</v>
      </c>
      <c r="D178" s="98" t="str">
        <f>'Resultater - Vestdanmark'!D178</f>
        <v>Areal-kartofler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80" t="e">
        <f>'Resultater - Vestdanmark'!H178+'Resultater - Østdanmark'!H178</f>
        <v>#REF!</v>
      </c>
      <c r="I178" s="281" t="e">
        <f>'Resultater - Vestdanmark'!I178+'Resultater - Østdanmark'!I178</f>
        <v>#REF!</v>
      </c>
      <c r="J178" s="282" t="e">
        <f>'Resultater - Vestdanmark'!J178+'Resultater - Østdanmark'!J178</f>
        <v>#REF!</v>
      </c>
    </row>
    <row r="179" spans="1:10" x14ac:dyDescent="0.25">
      <c r="A179" s="98" t="str">
        <f>'Resultater - Vestdanmark'!A179</f>
        <v>Kartoffelmark</v>
      </c>
      <c r="B179" s="98" t="str">
        <f>'Resultater - Vestdanmark'!B179</f>
        <v>Økologisk</v>
      </c>
      <c r="C179" s="98" t="str">
        <f>'Resultater - Vestdanmark'!C179</f>
        <v>JB1-10</v>
      </c>
      <c r="D179" s="98" t="str">
        <f>'Resultater - Vestdanmark'!D179</f>
        <v>Areal-kartofler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80" t="e">
        <f>'Resultater - Vestdanmark'!H179+'Resultater - Østdanmark'!H179</f>
        <v>#REF!</v>
      </c>
      <c r="I179" s="281" t="e">
        <f>'Resultater - Vestdanmark'!I179+'Resultater - Østdanmark'!I179</f>
        <v>#REF!</v>
      </c>
      <c r="J179" s="282" t="e">
        <f>'Resultater - Vestdanmark'!J179+'Resultater - Østdanmark'!J179</f>
        <v>#REF!</v>
      </c>
    </row>
    <row r="180" spans="1:10" x14ac:dyDescent="0.25">
      <c r="A180" s="98" t="str">
        <f>'Resultater - Vestdanmark'!A180</f>
        <v>Kartoffelmark</v>
      </c>
      <c r="B180" s="98" t="str">
        <f>'Resultater - Vestdanmark'!B180</f>
        <v>Økologisk</v>
      </c>
      <c r="C180" s="98" t="str">
        <f>'Resultater - Vestdanmark'!C180</f>
        <v>OC6</v>
      </c>
      <c r="D180" s="98" t="str">
        <f>'Resultater - Vestdanmark'!D180</f>
        <v>Areal-kartofler</v>
      </c>
      <c r="E180" s="98" t="str">
        <f>'Resultater - Vestdanmark'!E180</f>
        <v>Hektar</v>
      </c>
      <c r="F180" s="98" t="str">
        <f>'Resultater - Vestdanmark'!F180</f>
        <v>Kartofler</v>
      </c>
      <c r="G180" s="98" t="str">
        <f>'Resultater - Vestdanmark'!G180</f>
        <v>Ton</v>
      </c>
      <c r="H180" s="280" t="e">
        <f>'Resultater - Vestdanmark'!H180+'Resultater - Østdanmark'!H180</f>
        <v>#REF!</v>
      </c>
      <c r="I180" s="281" t="e">
        <f>'Resultater - Vestdanmark'!I180+'Resultater - Østdanmark'!I180</f>
        <v>#REF!</v>
      </c>
      <c r="J180" s="282" t="e">
        <f>'Resultater - Vestdanmark'!J180+'Resultater - Østdanmark'!J180</f>
        <v>#REF!</v>
      </c>
    </row>
    <row r="181" spans="1:10" x14ac:dyDescent="0.25">
      <c r="A181" s="98" t="str">
        <f>'Resultater - Vestdanmark'!A181</f>
        <v>Kartoffelmark</v>
      </c>
      <c r="B181" s="98" t="str">
        <f>'Resultater - Vestdanmark'!B181</f>
        <v>Økologisk</v>
      </c>
      <c r="C181" s="98" t="str">
        <f>'Resultater - Vestdanmark'!C181</f>
        <v>OC6</v>
      </c>
      <c r="D181" s="98" t="str">
        <f>'Resultater - Vestdanmark'!D181</f>
        <v>Areal-kartofler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80" t="e">
        <f>'Resultater - Vestdanmark'!H181+'Resultater - Østdanmark'!H181</f>
        <v>#REF!</v>
      </c>
      <c r="I181" s="281" t="e">
        <f>'Resultater - Vestdanmark'!I181+'Resultater - Østdanmark'!I181</f>
        <v>#REF!</v>
      </c>
      <c r="J181" s="282" t="e">
        <f>'Resultater - Vestdanmark'!J181+'Resultater - Østdanmark'!J181</f>
        <v>#REF!</v>
      </c>
    </row>
    <row r="182" spans="1:10" x14ac:dyDescent="0.25">
      <c r="A182" s="98" t="str">
        <f>'Resultater - Vestdanmark'!A182</f>
        <v>Kartoffelmark</v>
      </c>
      <c r="B182" s="98" t="str">
        <f>'Resultater - Vestdanmark'!B182</f>
        <v>Økologisk</v>
      </c>
      <c r="C182" s="98" t="str">
        <f>'Resultater - Vestdanmark'!C182</f>
        <v>OC6</v>
      </c>
      <c r="D182" s="98" t="str">
        <f>'Resultater - Vestdanmark'!D182</f>
        <v>Areal-kartofler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80" t="e">
        <f>'Resultater - Vestdanmark'!H182+'Resultater - Østdanmark'!H182</f>
        <v>#REF!</v>
      </c>
      <c r="I182" s="281" t="e">
        <f>'Resultater - Vestdanmark'!I182+'Resultater - Østdanmark'!I182</f>
        <v>#REF!</v>
      </c>
      <c r="J182" s="282" t="e">
        <f>'Resultater - Vestdanmark'!J182+'Resultater - Østdanmark'!J182</f>
        <v>#REF!</v>
      </c>
    </row>
    <row r="183" spans="1:10" x14ac:dyDescent="0.25">
      <c r="A183" s="98" t="str">
        <f>'Resultater - Vestdanmark'!A183</f>
        <v>Kartoffelmark</v>
      </c>
      <c r="B183" s="98" t="str">
        <f>'Resultater - Vestdanmark'!B183</f>
        <v>Økologisk</v>
      </c>
      <c r="C183" s="98" t="str">
        <f>'Resultater - Vestdanmark'!C183</f>
        <v>OC12</v>
      </c>
      <c r="D183" s="98" t="str">
        <f>'Resultater - Vestdanmark'!D183</f>
        <v>Areal-kartofler</v>
      </c>
      <c r="E183" s="98" t="str">
        <f>'Resultater - Vestdanmark'!E183</f>
        <v>Hektar</v>
      </c>
      <c r="F183" s="98" t="str">
        <f>'Resultater - Vestdanmark'!F183</f>
        <v>Kartofler</v>
      </c>
      <c r="G183" s="98" t="str">
        <f>'Resultater - Vestdanmark'!G183</f>
        <v>Ton</v>
      </c>
      <c r="H183" s="280" t="e">
        <f>'Resultater - Vestdanmark'!H183+'Resultater - Østdanmark'!H183</f>
        <v>#REF!</v>
      </c>
      <c r="I183" s="281" t="e">
        <f>'Resultater - Vestdanmark'!I183+'Resultater - Østdanmark'!I183</f>
        <v>#REF!</v>
      </c>
      <c r="J183" s="282" t="e">
        <f>'Resultater - Vestdanmark'!J183+'Resultater - Østdanmark'!J183</f>
        <v>#REF!</v>
      </c>
    </row>
    <row r="184" spans="1:10" x14ac:dyDescent="0.25">
      <c r="A184" s="98" t="str">
        <f>'Resultater - Vestdanmark'!A184</f>
        <v>Kartoffelmark</v>
      </c>
      <c r="B184" s="98" t="str">
        <f>'Resultater - Vestdanmark'!B184</f>
        <v>Økologisk</v>
      </c>
      <c r="C184" s="98" t="str">
        <f>'Resultater - Vestdanmark'!C184</f>
        <v>OC12</v>
      </c>
      <c r="D184" s="98" t="str">
        <f>'Resultater - Vestdanmark'!D184</f>
        <v>Areal-kartofler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80" t="e">
        <f>'Resultater - Vestdanmark'!H184+'Resultater - Østdanmark'!H184</f>
        <v>#REF!</v>
      </c>
      <c r="I184" s="281" t="e">
        <f>'Resultater - Vestdanmark'!I184+'Resultater - Østdanmark'!I184</f>
        <v>#REF!</v>
      </c>
      <c r="J184" s="282" t="e">
        <f>'Resultater - Vestdanmark'!J184+'Resultater - Østdanmark'!J184</f>
        <v>#REF!</v>
      </c>
    </row>
    <row r="185" spans="1:10" x14ac:dyDescent="0.25">
      <c r="A185" s="98" t="str">
        <f>'Resultater - Vestdanmark'!A185</f>
        <v>Kartoffelmark</v>
      </c>
      <c r="B185" s="98" t="str">
        <f>'Resultater - Vestdanmark'!B185</f>
        <v>Økologisk</v>
      </c>
      <c r="C185" s="98" t="str">
        <f>'Resultater - Vestdanmark'!C185</f>
        <v>OC12</v>
      </c>
      <c r="D185" s="98" t="str">
        <f>'Resultater - Vestdanmark'!D185</f>
        <v>Areal-kartofler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80" t="e">
        <f>'Resultater - Vestdanmark'!H185+'Resultater - Østdanmark'!H185</f>
        <v>#REF!</v>
      </c>
      <c r="I185" s="281" t="e">
        <f>'Resultater - Vestdanmark'!I185+'Resultater - Østdanmark'!I185</f>
        <v>#REF!</v>
      </c>
      <c r="J185" s="282" t="e">
        <f>'Resultater - Vestdanmark'!J185+'Resultater - Østdanmark'!J185</f>
        <v>#REF!</v>
      </c>
    </row>
    <row r="186" spans="1:10" x14ac:dyDescent="0.25">
      <c r="A186" s="98" t="str">
        <f>'Resultater - Vestdanmark'!A186</f>
        <v>Græsmark</v>
      </c>
      <c r="B186" s="98" t="str">
        <f>'Resultater - Vestdanmark'!B186</f>
        <v>Konventionel</v>
      </c>
      <c r="C186" s="98" t="str">
        <f>'Resultater - Vestdanmark'!C186</f>
        <v>JB1-10</v>
      </c>
      <c r="D186" s="98" t="str">
        <f>'Resultater - Vestdanmark'!D186</f>
        <v>Areal-græs</v>
      </c>
      <c r="E186" s="98" t="str">
        <f>'Resultater - Vestdanmark'!E186</f>
        <v>Hektar</v>
      </c>
      <c r="F186" s="98" t="str">
        <f>'Resultater - Vestdanmark'!F186</f>
        <v>Græs</v>
      </c>
      <c r="G186" s="98" t="str">
        <f>'Resultater - Vestdanmark'!G186</f>
        <v>Ton</v>
      </c>
      <c r="H186" s="280" t="e">
        <f>'Resultater - Vestdanmark'!H186+'Resultater - Østdanmark'!H186</f>
        <v>#REF!</v>
      </c>
      <c r="I186" s="281" t="e">
        <f>'Resultater - Vestdanmark'!I186+'Resultater - Østdanmark'!I186</f>
        <v>#REF!</v>
      </c>
      <c r="J186" s="282" t="e">
        <f>'Resultater - Vestdanmark'!J186+'Resultater - Østdanmark'!J186</f>
        <v>#REF!</v>
      </c>
    </row>
    <row r="187" spans="1:10" x14ac:dyDescent="0.25">
      <c r="A187" s="98" t="str">
        <f>'Resultater - Vestdanmark'!A187</f>
        <v>Græsmark</v>
      </c>
      <c r="B187" s="98" t="str">
        <f>'Resultater - Vestdanmark'!B187</f>
        <v>Konventionel</v>
      </c>
      <c r="C187" s="98" t="str">
        <f>'Resultater - Vestdanmark'!C187</f>
        <v>JB1-10</v>
      </c>
      <c r="D187" s="98" t="str">
        <f>'Resultater - Vestdanmark'!D187</f>
        <v>Areal-græs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80" t="e">
        <f>'Resultater - Vestdanmark'!H187+'Resultater - Østdanmark'!H187</f>
        <v>#REF!</v>
      </c>
      <c r="I187" s="281" t="e">
        <f>'Resultater - Vestdanmark'!I187+'Resultater - Østdanmark'!I187</f>
        <v>#REF!</v>
      </c>
      <c r="J187" s="282" t="e">
        <f>'Resultater - Vestdanmark'!J187+'Resultater - Østdanmark'!J187</f>
        <v>#REF!</v>
      </c>
    </row>
    <row r="188" spans="1:10" x14ac:dyDescent="0.25">
      <c r="A188" s="98" t="str">
        <f>'Resultater - Vestdanmark'!A188</f>
        <v>Græsmark</v>
      </c>
      <c r="B188" s="98" t="str">
        <f>'Resultater - Vestdanmark'!B188</f>
        <v>Konventionel</v>
      </c>
      <c r="C188" s="98" t="str">
        <f>'Resultater - Vestdanmark'!C188</f>
        <v>JB1-10</v>
      </c>
      <c r="D188" s="98" t="str">
        <f>'Resultater - Vestdanmark'!D188</f>
        <v>Areal-græs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80" t="e">
        <f>'Resultater - Vestdanmark'!H188+'Resultater - Østdanmark'!H188</f>
        <v>#REF!</v>
      </c>
      <c r="I188" s="281" t="e">
        <f>'Resultater - Vestdanmark'!I188+'Resultater - Østdanmark'!I188</f>
        <v>#REF!</v>
      </c>
      <c r="J188" s="282" t="e">
        <f>'Resultater - Vestdanmark'!J188+'Resultater - Østdanmark'!J188</f>
        <v>#REF!</v>
      </c>
    </row>
    <row r="189" spans="1:10" x14ac:dyDescent="0.25">
      <c r="A189" s="98" t="str">
        <f>'Resultater - Vestdanmark'!A189</f>
        <v>Græsmark</v>
      </c>
      <c r="B189" s="98" t="str">
        <f>'Resultater - Vestdanmark'!B189</f>
        <v>Konventionel</v>
      </c>
      <c r="C189" s="98" t="str">
        <f>'Resultater - Vestdanmark'!C189</f>
        <v>OC6</v>
      </c>
      <c r="D189" s="98" t="str">
        <f>'Resultater - Vestdanmark'!D189</f>
        <v>Areal-græs</v>
      </c>
      <c r="E189" s="98" t="str">
        <f>'Resultater - Vestdanmark'!E189</f>
        <v>Hektar</v>
      </c>
      <c r="F189" s="98" t="str">
        <f>'Resultater - Vestdanmark'!F189</f>
        <v>Græs</v>
      </c>
      <c r="G189" s="98" t="str">
        <f>'Resultater - Vestdanmark'!G189</f>
        <v>Ton</v>
      </c>
      <c r="H189" s="280" t="e">
        <f>'Resultater - Vestdanmark'!H189+'Resultater - Østdanmark'!H189</f>
        <v>#REF!</v>
      </c>
      <c r="I189" s="281" t="e">
        <f>'Resultater - Vestdanmark'!I189+'Resultater - Østdanmark'!I189</f>
        <v>#REF!</v>
      </c>
      <c r="J189" s="282" t="e">
        <f>'Resultater - Vestdanmark'!J189+'Resultater - Østdanmark'!J189</f>
        <v>#REF!</v>
      </c>
    </row>
    <row r="190" spans="1:10" x14ac:dyDescent="0.25">
      <c r="A190" s="98" t="str">
        <f>'Resultater - Vestdanmark'!A190</f>
        <v>Græsmark</v>
      </c>
      <c r="B190" s="98" t="str">
        <f>'Resultater - Vestdanmark'!B190</f>
        <v>Konventionel</v>
      </c>
      <c r="C190" s="98" t="str">
        <f>'Resultater - Vestdanmark'!C190</f>
        <v>OC6</v>
      </c>
      <c r="D190" s="98" t="str">
        <f>'Resultater - Vestdanmark'!D190</f>
        <v>Areal-græs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80" t="e">
        <f>'Resultater - Vestdanmark'!H190+'Resultater - Østdanmark'!H190</f>
        <v>#REF!</v>
      </c>
      <c r="I190" s="281" t="e">
        <f>'Resultater - Vestdanmark'!I190+'Resultater - Østdanmark'!I190</f>
        <v>#REF!</v>
      </c>
      <c r="J190" s="282" t="e">
        <f>'Resultater - Vestdanmark'!J190+'Resultater - Østdanmark'!J190</f>
        <v>#REF!</v>
      </c>
    </row>
    <row r="191" spans="1:10" x14ac:dyDescent="0.25">
      <c r="A191" s="98" t="str">
        <f>'Resultater - Vestdanmark'!A191</f>
        <v>Græsmark</v>
      </c>
      <c r="B191" s="98" t="str">
        <f>'Resultater - Vestdanmark'!B191</f>
        <v>Konventionel</v>
      </c>
      <c r="C191" s="98" t="str">
        <f>'Resultater - Vestdanmark'!C191</f>
        <v>OC6</v>
      </c>
      <c r="D191" s="98" t="str">
        <f>'Resultater - Vestdanmark'!D191</f>
        <v>Areal-græs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80" t="e">
        <f>'Resultater - Vestdanmark'!H191+'Resultater - Østdanmark'!H191</f>
        <v>#REF!</v>
      </c>
      <c r="I191" s="281" t="e">
        <f>'Resultater - Vestdanmark'!I191+'Resultater - Østdanmark'!I191</f>
        <v>#REF!</v>
      </c>
      <c r="J191" s="282" t="e">
        <f>'Resultater - Vestdanmark'!J191+'Resultater - Østdanmark'!J191</f>
        <v>#REF!</v>
      </c>
    </row>
    <row r="192" spans="1:10" x14ac:dyDescent="0.25">
      <c r="A192" s="98" t="str">
        <f>'Resultater - Vestdanmark'!A192</f>
        <v>Græsmark</v>
      </c>
      <c r="B192" s="98" t="str">
        <f>'Resultater - Vestdanmark'!B192</f>
        <v>Konventionel</v>
      </c>
      <c r="C192" s="98" t="str">
        <f>'Resultater - Vestdanmark'!C192</f>
        <v>OC12</v>
      </c>
      <c r="D192" s="98" t="str">
        <f>'Resultater - Vestdanmark'!D192</f>
        <v>Areal-græs</v>
      </c>
      <c r="E192" s="98" t="str">
        <f>'Resultater - Vestdanmark'!E192</f>
        <v>Hektar</v>
      </c>
      <c r="F192" s="98" t="str">
        <f>'Resultater - Vestdanmark'!F192</f>
        <v>Græs</v>
      </c>
      <c r="G192" s="98" t="str">
        <f>'Resultater - Vestdanmark'!G192</f>
        <v>Ton</v>
      </c>
      <c r="H192" s="280" t="e">
        <f>'Resultater - Vestdanmark'!H192+'Resultater - Østdanmark'!H192</f>
        <v>#REF!</v>
      </c>
      <c r="I192" s="281" t="e">
        <f>'Resultater - Vestdanmark'!I192+'Resultater - Østdanmark'!I192</f>
        <v>#REF!</v>
      </c>
      <c r="J192" s="282" t="e">
        <f>'Resultater - Vestdanmark'!J192+'Resultater - Østdanmark'!J192</f>
        <v>#REF!</v>
      </c>
    </row>
    <row r="193" spans="1:10" x14ac:dyDescent="0.25">
      <c r="A193" s="98" t="str">
        <f>'Resultater - Vestdanmark'!A193</f>
        <v>Græsmark</v>
      </c>
      <c r="B193" s="98" t="str">
        <f>'Resultater - Vestdanmark'!B193</f>
        <v>Konventionel</v>
      </c>
      <c r="C193" s="98" t="str">
        <f>'Resultater - Vestdanmark'!C193</f>
        <v>OC12</v>
      </c>
      <c r="D193" s="98" t="str">
        <f>'Resultater - Vestdanmark'!D193</f>
        <v>Areal-græs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80" t="e">
        <f>'Resultater - Vestdanmark'!H193+'Resultater - Østdanmark'!H193</f>
        <v>#REF!</v>
      </c>
      <c r="I193" s="281" t="e">
        <f>'Resultater - Vestdanmark'!I193+'Resultater - Østdanmark'!I193</f>
        <v>#REF!</v>
      </c>
      <c r="J193" s="282" t="e">
        <f>'Resultater - Vestdanmark'!J193+'Resultater - Østdanmark'!J193</f>
        <v>#REF!</v>
      </c>
    </row>
    <row r="194" spans="1:10" x14ac:dyDescent="0.25">
      <c r="A194" s="98" t="str">
        <f>'Resultater - Vestdanmark'!A194</f>
        <v>Græsmark</v>
      </c>
      <c r="B194" s="98" t="str">
        <f>'Resultater - Vestdanmark'!B194</f>
        <v>Konventionel</v>
      </c>
      <c r="C194" s="98" t="str">
        <f>'Resultater - Vestdanmark'!C194</f>
        <v>OC12</v>
      </c>
      <c r="D194" s="98" t="str">
        <f>'Resultater - Vestdanmark'!D194</f>
        <v>Areal-græs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80" t="e">
        <f>'Resultater - Vestdanmark'!H194+'Resultater - Østdanmark'!H194</f>
        <v>#REF!</v>
      </c>
      <c r="I194" s="281" t="e">
        <f>'Resultater - Vestdanmark'!I194+'Resultater - Østdanmark'!I194</f>
        <v>#REF!</v>
      </c>
      <c r="J194" s="282" t="e">
        <f>'Resultater - Vestdanmark'!J194+'Resultater - Østdanmark'!J194</f>
        <v>#REF!</v>
      </c>
    </row>
    <row r="195" spans="1:10" x14ac:dyDescent="0.25">
      <c r="A195" s="98" t="str">
        <f>'Resultater - Vestdanmark'!A195</f>
        <v>Græsmark</v>
      </c>
      <c r="B195" s="98" t="str">
        <f>'Resultater - Vestdanmark'!B195</f>
        <v>Økologisk</v>
      </c>
      <c r="C195" s="98" t="str">
        <f>'Resultater - Vestdanmark'!C195</f>
        <v>JB1-10</v>
      </c>
      <c r="D195" s="98" t="str">
        <f>'Resultater - Vestdanmark'!D195</f>
        <v>Areal-græs</v>
      </c>
      <c r="E195" s="98" t="str">
        <f>'Resultater - Vestdanmark'!E195</f>
        <v>Hektar</v>
      </c>
      <c r="F195" s="98" t="str">
        <f>'Resultater - Vestdanmark'!F195</f>
        <v>Græs</v>
      </c>
      <c r="G195" s="98" t="str">
        <f>'Resultater - Vestdanmark'!G195</f>
        <v>Ton</v>
      </c>
      <c r="H195" s="280" t="e">
        <f>'Resultater - Vestdanmark'!H195+'Resultater - Østdanmark'!H195</f>
        <v>#REF!</v>
      </c>
      <c r="I195" s="281" t="e">
        <f>'Resultater - Vestdanmark'!I195+'Resultater - Østdanmark'!I195</f>
        <v>#REF!</v>
      </c>
      <c r="J195" s="282" t="e">
        <f>'Resultater - Vestdanmark'!J195+'Resultater - Østdanmark'!J195</f>
        <v>#REF!</v>
      </c>
    </row>
    <row r="196" spans="1:10" x14ac:dyDescent="0.25">
      <c r="A196" s="98" t="str">
        <f>'Resultater - Vestdanmark'!A196</f>
        <v>Græsmark</v>
      </c>
      <c r="B196" s="98" t="str">
        <f>'Resultater - Vestdanmark'!B196</f>
        <v>Økologisk</v>
      </c>
      <c r="C196" s="98" t="str">
        <f>'Resultater - Vestdanmark'!C196</f>
        <v>JB1-10</v>
      </c>
      <c r="D196" s="98" t="str">
        <f>'Resultater - Vestdanmark'!D196</f>
        <v>Areal-græs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80" t="e">
        <f>'Resultater - Vestdanmark'!H196+'Resultater - Østdanmark'!H196</f>
        <v>#REF!</v>
      </c>
      <c r="I196" s="281" t="e">
        <f>'Resultater - Vestdanmark'!I196+'Resultater - Østdanmark'!I196</f>
        <v>#REF!</v>
      </c>
      <c r="J196" s="282" t="e">
        <f>'Resultater - Vestdanmark'!J196+'Resultater - Østdanmark'!J196</f>
        <v>#REF!</v>
      </c>
    </row>
    <row r="197" spans="1:10" x14ac:dyDescent="0.25">
      <c r="A197" s="98" t="str">
        <f>'Resultater - Vestdanmark'!A197</f>
        <v>Græsmark</v>
      </c>
      <c r="B197" s="98" t="str">
        <f>'Resultater - Vestdanmark'!B197</f>
        <v>Økologisk</v>
      </c>
      <c r="C197" s="98" t="str">
        <f>'Resultater - Vestdanmark'!C197</f>
        <v>JB1-10</v>
      </c>
      <c r="D197" s="98" t="str">
        <f>'Resultater - Vestdanmark'!D197</f>
        <v>Areal-græs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80" t="e">
        <f>'Resultater - Vestdanmark'!H197+'Resultater - Østdanmark'!H197</f>
        <v>#REF!</v>
      </c>
      <c r="I197" s="281" t="e">
        <f>'Resultater - Vestdanmark'!I197+'Resultater - Østdanmark'!I197</f>
        <v>#REF!</v>
      </c>
      <c r="J197" s="282" t="e">
        <f>'Resultater - Vestdanmark'!J197+'Resultater - Østdanmark'!J197</f>
        <v>#REF!</v>
      </c>
    </row>
    <row r="198" spans="1:10" x14ac:dyDescent="0.25">
      <c r="A198" s="98" t="str">
        <f>'Resultater - Vestdanmark'!A198</f>
        <v>Græsmark</v>
      </c>
      <c r="B198" s="98" t="str">
        <f>'Resultater - Vestdanmark'!B198</f>
        <v>Økologisk</v>
      </c>
      <c r="C198" s="98" t="str">
        <f>'Resultater - Vestdanmark'!C198</f>
        <v>OC6</v>
      </c>
      <c r="D198" s="98" t="str">
        <f>'Resultater - Vestdanmark'!D198</f>
        <v>Areal-græs</v>
      </c>
      <c r="E198" s="98" t="str">
        <f>'Resultater - Vestdanmark'!E198</f>
        <v>Hektar</v>
      </c>
      <c r="F198" s="98" t="str">
        <f>'Resultater - Vestdanmark'!F198</f>
        <v>Græs</v>
      </c>
      <c r="G198" s="98" t="str">
        <f>'Resultater - Vestdanmark'!G198</f>
        <v>Ton</v>
      </c>
      <c r="H198" s="280" t="e">
        <f>'Resultater - Vestdanmark'!H198+'Resultater - Østdanmark'!H198</f>
        <v>#REF!</v>
      </c>
      <c r="I198" s="281" t="e">
        <f>'Resultater - Vestdanmark'!I198+'Resultater - Østdanmark'!I198</f>
        <v>#REF!</v>
      </c>
      <c r="J198" s="282" t="e">
        <f>'Resultater - Vestdanmark'!J198+'Resultater - Østdanmark'!J198</f>
        <v>#REF!</v>
      </c>
    </row>
    <row r="199" spans="1:10" x14ac:dyDescent="0.25">
      <c r="A199" s="98" t="str">
        <f>'Resultater - Vestdanmark'!A199</f>
        <v>Græsmark</v>
      </c>
      <c r="B199" s="98" t="str">
        <f>'Resultater - Vestdanmark'!B199</f>
        <v>Økologisk</v>
      </c>
      <c r="C199" s="98" t="str">
        <f>'Resultater - Vestdanmark'!C199</f>
        <v>OC6</v>
      </c>
      <c r="D199" s="98" t="str">
        <f>'Resultater - Vestdanmark'!D199</f>
        <v>Areal-græs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80" t="e">
        <f>'Resultater - Vestdanmark'!H199+'Resultater - Østdanmark'!H199</f>
        <v>#REF!</v>
      </c>
      <c r="I199" s="281" t="e">
        <f>'Resultater - Vestdanmark'!I199+'Resultater - Østdanmark'!I199</f>
        <v>#REF!</v>
      </c>
      <c r="J199" s="282" t="e">
        <f>'Resultater - Vestdanmark'!J199+'Resultater - Østdanmark'!J199</f>
        <v>#REF!</v>
      </c>
    </row>
    <row r="200" spans="1:10" x14ac:dyDescent="0.25">
      <c r="A200" s="98" t="str">
        <f>'Resultater - Vestdanmark'!A200</f>
        <v>Græsmark</v>
      </c>
      <c r="B200" s="98" t="str">
        <f>'Resultater - Vestdanmark'!B200</f>
        <v>Økologisk</v>
      </c>
      <c r="C200" s="98" t="str">
        <f>'Resultater - Vestdanmark'!C200</f>
        <v>OC6</v>
      </c>
      <c r="D200" s="98" t="str">
        <f>'Resultater - Vestdanmark'!D200</f>
        <v>Areal-græs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80" t="e">
        <f>'Resultater - Vestdanmark'!H200+'Resultater - Østdanmark'!H200</f>
        <v>#REF!</v>
      </c>
      <c r="I200" s="281" t="e">
        <f>'Resultater - Vestdanmark'!I200+'Resultater - Østdanmark'!I200</f>
        <v>#REF!</v>
      </c>
      <c r="J200" s="282" t="e">
        <f>'Resultater - Vestdanmark'!J200+'Resultater - Østdanmark'!J200</f>
        <v>#REF!</v>
      </c>
    </row>
    <row r="201" spans="1:10" x14ac:dyDescent="0.25">
      <c r="A201" s="98" t="str">
        <f>'Resultater - Vestdanmark'!A201</f>
        <v>Græsmark</v>
      </c>
      <c r="B201" s="98" t="str">
        <f>'Resultater - Vestdanmark'!B201</f>
        <v>Økologisk</v>
      </c>
      <c r="C201" s="98" t="str">
        <f>'Resultater - Vestdanmark'!C201</f>
        <v>OC12</v>
      </c>
      <c r="D201" s="98" t="str">
        <f>'Resultater - Vestdanmark'!D201</f>
        <v>Areal-græs</v>
      </c>
      <c r="E201" s="98" t="str">
        <f>'Resultater - Vestdanmark'!E201</f>
        <v>Hektar</v>
      </c>
      <c r="F201" s="98" t="str">
        <f>'Resultater - Vestdanmark'!F201</f>
        <v>Græs</v>
      </c>
      <c r="G201" s="98" t="str">
        <f>'Resultater - Vestdanmark'!G201</f>
        <v>Ton</v>
      </c>
      <c r="H201" s="280" t="e">
        <f>'Resultater - Vestdanmark'!H201+'Resultater - Østdanmark'!H201</f>
        <v>#REF!</v>
      </c>
      <c r="I201" s="281" t="e">
        <f>'Resultater - Vestdanmark'!I201+'Resultater - Østdanmark'!I201</f>
        <v>#REF!</v>
      </c>
      <c r="J201" s="282" t="e">
        <f>'Resultater - Vestdanmark'!J201+'Resultater - Østdanmark'!J201</f>
        <v>#REF!</v>
      </c>
    </row>
    <row r="202" spans="1:10" x14ac:dyDescent="0.25">
      <c r="A202" s="98" t="str">
        <f>'Resultater - Vestdanmark'!A202</f>
        <v>Græsmark</v>
      </c>
      <c r="B202" s="98" t="str">
        <f>'Resultater - Vestdanmark'!B202</f>
        <v>Økologisk</v>
      </c>
      <c r="C202" s="98" t="str">
        <f>'Resultater - Vestdanmark'!C202</f>
        <v>OC12</v>
      </c>
      <c r="D202" s="98" t="str">
        <f>'Resultater - Vestdanmark'!D202</f>
        <v>Areal-græs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80" t="e">
        <f>'Resultater - Vestdanmark'!H202+'Resultater - Østdanmark'!H202</f>
        <v>#REF!</v>
      </c>
      <c r="I202" s="281" t="e">
        <f>'Resultater - Vestdanmark'!I202+'Resultater - Østdanmark'!I202</f>
        <v>#REF!</v>
      </c>
      <c r="J202" s="282" t="e">
        <f>'Resultater - Vestdanmark'!J202+'Resultater - Østdanmark'!J202</f>
        <v>#REF!</v>
      </c>
    </row>
    <row r="203" spans="1:10" x14ac:dyDescent="0.25">
      <c r="A203" s="98" t="str">
        <f>'Resultater - Vestdanmark'!A203</f>
        <v>Græsmark</v>
      </c>
      <c r="B203" s="98" t="str">
        <f>'Resultater - Vestdanmark'!B203</f>
        <v>Økologisk</v>
      </c>
      <c r="C203" s="98" t="str">
        <f>'Resultater - Vestdanmark'!C203</f>
        <v>OC12</v>
      </c>
      <c r="D203" s="98" t="str">
        <f>'Resultater - Vestdanmark'!D203</f>
        <v>Areal-græs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80" t="e">
        <f>'Resultater - Vestdanmark'!H203+'Resultater - Østdanmark'!H203</f>
        <v>#REF!</v>
      </c>
      <c r="I203" s="281" t="e">
        <f>'Resultater - Vestdanmark'!I203+'Resultater - Østdanmark'!I203</f>
        <v>#REF!</v>
      </c>
      <c r="J203" s="282" t="e">
        <f>'Resultater - Vestdanmark'!J203+'Resultater - Østdanmark'!J203</f>
        <v>#REF!</v>
      </c>
    </row>
    <row r="204" spans="1:10" x14ac:dyDescent="0.25">
      <c r="A204" s="98" t="str">
        <f>'Resultater - Vestdanmark'!A204</f>
        <v>Bælgsædsmark</v>
      </c>
      <c r="B204" s="98" t="str">
        <f>'Resultater - Vestdanmark'!B204</f>
        <v>Konventionel</v>
      </c>
      <c r="C204" s="98" t="str">
        <f>'Resultater - Vestdanmark'!C204</f>
        <v>JB1-10</v>
      </c>
      <c r="D204" s="98" t="str">
        <f>'Resultater - Vestdanmark'!D204</f>
        <v>Areal-bælgsæd</v>
      </c>
      <c r="E204" s="98" t="str">
        <f>'Resultater - Vestdanmark'!E204</f>
        <v>Hektar</v>
      </c>
      <c r="F204" s="98" t="str">
        <f>'Resultater - Vestdanmark'!F204</f>
        <v>Bælgsæd</v>
      </c>
      <c r="G204" s="98" t="str">
        <f>'Resultater - Vestdanmark'!G204</f>
        <v>Ton</v>
      </c>
      <c r="H204" s="280" t="e">
        <f>'Resultater - Vestdanmark'!H204+'Resultater - Østdanmark'!H204</f>
        <v>#REF!</v>
      </c>
      <c r="I204" s="281" t="e">
        <f>'Resultater - Vestdanmark'!I204+'Resultater - Østdanmark'!I204</f>
        <v>#REF!</v>
      </c>
      <c r="J204" s="282" t="e">
        <f>'Resultater - Vestdanmark'!J204+'Resultater - Østdanmark'!J204</f>
        <v>#REF!</v>
      </c>
    </row>
    <row r="205" spans="1:10" x14ac:dyDescent="0.25">
      <c r="A205" s="98" t="str">
        <f>'Resultater - Vestdanmark'!A205</f>
        <v>Bælgsædsmark</v>
      </c>
      <c r="B205" s="98" t="str">
        <f>'Resultater - Vestdanmark'!B205</f>
        <v>Konventionel</v>
      </c>
      <c r="C205" s="98" t="str">
        <f>'Resultater - Vestdanmark'!C205</f>
        <v>JB1-10</v>
      </c>
      <c r="D205" s="98" t="str">
        <f>'Resultater - Vestdanmark'!D205</f>
        <v>Areal-bælgsæd</v>
      </c>
      <c r="E205" s="98" t="str">
        <f>'Resultater - Vestdanmark'!E205</f>
        <v>Hektar</v>
      </c>
      <c r="F205" s="98" t="str">
        <f>'Resultater - Vestdanmark'!F205</f>
        <v>Halm</v>
      </c>
      <c r="G205" s="98" t="str">
        <f>'Resultater - Vestdanmark'!G205</f>
        <v>Ton</v>
      </c>
      <c r="H205" s="280" t="e">
        <f>'Resultater - Vestdanmark'!H205+'Resultater - Østdanmark'!H205</f>
        <v>#REF!</v>
      </c>
      <c r="I205" s="281" t="e">
        <f>'Resultater - Vestdanmark'!I205+'Resultater - Østdanmark'!I205</f>
        <v>#REF!</v>
      </c>
      <c r="J205" s="282" t="e">
        <f>'Resultater - Vestdanmark'!J205+'Resultater - Østdanmark'!J205</f>
        <v>#REF!</v>
      </c>
    </row>
    <row r="206" spans="1:10" x14ac:dyDescent="0.25">
      <c r="A206" s="98" t="str">
        <f>'Resultater - Vestdanmark'!A206</f>
        <v>Bælgsædsmark</v>
      </c>
      <c r="B206" s="98" t="str">
        <f>'Resultater - Vestdanmark'!B206</f>
        <v>Konventionel</v>
      </c>
      <c r="C206" s="98" t="str">
        <f>'Resultater - Vestdanmark'!C206</f>
        <v>JB1-10</v>
      </c>
      <c r="D206" s="98" t="str">
        <f>'Resultater - Vestdanmark'!D206</f>
        <v>Areal-bælgsæd</v>
      </c>
      <c r="E206" s="98" t="str">
        <f>'Resultater - Vestdanmark'!E206</f>
        <v>Hektar</v>
      </c>
      <c r="F206" s="98" t="str">
        <f>'Resultater - Vestdanmark'!F206</f>
        <v>Gødning</v>
      </c>
      <c r="G206" s="98" t="str">
        <f>'Resultater - Vestdanmark'!G206</f>
        <v>kg N</v>
      </c>
      <c r="H206" s="280" t="e">
        <f>'Resultater - Vestdanmark'!H206+'Resultater - Østdanmark'!H206</f>
        <v>#REF!</v>
      </c>
      <c r="I206" s="281" t="e">
        <f>'Resultater - Vestdanmark'!I206+'Resultater - Østdanmark'!I206</f>
        <v>#REF!</v>
      </c>
      <c r="J206" s="282" t="e">
        <f>'Resultater - Vestdanmark'!J206+'Resultater - Østdanmark'!J206</f>
        <v>#REF!</v>
      </c>
    </row>
    <row r="207" spans="1:10" x14ac:dyDescent="0.25">
      <c r="A207" s="98" t="str">
        <f>'Resultater - Vestdanmark'!A207</f>
        <v>Bælgsædsmark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Areal-bælgsæd</v>
      </c>
      <c r="E207" s="98" t="str">
        <f>'Resultater - Vestdanmark'!E207</f>
        <v>Hektar</v>
      </c>
      <c r="F207" s="98" t="str">
        <f>'Resultater - Vestdanmark'!F207</f>
        <v>CO2 - atmosfære</v>
      </c>
      <c r="G207" s="98" t="str">
        <f>'Resultater - Vestdanmark'!G207</f>
        <v>t CO2-ækvivalenter</v>
      </c>
      <c r="H207" s="280" t="e">
        <f>'Resultater - Vestdanmark'!H207+'Resultater - Østdanmark'!H207</f>
        <v>#REF!</v>
      </c>
      <c r="I207" s="281" t="e">
        <f>'Resultater - Vestdanmark'!I207+'Resultater - Østdanmark'!I207</f>
        <v>#REF!</v>
      </c>
      <c r="J207" s="282" t="e">
        <f>'Resultater - Vestdanmark'!J207+'Resultater - Østdanmark'!J207</f>
        <v>#REF!</v>
      </c>
    </row>
    <row r="208" spans="1:10" x14ac:dyDescent="0.25">
      <c r="A208" s="98" t="str">
        <f>'Resultater - Vestdanmark'!A208</f>
        <v>Bælgsædsmark</v>
      </c>
      <c r="B208" s="98" t="str">
        <f>'Resultater - Vestdanmark'!B208</f>
        <v>Konventionel</v>
      </c>
      <c r="C208" s="98" t="str">
        <f>'Resultater - Vestdanmark'!C208</f>
        <v>OC6</v>
      </c>
      <c r="D208" s="98" t="str">
        <f>'Resultater - Vestdanmark'!D208</f>
        <v>Areal-bælgsæd</v>
      </c>
      <c r="E208" s="98" t="str">
        <f>'Resultater - Vestdanmark'!E208</f>
        <v>Hektar</v>
      </c>
      <c r="F208" s="98" t="str">
        <f>'Resultater - Vestdanmark'!F208</f>
        <v>Bælgsæd</v>
      </c>
      <c r="G208" s="98" t="str">
        <f>'Resultater - Vestdanmark'!G208</f>
        <v>Ton</v>
      </c>
      <c r="H208" s="280" t="e">
        <f>'Resultater - Vestdanmark'!H208+'Resultater - Østdanmark'!H208</f>
        <v>#REF!</v>
      </c>
      <c r="I208" s="281" t="e">
        <f>'Resultater - Vestdanmark'!I208+'Resultater - Østdanmark'!I208</f>
        <v>#REF!</v>
      </c>
      <c r="J208" s="282" t="e">
        <f>'Resultater - Vestdanmark'!J208+'Resultater - Østdanmark'!J208</f>
        <v>#REF!</v>
      </c>
    </row>
    <row r="209" spans="1:10" x14ac:dyDescent="0.25">
      <c r="A209" s="98" t="str">
        <f>'Resultater - Vestdanmark'!A209</f>
        <v>Bælgsædsmark</v>
      </c>
      <c r="B209" s="98" t="str">
        <f>'Resultater - Vestdanmark'!B209</f>
        <v>Konventionel</v>
      </c>
      <c r="C209" s="98" t="str">
        <f>'Resultater - Vestdanmark'!C209</f>
        <v>OC6</v>
      </c>
      <c r="D209" s="98" t="str">
        <f>'Resultater - Vestdanmark'!D209</f>
        <v>Areal-bælgsæd</v>
      </c>
      <c r="E209" s="98" t="str">
        <f>'Resultater - Vestdanmark'!E209</f>
        <v>Hektar</v>
      </c>
      <c r="F209" s="98" t="str">
        <f>'Resultater - Vestdanmark'!F209</f>
        <v>Halm</v>
      </c>
      <c r="G209" s="98" t="str">
        <f>'Resultater - Vestdanmark'!G209</f>
        <v>Ton</v>
      </c>
      <c r="H209" s="280" t="e">
        <f>'Resultater - Vestdanmark'!H209+'Resultater - Østdanmark'!H209</f>
        <v>#REF!</v>
      </c>
      <c r="I209" s="281" t="e">
        <f>'Resultater - Vestdanmark'!I209+'Resultater - Østdanmark'!I209</f>
        <v>#REF!</v>
      </c>
      <c r="J209" s="282" t="e">
        <f>'Resultater - Vestdanmark'!J209+'Resultater - Østdanmark'!J209</f>
        <v>#REF!</v>
      </c>
    </row>
    <row r="210" spans="1:10" x14ac:dyDescent="0.25">
      <c r="A210" s="98" t="str">
        <f>'Resultater - Vestdanmark'!A210</f>
        <v>Bælgsædsmark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Areal-bælgsæd</v>
      </c>
      <c r="E210" s="98" t="str">
        <f>'Resultater - Vestdanmark'!E210</f>
        <v>Hektar</v>
      </c>
      <c r="F210" s="98" t="str">
        <f>'Resultater - Vestdanmark'!F210</f>
        <v>Gødning</v>
      </c>
      <c r="G210" s="98" t="str">
        <f>'Resultater - Vestdanmark'!G210</f>
        <v>kg N</v>
      </c>
      <c r="H210" s="280" t="e">
        <f>'Resultater - Vestdanmark'!H210+'Resultater - Østdanmark'!H210</f>
        <v>#REF!</v>
      </c>
      <c r="I210" s="281" t="e">
        <f>'Resultater - Vestdanmark'!I210+'Resultater - Østdanmark'!I210</f>
        <v>#REF!</v>
      </c>
      <c r="J210" s="282" t="e">
        <f>'Resultater - Vestdanmark'!J210+'Resultater - Østdanmark'!J210</f>
        <v>#REF!</v>
      </c>
    </row>
    <row r="211" spans="1:10" x14ac:dyDescent="0.25">
      <c r="A211" s="98" t="str">
        <f>'Resultater - Vestdanmark'!A211</f>
        <v>Bælgsædsmark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Areal-bælgsæd</v>
      </c>
      <c r="E211" s="98" t="str">
        <f>'Resultater - Vestdanmark'!E211</f>
        <v>Hektar</v>
      </c>
      <c r="F211" s="98" t="str">
        <f>'Resultater - Vestdanmark'!F211</f>
        <v>CO2 - atmosfære</v>
      </c>
      <c r="G211" s="98" t="str">
        <f>'Resultater - Vestdanmark'!G211</f>
        <v>t CO2-ækvivalenter</v>
      </c>
      <c r="H211" s="280" t="e">
        <f>'Resultater - Vestdanmark'!H211+'Resultater - Østdanmark'!H211</f>
        <v>#REF!</v>
      </c>
      <c r="I211" s="281" t="e">
        <f>'Resultater - Vestdanmark'!I211+'Resultater - Østdanmark'!I211</f>
        <v>#REF!</v>
      </c>
      <c r="J211" s="282" t="e">
        <f>'Resultater - Vestdanmark'!J211+'Resultater - Østdanmark'!J211</f>
        <v>#REF!</v>
      </c>
    </row>
    <row r="212" spans="1:10" x14ac:dyDescent="0.25">
      <c r="A212" s="98" t="str">
        <f>'Resultater - Vestdanmark'!A212</f>
        <v>Bælgsædsmark</v>
      </c>
      <c r="B212" s="98" t="str">
        <f>'Resultater - Vestdanmark'!B212</f>
        <v>Konventionel</v>
      </c>
      <c r="C212" s="98" t="str">
        <f>'Resultater - Vestdanmark'!C212</f>
        <v>OC12</v>
      </c>
      <c r="D212" s="98" t="str">
        <f>'Resultater - Vestdanmark'!D212</f>
        <v>Areal-bælgsæd</v>
      </c>
      <c r="E212" s="98" t="str">
        <f>'Resultater - Vestdanmark'!E212</f>
        <v>Hektar</v>
      </c>
      <c r="F212" s="98" t="str">
        <f>'Resultater - Vestdanmark'!F212</f>
        <v>Bælgsæd</v>
      </c>
      <c r="G212" s="98" t="str">
        <f>'Resultater - Vestdanmark'!G212</f>
        <v>Ton</v>
      </c>
      <c r="H212" s="280" t="e">
        <f>'Resultater - Vestdanmark'!H212+'Resultater - Østdanmark'!H212</f>
        <v>#REF!</v>
      </c>
      <c r="I212" s="281" t="e">
        <f>'Resultater - Vestdanmark'!I212+'Resultater - Østdanmark'!I212</f>
        <v>#REF!</v>
      </c>
      <c r="J212" s="282" t="e">
        <f>'Resultater - Vestdanmark'!J212+'Resultater - Østdanmark'!J212</f>
        <v>#REF!</v>
      </c>
    </row>
    <row r="213" spans="1:10" x14ac:dyDescent="0.25">
      <c r="A213" s="98" t="str">
        <f>'Resultater - Vestdanmark'!A213</f>
        <v>Bælgsædsmark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Areal-bælgsæd</v>
      </c>
      <c r="E213" s="98" t="str">
        <f>'Resultater - Vestdanmark'!E213</f>
        <v>Hektar</v>
      </c>
      <c r="F213" s="98" t="str">
        <f>'Resultater - Vestdanmark'!F213</f>
        <v>Halm</v>
      </c>
      <c r="G213" s="98" t="str">
        <f>'Resultater - Vestdanmark'!G213</f>
        <v>Ton</v>
      </c>
      <c r="H213" s="280" t="e">
        <f>'Resultater - Vestdanmark'!H213+'Resultater - Østdanmark'!H213</f>
        <v>#REF!</v>
      </c>
      <c r="I213" s="281" t="e">
        <f>'Resultater - Vestdanmark'!I213+'Resultater - Østdanmark'!I213</f>
        <v>#REF!</v>
      </c>
      <c r="J213" s="282" t="e">
        <f>'Resultater - Vestdanmark'!J213+'Resultater - Østdanmark'!J213</f>
        <v>#REF!</v>
      </c>
    </row>
    <row r="214" spans="1:10" x14ac:dyDescent="0.25">
      <c r="A214" s="98" t="str">
        <f>'Resultater - Vestdanmark'!A214</f>
        <v>Bælgsædsmark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Areal-bælgsæd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80" t="e">
        <f>'Resultater - Vestdanmark'!H214+'Resultater - Østdanmark'!H214</f>
        <v>#REF!</v>
      </c>
      <c r="I214" s="281" t="e">
        <f>'Resultater - Vestdanmark'!I214+'Resultater - Østdanmark'!I214</f>
        <v>#REF!</v>
      </c>
      <c r="J214" s="282" t="e">
        <f>'Resultater - Vestdanmark'!J214+'Resultater - Østdanmark'!J214</f>
        <v>#REF!</v>
      </c>
    </row>
    <row r="215" spans="1:10" x14ac:dyDescent="0.25">
      <c r="A215" s="98" t="str">
        <f>'Resultater - Vestdanmark'!A215</f>
        <v>Bælgsædsmark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Areal-bælgsæd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80" t="e">
        <f>'Resultater - Vestdanmark'!H215+'Resultater - Østdanmark'!H215</f>
        <v>#REF!</v>
      </c>
      <c r="I215" s="281" t="e">
        <f>'Resultater - Vestdanmark'!I215+'Resultater - Østdanmark'!I215</f>
        <v>#REF!</v>
      </c>
      <c r="J215" s="282" t="e">
        <f>'Resultater - Vestdanmark'!J215+'Resultater - Østdanmark'!J215</f>
        <v>#REF!</v>
      </c>
    </row>
    <row r="216" spans="1:10" x14ac:dyDescent="0.25">
      <c r="A216" s="98" t="str">
        <f>'Resultater - Vestdanmark'!A216</f>
        <v>Bælgsædsmark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Areal-bælgsæd</v>
      </c>
      <c r="E216" s="98" t="str">
        <f>'Resultater - Vestdanmark'!E216</f>
        <v>Hektar</v>
      </c>
      <c r="F216" s="98" t="str">
        <f>'Resultater - Vestdanmark'!F216</f>
        <v>Bælgsæd</v>
      </c>
      <c r="G216" s="98" t="str">
        <f>'Resultater - Vestdanmark'!G216</f>
        <v>Ton</v>
      </c>
      <c r="H216" s="280" t="e">
        <f>'Resultater - Vestdanmark'!H216+'Resultater - Østdanmark'!H216</f>
        <v>#REF!</v>
      </c>
      <c r="I216" s="281" t="e">
        <f>'Resultater - Vestdanmark'!I216+'Resultater - Østdanmark'!I216</f>
        <v>#REF!</v>
      </c>
      <c r="J216" s="282" t="e">
        <f>'Resultater - Vestdanmark'!J216+'Resultater - Østdanmark'!J216</f>
        <v>#REF!</v>
      </c>
    </row>
    <row r="217" spans="1:10" x14ac:dyDescent="0.25">
      <c r="A217" s="98" t="str">
        <f>'Resultater - Vestdanmark'!A217</f>
        <v>Bælgsædsmark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Areal-bælgsæd</v>
      </c>
      <c r="E217" s="98" t="str">
        <f>'Resultater - Vestdanmark'!E217</f>
        <v>Hektar</v>
      </c>
      <c r="F217" s="98" t="str">
        <f>'Resultater - Vestdanmark'!F217</f>
        <v>Halm</v>
      </c>
      <c r="G217" s="98" t="str">
        <f>'Resultater - Vestdanmark'!G217</f>
        <v>Ton</v>
      </c>
      <c r="H217" s="280" t="e">
        <f>'Resultater - Vestdanmark'!H217+'Resultater - Østdanmark'!H217</f>
        <v>#REF!</v>
      </c>
      <c r="I217" s="281" t="e">
        <f>'Resultater - Vestdanmark'!I217+'Resultater - Østdanmark'!I217</f>
        <v>#REF!</v>
      </c>
      <c r="J217" s="282" t="e">
        <f>'Resultater - Vestdanmark'!J217+'Resultater - Østdanmark'!J217</f>
        <v>#REF!</v>
      </c>
    </row>
    <row r="218" spans="1:10" x14ac:dyDescent="0.25">
      <c r="A218" s="98" t="str">
        <f>'Resultater - Vestdanmark'!A218</f>
        <v>Bælgsædsmark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Areal-bælgsæd</v>
      </c>
      <c r="E218" s="98" t="str">
        <f>'Resultater - Vestdanmark'!E218</f>
        <v>Hektar</v>
      </c>
      <c r="F218" s="98" t="str">
        <f>'Resultater - Vestdanmark'!F218</f>
        <v>Gødning</v>
      </c>
      <c r="G218" s="98" t="str">
        <f>'Resultater - Vestdanmark'!G218</f>
        <v>kg N</v>
      </c>
      <c r="H218" s="280" t="e">
        <f>'Resultater - Vestdanmark'!H218+'Resultater - Østdanmark'!H218</f>
        <v>#REF!</v>
      </c>
      <c r="I218" s="281" t="e">
        <f>'Resultater - Vestdanmark'!I218+'Resultater - Østdanmark'!I218</f>
        <v>#REF!</v>
      </c>
      <c r="J218" s="282" t="e">
        <f>'Resultater - Vestdanmark'!J218+'Resultater - Østdanmark'!J218</f>
        <v>#REF!</v>
      </c>
    </row>
    <row r="219" spans="1:10" x14ac:dyDescent="0.25">
      <c r="A219" s="98" t="str">
        <f>'Resultater - Vestdanmark'!A219</f>
        <v>Bælgsædsmark</v>
      </c>
      <c r="B219" s="98" t="str">
        <f>'Resultater - Vestdanmark'!B219</f>
        <v>Økologisk</v>
      </c>
      <c r="C219" s="98" t="str">
        <f>'Resultater - Vestdanmark'!C219</f>
        <v>JB1-10</v>
      </c>
      <c r="D219" s="98" t="str">
        <f>'Resultater - Vestdanmark'!D219</f>
        <v>Areal-bælgsæd</v>
      </c>
      <c r="E219" s="98" t="str">
        <f>'Resultater - Vestdanmark'!E219</f>
        <v>Hektar</v>
      </c>
      <c r="F219" s="98" t="str">
        <f>'Resultater - Vestdanmark'!F219</f>
        <v>CO2 - atmosfære</v>
      </c>
      <c r="G219" s="98" t="str">
        <f>'Resultater - Vestdanmark'!G219</f>
        <v>t CO2-ækvivalenter</v>
      </c>
      <c r="H219" s="280" t="e">
        <f>'Resultater - Vestdanmark'!H219+'Resultater - Østdanmark'!H219</f>
        <v>#REF!</v>
      </c>
      <c r="I219" s="281" t="e">
        <f>'Resultater - Vestdanmark'!I219+'Resultater - Østdanmark'!I219</f>
        <v>#REF!</v>
      </c>
      <c r="J219" s="282" t="e">
        <f>'Resultater - Vestdanmark'!J219+'Resultater - Østdanmark'!J219</f>
        <v>#REF!</v>
      </c>
    </row>
    <row r="220" spans="1:10" x14ac:dyDescent="0.25">
      <c r="A220" s="98" t="str">
        <f>'Resultater - Vestdanmark'!A220</f>
        <v>Bælgsædsmark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Areal-bælgsæd</v>
      </c>
      <c r="E220" s="98" t="str">
        <f>'Resultater - Vestdanmark'!E220</f>
        <v>Hektar</v>
      </c>
      <c r="F220" s="98" t="str">
        <f>'Resultater - Vestdanmark'!F220</f>
        <v>Bælgsæd</v>
      </c>
      <c r="G220" s="98" t="str">
        <f>'Resultater - Vestdanmark'!G220</f>
        <v>Ton</v>
      </c>
      <c r="H220" s="280" t="e">
        <f>'Resultater - Vestdanmark'!H220+'Resultater - Østdanmark'!H220</f>
        <v>#REF!</v>
      </c>
      <c r="I220" s="281" t="e">
        <f>'Resultater - Vestdanmark'!I220+'Resultater - Østdanmark'!I220</f>
        <v>#REF!</v>
      </c>
      <c r="J220" s="282" t="e">
        <f>'Resultater - Vestdanmark'!J220+'Resultater - Østdanmark'!J220</f>
        <v>#REF!</v>
      </c>
    </row>
    <row r="221" spans="1:10" x14ac:dyDescent="0.25">
      <c r="A221" s="98" t="str">
        <f>'Resultater - Vestdanmark'!A221</f>
        <v>Bælgsædsmark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Areal-bælgsæd</v>
      </c>
      <c r="E221" s="98" t="str">
        <f>'Resultater - Vestdanmark'!E221</f>
        <v>Hektar</v>
      </c>
      <c r="F221" s="98" t="str">
        <f>'Resultater - Vestdanmark'!F221</f>
        <v>Halm</v>
      </c>
      <c r="G221" s="98" t="str">
        <f>'Resultater - Vestdanmark'!G221</f>
        <v>Ton</v>
      </c>
      <c r="H221" s="280" t="e">
        <f>'Resultater - Vestdanmark'!H221+'Resultater - Østdanmark'!H221</f>
        <v>#REF!</v>
      </c>
      <c r="I221" s="281" t="e">
        <f>'Resultater - Vestdanmark'!I221+'Resultater - Østdanmark'!I221</f>
        <v>#REF!</v>
      </c>
      <c r="J221" s="282" t="e">
        <f>'Resultater - Vestdanmark'!J221+'Resultater - Østdanmark'!J221</f>
        <v>#REF!</v>
      </c>
    </row>
    <row r="222" spans="1:10" x14ac:dyDescent="0.25">
      <c r="A222" s="98" t="str">
        <f>'Resultater - Vestdanmark'!A222</f>
        <v>Bælgsædsmark</v>
      </c>
      <c r="B222" s="98" t="str">
        <f>'Resultater - Vestdanmark'!B222</f>
        <v>Økologisk</v>
      </c>
      <c r="C222" s="98" t="str">
        <f>'Resultater - Vestdanmark'!C222</f>
        <v>OC6</v>
      </c>
      <c r="D222" s="98" t="str">
        <f>'Resultater - Vestdanmark'!D222</f>
        <v>Areal-bælgsæd</v>
      </c>
      <c r="E222" s="98" t="str">
        <f>'Resultater - Vestdanmark'!E222</f>
        <v>Hektar</v>
      </c>
      <c r="F222" s="98" t="str">
        <f>'Resultater - Vestdanmark'!F222</f>
        <v>Gødning</v>
      </c>
      <c r="G222" s="98" t="str">
        <f>'Resultater - Vestdanmark'!G222</f>
        <v>kg N</v>
      </c>
      <c r="H222" s="280" t="e">
        <f>'Resultater - Vestdanmark'!H222+'Resultater - Østdanmark'!H222</f>
        <v>#REF!</v>
      </c>
      <c r="I222" s="281" t="e">
        <f>'Resultater - Vestdanmark'!I222+'Resultater - Østdanmark'!I222</f>
        <v>#REF!</v>
      </c>
      <c r="J222" s="282" t="e">
        <f>'Resultater - Vestdanmark'!J222+'Resultater - Østdanmark'!J222</f>
        <v>#REF!</v>
      </c>
    </row>
    <row r="223" spans="1:10" x14ac:dyDescent="0.25">
      <c r="A223" s="98" t="str">
        <f>'Resultater - Vestdanmark'!A223</f>
        <v>Bælgsædsmark</v>
      </c>
      <c r="B223" s="98" t="str">
        <f>'Resultater - Vestdanmark'!B223</f>
        <v>Økologisk</v>
      </c>
      <c r="C223" s="98" t="str">
        <f>'Resultater - Vestdanmark'!C223</f>
        <v>OC6</v>
      </c>
      <c r="D223" s="98" t="str">
        <f>'Resultater - Vestdanmark'!D223</f>
        <v>Areal-bælgsæd</v>
      </c>
      <c r="E223" s="98" t="str">
        <f>'Resultater - Vestdanmark'!E223</f>
        <v>Hektar</v>
      </c>
      <c r="F223" s="98" t="str">
        <f>'Resultater - Vestdanmark'!F223</f>
        <v>CO2 - atmosfære</v>
      </c>
      <c r="G223" s="98" t="str">
        <f>'Resultater - Vestdanmark'!G223</f>
        <v>t CO2-ækvivalenter</v>
      </c>
      <c r="H223" s="280" t="e">
        <f>'Resultater - Vestdanmark'!H223+'Resultater - Østdanmark'!H223</f>
        <v>#REF!</v>
      </c>
      <c r="I223" s="281" t="e">
        <f>'Resultater - Vestdanmark'!I223+'Resultater - Østdanmark'!I223</f>
        <v>#REF!</v>
      </c>
      <c r="J223" s="282" t="e">
        <f>'Resultater - Vestdanmark'!J223+'Resultater - Østdanmark'!J223</f>
        <v>#REF!</v>
      </c>
    </row>
    <row r="224" spans="1:10" x14ac:dyDescent="0.25">
      <c r="A224" s="98" t="str">
        <f>'Resultater - Vestdanmark'!A224</f>
        <v>Bælgsædsmark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Areal-bælgsæd</v>
      </c>
      <c r="E224" s="98" t="str">
        <f>'Resultater - Vestdanmark'!E224</f>
        <v>Hektar</v>
      </c>
      <c r="F224" s="98" t="str">
        <f>'Resultater - Vestdanmark'!F224</f>
        <v>Bælgsæd</v>
      </c>
      <c r="G224" s="98" t="str">
        <f>'Resultater - Vestdanmark'!G224</f>
        <v>Ton</v>
      </c>
      <c r="H224" s="280" t="e">
        <f>'Resultater - Vestdanmark'!H224+'Resultater - Østdanmark'!H224</f>
        <v>#REF!</v>
      </c>
      <c r="I224" s="281" t="e">
        <f>'Resultater - Vestdanmark'!I224+'Resultater - Østdanmark'!I224</f>
        <v>#REF!</v>
      </c>
      <c r="J224" s="282" t="e">
        <f>'Resultater - Vestdanmark'!J224+'Resultater - Østdanmark'!J224</f>
        <v>#REF!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Økologisk</v>
      </c>
      <c r="C225" s="98" t="str">
        <f>'Resultater - Vestdanmark'!C225</f>
        <v>OC12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Halm</v>
      </c>
      <c r="G225" s="98" t="str">
        <f>'Resultater - Vestdanmark'!G225</f>
        <v>Ton</v>
      </c>
      <c r="H225" s="280" t="e">
        <f>'Resultater - Vestdanmark'!H225+'Resultater - Østdanmark'!H225</f>
        <v>#REF!</v>
      </c>
      <c r="I225" s="281" t="e">
        <f>'Resultater - Vestdanmark'!I225+'Resultater - Østdanmark'!I225</f>
        <v>#REF!</v>
      </c>
      <c r="J225" s="282" t="e">
        <f>'Resultater - Vestdanmark'!J225+'Resultater - Østdanmark'!J225</f>
        <v>#REF!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Økologisk</v>
      </c>
      <c r="C226" s="98" t="str">
        <f>'Resultater - Vestdanmark'!C226</f>
        <v>OC12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Gødning</v>
      </c>
      <c r="G226" s="98" t="str">
        <f>'Resultater - Vestdanmark'!G226</f>
        <v>kg N</v>
      </c>
      <c r="H226" s="280" t="e">
        <f>'Resultater - Vestdanmark'!H226+'Resultater - Østdanmark'!H226</f>
        <v>#REF!</v>
      </c>
      <c r="I226" s="281" t="e">
        <f>'Resultater - Vestdanmark'!I226+'Resultater - Østdanmark'!I226</f>
        <v>#REF!</v>
      </c>
      <c r="J226" s="282" t="e">
        <f>'Resultater - Vestdanmark'!J226+'Resultater - Østdanmark'!J226</f>
        <v>#REF!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Økologisk</v>
      </c>
      <c r="C227" s="98" t="str">
        <f>'Resultater - Vestdanmark'!C227</f>
        <v>OC12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CO2 - atmosfære</v>
      </c>
      <c r="G227" s="98" t="str">
        <f>'Resultater - Vestdanmark'!G227</f>
        <v>t CO2-ækvivalenter</v>
      </c>
      <c r="H227" s="280" t="e">
        <f>'Resultater - Vestdanmark'!H227+'Resultater - Østdanmark'!H227</f>
        <v>#REF!</v>
      </c>
      <c r="I227" s="281" t="e">
        <f>'Resultater - Vestdanmark'!I227+'Resultater - Østdanmark'!I227</f>
        <v>#REF!</v>
      </c>
      <c r="J227" s="282" t="e">
        <f>'Resultater - Vestdanmark'!J227+'Resultater - Østdanmark'!J227</f>
        <v>#REF!</v>
      </c>
    </row>
    <row r="228" spans="1:10" x14ac:dyDescent="0.25">
      <c r="A228" s="98" t="str">
        <f>'Resultater - Vestdanmark'!A228</f>
        <v>Roemark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Areal-roer</v>
      </c>
      <c r="E228" s="98" t="str">
        <f>'Resultater - Vestdanmark'!E228</f>
        <v>Hektar</v>
      </c>
      <c r="F228" s="98" t="str">
        <f>'Resultater - Vestdanmark'!F228</f>
        <v>Roer</v>
      </c>
      <c r="G228" s="98" t="str">
        <f>'Resultater - Vestdanmark'!G228</f>
        <v>Ton</v>
      </c>
      <c r="H228" s="280" t="e">
        <f>'Resultater - Vestdanmark'!H228+'Resultater - Østdanmark'!H228</f>
        <v>#REF!</v>
      </c>
      <c r="I228" s="281" t="e">
        <f>'Resultater - Vestdanmark'!I228+'Resultater - Østdanmark'!I228</f>
        <v>#REF!</v>
      </c>
      <c r="J228" s="282" t="e">
        <f>'Resultater - Vestdanmark'!J228+'Resultater - Østdanmark'!J228</f>
        <v>#REF!</v>
      </c>
    </row>
    <row r="229" spans="1:10" x14ac:dyDescent="0.25">
      <c r="A229" s="98" t="str">
        <f>'Resultater - Vestdanmark'!A229</f>
        <v>Roemark</v>
      </c>
      <c r="B229" s="98" t="str">
        <f>'Resultater - Vestdanmark'!B229</f>
        <v>Konventionel</v>
      </c>
      <c r="C229" s="98" t="str">
        <f>'Resultater - Vestdanmark'!C229</f>
        <v>JB1-10</v>
      </c>
      <c r="D229" s="98" t="str">
        <f>'Resultater - Vestdanmark'!D229</f>
        <v>Areal-roer</v>
      </c>
      <c r="E229" s="98" t="str">
        <f>'Resultater - Vestdanmark'!E229</f>
        <v>Hektar</v>
      </c>
      <c r="F229" s="98" t="str">
        <f>'Resultater - Vestdanmark'!F229</f>
        <v>Gødning</v>
      </c>
      <c r="G229" s="98" t="str">
        <f>'Resultater - Vestdanmark'!G229</f>
        <v>kg N</v>
      </c>
      <c r="H229" s="280" t="e">
        <f>'Resultater - Vestdanmark'!H229+'Resultater - Østdanmark'!H229</f>
        <v>#REF!</v>
      </c>
      <c r="I229" s="281" t="e">
        <f>'Resultater - Vestdanmark'!I229+'Resultater - Østdanmark'!I229</f>
        <v>#REF!</v>
      </c>
      <c r="J229" s="282" t="e">
        <f>'Resultater - Vestdanmark'!J229+'Resultater - Østdanmark'!J229</f>
        <v>#REF!</v>
      </c>
    </row>
    <row r="230" spans="1:10" x14ac:dyDescent="0.25">
      <c r="A230" s="98" t="str">
        <f>'Resultater - Vestdanmark'!A230</f>
        <v>Roemark</v>
      </c>
      <c r="B230" s="98" t="str">
        <f>'Resultater - Vestdanmark'!B230</f>
        <v>Konventionel</v>
      </c>
      <c r="C230" s="98" t="str">
        <f>'Resultater - Vestdanmark'!C230</f>
        <v>JB1-10</v>
      </c>
      <c r="D230" s="98" t="str">
        <f>'Resultater - Vestdanmark'!D230</f>
        <v>Areal-roer</v>
      </c>
      <c r="E230" s="98" t="str">
        <f>'Resultater - Vestdanmark'!E230</f>
        <v>Hektar</v>
      </c>
      <c r="F230" s="98" t="str">
        <f>'Resultater - Vestdanmark'!F230</f>
        <v>CO2 - atmosfære</v>
      </c>
      <c r="G230" s="98" t="str">
        <f>'Resultater - Vestdanmark'!G230</f>
        <v>t CO2-ækvivalenter</v>
      </c>
      <c r="H230" s="280" t="e">
        <f>'Resultater - Vestdanmark'!H230+'Resultater - Østdanmark'!H230</f>
        <v>#REF!</v>
      </c>
      <c r="I230" s="281" t="e">
        <f>'Resultater - Vestdanmark'!I230+'Resultater - Østdanmark'!I230</f>
        <v>#REF!</v>
      </c>
      <c r="J230" s="282" t="e">
        <f>'Resultater - Vestdanmark'!J230+'Resultater - Østdanmark'!J230</f>
        <v>#REF!</v>
      </c>
    </row>
    <row r="231" spans="1:10" x14ac:dyDescent="0.25">
      <c r="A231" s="98" t="str">
        <f>'Resultater - Vestdanmark'!A231</f>
        <v>Roemark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Areal-roer</v>
      </c>
      <c r="E231" s="98" t="str">
        <f>'Resultater - Vestdanmark'!E231</f>
        <v>Hektar</v>
      </c>
      <c r="F231" s="98" t="str">
        <f>'Resultater - Vestdanmark'!F231</f>
        <v>Roer</v>
      </c>
      <c r="G231" s="98" t="str">
        <f>'Resultater - Vestdanmark'!G231</f>
        <v>Ton</v>
      </c>
      <c r="H231" s="280" t="e">
        <f>'Resultater - Vestdanmark'!H231+'Resultater - Østdanmark'!H231</f>
        <v>#REF!</v>
      </c>
      <c r="I231" s="281" t="e">
        <f>'Resultater - Vestdanmark'!I231+'Resultater - Østdanmark'!I231</f>
        <v>#REF!</v>
      </c>
      <c r="J231" s="282" t="e">
        <f>'Resultater - Vestdanmark'!J231+'Resultater - Østdanmark'!J231</f>
        <v>#REF!</v>
      </c>
    </row>
    <row r="232" spans="1:10" x14ac:dyDescent="0.25">
      <c r="A232" s="98" t="str">
        <f>'Resultater - Vestdanmark'!A232</f>
        <v>Roemark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Areal-roer</v>
      </c>
      <c r="E232" s="98" t="str">
        <f>'Resultater - Vestdanmark'!E232</f>
        <v>Hektar</v>
      </c>
      <c r="F232" s="98" t="str">
        <f>'Resultater - Vestdanmark'!F232</f>
        <v>Gødning</v>
      </c>
      <c r="G232" s="98" t="str">
        <f>'Resultater - Vestdanmark'!G232</f>
        <v>kg N</v>
      </c>
      <c r="H232" s="280" t="e">
        <f>'Resultater - Vestdanmark'!H232+'Resultater - Østdanmark'!H232</f>
        <v>#REF!</v>
      </c>
      <c r="I232" s="281" t="e">
        <f>'Resultater - Vestdanmark'!I232+'Resultater - Østdanmark'!I232</f>
        <v>#REF!</v>
      </c>
      <c r="J232" s="282" t="e">
        <f>'Resultater - Vestdanmark'!J232+'Resultater - Østdanmark'!J232</f>
        <v>#REF!</v>
      </c>
    </row>
    <row r="233" spans="1:10" x14ac:dyDescent="0.25">
      <c r="A233" s="98" t="str">
        <f>'Resultater - Vestdanmark'!A233</f>
        <v>Roemark</v>
      </c>
      <c r="B233" s="98" t="str">
        <f>'Resultater - Vestdanmark'!B233</f>
        <v>Konventionel</v>
      </c>
      <c r="C233" s="98" t="str">
        <f>'Resultater - Vestdanmark'!C233</f>
        <v>OC6</v>
      </c>
      <c r="D233" s="98" t="str">
        <f>'Resultater - Vestdanmark'!D233</f>
        <v>Areal-roer</v>
      </c>
      <c r="E233" s="98" t="str">
        <f>'Resultater - Vestdanmark'!E233</f>
        <v>Hektar</v>
      </c>
      <c r="F233" s="98" t="str">
        <f>'Resultater - Vestdanmark'!F233</f>
        <v>CO2 - atmosfære</v>
      </c>
      <c r="G233" s="98" t="str">
        <f>'Resultater - Vestdanmark'!G233</f>
        <v>t CO2-ækvivalenter</v>
      </c>
      <c r="H233" s="280" t="e">
        <f>'Resultater - Vestdanmark'!H233+'Resultater - Østdanmark'!H233</f>
        <v>#REF!</v>
      </c>
      <c r="I233" s="281" t="e">
        <f>'Resultater - Vestdanmark'!I233+'Resultater - Østdanmark'!I233</f>
        <v>#REF!</v>
      </c>
      <c r="J233" s="282" t="e">
        <f>'Resultater - Vestdanmark'!J233+'Resultater - Østdanmark'!J233</f>
        <v>#REF!</v>
      </c>
    </row>
    <row r="234" spans="1:10" x14ac:dyDescent="0.25">
      <c r="A234" s="98" t="str">
        <f>'Resultater - Vestdanmark'!A234</f>
        <v>Roemark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Areal-roer</v>
      </c>
      <c r="E234" s="98" t="str">
        <f>'Resultater - Vestdanmark'!E234</f>
        <v>Hektar</v>
      </c>
      <c r="F234" s="98" t="str">
        <f>'Resultater - Vestdanmark'!F234</f>
        <v>Roer</v>
      </c>
      <c r="G234" s="98" t="str">
        <f>'Resultater - Vestdanmark'!G234</f>
        <v>Ton</v>
      </c>
      <c r="H234" s="280" t="e">
        <f>'Resultater - Vestdanmark'!H234+'Resultater - Østdanmark'!H234</f>
        <v>#REF!</v>
      </c>
      <c r="I234" s="281" t="e">
        <f>'Resultater - Vestdanmark'!I234+'Resultater - Østdanmark'!I234</f>
        <v>#REF!</v>
      </c>
      <c r="J234" s="282" t="e">
        <f>'Resultater - Vestdanmark'!J234+'Resultater - Østdanmark'!J234</f>
        <v>#REF!</v>
      </c>
    </row>
    <row r="235" spans="1:10" x14ac:dyDescent="0.25">
      <c r="A235" s="98" t="str">
        <f>'Resultater - Vestdanmark'!A235</f>
        <v>Roemark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Areal-roer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80" t="e">
        <f>'Resultater - Vestdanmark'!H235+'Resultater - Østdanmark'!H235</f>
        <v>#REF!</v>
      </c>
      <c r="I235" s="281" t="e">
        <f>'Resultater - Vestdanmark'!I235+'Resultater - Østdanmark'!I235</f>
        <v>#REF!</v>
      </c>
      <c r="J235" s="282" t="e">
        <f>'Resultater - Vestdanmark'!J235+'Resultater - Østdanmark'!J235</f>
        <v>#REF!</v>
      </c>
    </row>
    <row r="236" spans="1:10" x14ac:dyDescent="0.25">
      <c r="A236" s="98" t="str">
        <f>'Resultater - Vestdanmark'!A236</f>
        <v>Roemark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Areal-roer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80" t="e">
        <f>'Resultater - Vestdanmark'!H236+'Resultater - Østdanmark'!H236</f>
        <v>#REF!</v>
      </c>
      <c r="I236" s="281" t="e">
        <f>'Resultater - Vestdanmark'!I236+'Resultater - Østdanmark'!I236</f>
        <v>#REF!</v>
      </c>
      <c r="J236" s="282" t="e">
        <f>'Resultater - Vestdanmark'!J236+'Resultater - Østdanmark'!J236</f>
        <v>#REF!</v>
      </c>
    </row>
    <row r="237" spans="1:10" x14ac:dyDescent="0.25">
      <c r="A237" s="98" t="str">
        <f>'Resultater - Vestdanmark'!A237</f>
        <v>Roemark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Areal-roer</v>
      </c>
      <c r="E237" s="98" t="str">
        <f>'Resultater - Vestdanmark'!E237</f>
        <v>Hektar</v>
      </c>
      <c r="F237" s="98" t="str">
        <f>'Resultater - Vestdanmark'!F237</f>
        <v>Roer</v>
      </c>
      <c r="G237" s="98" t="str">
        <f>'Resultater - Vestdanmark'!G237</f>
        <v>Ton</v>
      </c>
      <c r="H237" s="280" t="e">
        <f>'Resultater - Vestdanmark'!H237+'Resultater - Østdanmark'!H237</f>
        <v>#REF!</v>
      </c>
      <c r="I237" s="281" t="e">
        <f>'Resultater - Vestdanmark'!I237+'Resultater - Østdanmark'!I237</f>
        <v>#REF!</v>
      </c>
      <c r="J237" s="282" t="e">
        <f>'Resultater - Vestdanmark'!J237+'Resultater - Østdanmark'!J237</f>
        <v>#REF!</v>
      </c>
    </row>
    <row r="238" spans="1:10" x14ac:dyDescent="0.25">
      <c r="A238" s="98" t="str">
        <f>'Resultater - Vestdanmark'!A238</f>
        <v>Roemark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Areal-roer</v>
      </c>
      <c r="E238" s="98" t="str">
        <f>'Resultater - Vestdanmark'!E238</f>
        <v>Hektar</v>
      </c>
      <c r="F238" s="98" t="str">
        <f>'Resultater - Vestdanmark'!F238</f>
        <v>Gødning</v>
      </c>
      <c r="G238" s="98" t="str">
        <f>'Resultater - Vestdanmark'!G238</f>
        <v>kg N</v>
      </c>
      <c r="H238" s="280" t="e">
        <f>'Resultater - Vestdanmark'!H238+'Resultater - Østdanmark'!H238</f>
        <v>#REF!</v>
      </c>
      <c r="I238" s="281" t="e">
        <f>'Resultater - Vestdanmark'!I238+'Resultater - Østdanmark'!I238</f>
        <v>#REF!</v>
      </c>
      <c r="J238" s="282" t="e">
        <f>'Resultater - Vestdanmark'!J238+'Resultater - Østdanmark'!J238</f>
        <v>#REF!</v>
      </c>
    </row>
    <row r="239" spans="1:10" x14ac:dyDescent="0.25">
      <c r="A239" s="98" t="str">
        <f>'Resultater - Vestdanmark'!A239</f>
        <v>Roemark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Areal-roer</v>
      </c>
      <c r="E239" s="98" t="str">
        <f>'Resultater - Vestdanmark'!E239</f>
        <v>Hektar</v>
      </c>
      <c r="F239" s="98" t="str">
        <f>'Resultater - Vestdanmark'!F239</f>
        <v>CO2 - atmosfære</v>
      </c>
      <c r="G239" s="98" t="str">
        <f>'Resultater - Vestdanmark'!G239</f>
        <v>t CO2-ækvivalenter</v>
      </c>
      <c r="H239" s="280" t="e">
        <f>'Resultater - Vestdanmark'!H239+'Resultater - Østdanmark'!H239</f>
        <v>#REF!</v>
      </c>
      <c r="I239" s="281" t="e">
        <f>'Resultater - Vestdanmark'!I239+'Resultater - Østdanmark'!I239</f>
        <v>#REF!</v>
      </c>
      <c r="J239" s="282" t="e">
        <f>'Resultater - Vestdanmark'!J239+'Resultater - Østdanmark'!J239</f>
        <v>#REF!</v>
      </c>
    </row>
    <row r="240" spans="1:10" x14ac:dyDescent="0.25">
      <c r="A240" s="98" t="str">
        <f>'Resultater - Vestdanmark'!A240</f>
        <v>Roemark</v>
      </c>
      <c r="B240" s="98" t="str">
        <f>'Resultater - Vestdanmark'!B240</f>
        <v>Økologisk</v>
      </c>
      <c r="C240" s="98" t="str">
        <f>'Resultater - Vestdanmark'!C240</f>
        <v>OC6</v>
      </c>
      <c r="D240" s="98" t="str">
        <f>'Resultater - Vestdanmark'!D240</f>
        <v>Areal-roer</v>
      </c>
      <c r="E240" s="98" t="str">
        <f>'Resultater - Vestdanmark'!E240</f>
        <v>Hektar</v>
      </c>
      <c r="F240" s="98" t="str">
        <f>'Resultater - Vestdanmark'!F240</f>
        <v>Roer</v>
      </c>
      <c r="G240" s="98" t="str">
        <f>'Resultater - Vestdanmark'!G240</f>
        <v>Ton</v>
      </c>
      <c r="H240" s="280" t="e">
        <f>'Resultater - Vestdanmark'!H240+'Resultater - Østdanmark'!H240</f>
        <v>#REF!</v>
      </c>
      <c r="I240" s="281" t="e">
        <f>'Resultater - Vestdanmark'!I240+'Resultater - Østdanmark'!I240</f>
        <v>#REF!</v>
      </c>
      <c r="J240" s="282" t="e">
        <f>'Resultater - Vestdanmark'!J240+'Resultater - Østdanmark'!J240</f>
        <v>#REF!</v>
      </c>
    </row>
    <row r="241" spans="1:10" x14ac:dyDescent="0.25">
      <c r="A241" s="98" t="str">
        <f>'Resultater - Vestdanmark'!A241</f>
        <v>Roemark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Areal-roer</v>
      </c>
      <c r="E241" s="98" t="str">
        <f>'Resultater - Vestdanmark'!E241</f>
        <v>Hektar</v>
      </c>
      <c r="F241" s="98" t="str">
        <f>'Resultater - Vestdanmark'!F241</f>
        <v>Gødning</v>
      </c>
      <c r="G241" s="98" t="str">
        <f>'Resultater - Vestdanmark'!G241</f>
        <v>kg N</v>
      </c>
      <c r="H241" s="280" t="e">
        <f>'Resultater - Vestdanmark'!H241+'Resultater - Østdanmark'!H241</f>
        <v>#REF!</v>
      </c>
      <c r="I241" s="281" t="e">
        <f>'Resultater - Vestdanmark'!I241+'Resultater - Østdanmark'!I241</f>
        <v>#REF!</v>
      </c>
      <c r="J241" s="282" t="e">
        <f>'Resultater - Vestdanmark'!J241+'Resultater - Østdanmark'!J241</f>
        <v>#REF!</v>
      </c>
    </row>
    <row r="242" spans="1:10" x14ac:dyDescent="0.25">
      <c r="A242" s="98" t="str">
        <f>'Resultater - Vestdanmark'!A242</f>
        <v>Roemark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Areal-roer</v>
      </c>
      <c r="E242" s="98" t="str">
        <f>'Resultater - Vestdanmark'!E242</f>
        <v>Hektar</v>
      </c>
      <c r="F242" s="98" t="str">
        <f>'Resultater - Vestdanmark'!F242</f>
        <v>CO2 - atmosfære</v>
      </c>
      <c r="G242" s="98" t="str">
        <f>'Resultater - Vestdanmark'!G242</f>
        <v>t CO2-ækvivalenter</v>
      </c>
      <c r="H242" s="280" t="e">
        <f>'Resultater - Vestdanmark'!H242+'Resultater - Østdanmark'!H242</f>
        <v>#REF!</v>
      </c>
      <c r="I242" s="281" t="e">
        <f>'Resultater - Vestdanmark'!I242+'Resultater - Østdanmark'!I242</f>
        <v>#REF!</v>
      </c>
      <c r="J242" s="282" t="e">
        <f>'Resultater - Vestdanmark'!J242+'Resultater - Østdanmark'!J242</f>
        <v>#REF!</v>
      </c>
    </row>
    <row r="243" spans="1:10" x14ac:dyDescent="0.25">
      <c r="A243" s="98" t="str">
        <f>'Resultater - Vestdanmark'!A243</f>
        <v>Roemark</v>
      </c>
      <c r="B243" s="98" t="str">
        <f>'Resultater - Vestdanmark'!B243</f>
        <v>Økologisk</v>
      </c>
      <c r="C243" s="98" t="str">
        <f>'Resultater - Vestdanmark'!C243</f>
        <v>OC12</v>
      </c>
      <c r="D243" s="98" t="str">
        <f>'Resultater - Vestdanmark'!D243</f>
        <v>Areal-roer</v>
      </c>
      <c r="E243" s="98" t="str">
        <f>'Resultater - Vestdanmark'!E243</f>
        <v>Hektar</v>
      </c>
      <c r="F243" s="98" t="str">
        <f>'Resultater - Vestdanmark'!F243</f>
        <v>Roer</v>
      </c>
      <c r="G243" s="98" t="str">
        <f>'Resultater - Vestdanmark'!G243</f>
        <v>Ton</v>
      </c>
      <c r="H243" s="280" t="e">
        <f>'Resultater - Vestdanmark'!H243+'Resultater - Østdanmark'!H243</f>
        <v>#REF!</v>
      </c>
      <c r="I243" s="281" t="e">
        <f>'Resultater - Vestdanmark'!I243+'Resultater - Østdanmark'!I243</f>
        <v>#REF!</v>
      </c>
      <c r="J243" s="282" t="e">
        <f>'Resultater - Vestdanmark'!J243+'Resultater - Østdanmark'!J243</f>
        <v>#REF!</v>
      </c>
    </row>
    <row r="244" spans="1:10" x14ac:dyDescent="0.25">
      <c r="A244" s="98" t="str">
        <f>'Resultater - Vestdanmark'!A244</f>
        <v>Roemark</v>
      </c>
      <c r="B244" s="98" t="str">
        <f>'Resultater - Vestdanmark'!B244</f>
        <v>Økologisk</v>
      </c>
      <c r="C244" s="98" t="str">
        <f>'Resultater - Vestdanmark'!C244</f>
        <v>OC12</v>
      </c>
      <c r="D244" s="98" t="str">
        <f>'Resultater - Vestdanmark'!D244</f>
        <v>Areal-roer</v>
      </c>
      <c r="E244" s="98" t="str">
        <f>'Resultater - Vestdanmark'!E244</f>
        <v>Hektar</v>
      </c>
      <c r="F244" s="98" t="str">
        <f>'Resultater - Vestdanmark'!F244</f>
        <v>Gødning</v>
      </c>
      <c r="G244" s="98" t="str">
        <f>'Resultater - Vestdanmark'!G244</f>
        <v>kg N</v>
      </c>
      <c r="H244" s="280" t="e">
        <f>'Resultater - Vestdanmark'!H244+'Resultater - Østdanmark'!H244</f>
        <v>#REF!</v>
      </c>
      <c r="I244" s="281" t="e">
        <f>'Resultater - Vestdanmark'!I244+'Resultater - Østdanmark'!I244</f>
        <v>#REF!</v>
      </c>
      <c r="J244" s="282" t="e">
        <f>'Resultater - Vestdanmark'!J244+'Resultater - Østdanmark'!J244</f>
        <v>#REF!</v>
      </c>
    </row>
    <row r="245" spans="1:10" x14ac:dyDescent="0.25">
      <c r="A245" s="98" t="str">
        <f>'Resultater - Vestdanmark'!A245</f>
        <v>Roemark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Areal-roer</v>
      </c>
      <c r="E245" s="98" t="str">
        <f>'Resultater - Vestdanmark'!E245</f>
        <v>Hektar</v>
      </c>
      <c r="F245" s="98" t="str">
        <f>'Resultater - Vestdanmark'!F245</f>
        <v>CO2 - atmosfære</v>
      </c>
      <c r="G245" s="98" t="str">
        <f>'Resultater - Vestdanmark'!G245</f>
        <v>t CO2-ækvivalenter</v>
      </c>
      <c r="H245" s="280" t="e">
        <f>'Resultater - Vestdanmark'!H245+'Resultater - Østdanmark'!H245</f>
        <v>#REF!</v>
      </c>
      <c r="I245" s="281" t="e">
        <f>'Resultater - Vestdanmark'!I245+'Resultater - Østdanmark'!I245</f>
        <v>#REF!</v>
      </c>
      <c r="J245" s="282" t="e">
        <f>'Resultater - Vestdanmark'!J245+'Resultater - Østdanmark'!J245</f>
        <v>#REF!</v>
      </c>
    </row>
    <row r="246" spans="1:10" x14ac:dyDescent="0.25">
      <c r="A246" s="98" t="str">
        <f>'Resultater - Vestdanmark'!A246</f>
        <v>Frugtmark</v>
      </c>
      <c r="B246" s="98" t="str">
        <f>'Resultater - Vestdanmark'!B246</f>
        <v>Konventionel</v>
      </c>
      <c r="C246" s="98" t="str">
        <f>'Resultater - Vestdanmark'!C246</f>
        <v>JB1-10</v>
      </c>
      <c r="D246" s="98" t="str">
        <f>'Resultater - Vestdanmark'!D246</f>
        <v>Areal-frugt</v>
      </c>
      <c r="E246" s="98" t="str">
        <f>'Resultater - Vestdanmark'!E246</f>
        <v>Hektar</v>
      </c>
      <c r="F246" s="98" t="str">
        <f>'Resultater - Vestdanmark'!F246</f>
        <v>Frugt</v>
      </c>
      <c r="G246" s="98" t="str">
        <f>'Resultater - Vestdanmark'!G246</f>
        <v>Ton</v>
      </c>
      <c r="H246" s="280" t="e">
        <f>'Resultater - Vestdanmark'!H246+'Resultater - Østdanmark'!H246</f>
        <v>#REF!</v>
      </c>
      <c r="I246" s="281" t="e">
        <f>'Resultater - Vestdanmark'!I246+'Resultater - Østdanmark'!I246</f>
        <v>#REF!</v>
      </c>
      <c r="J246" s="282" t="e">
        <f>'Resultater - Vestdanmark'!J246+'Resultater - Østdanmark'!J246</f>
        <v>#REF!</v>
      </c>
    </row>
    <row r="247" spans="1:10" x14ac:dyDescent="0.25">
      <c r="A247" s="98" t="str">
        <f>'Resultater - Vestdanmark'!A247</f>
        <v>Frugtmark</v>
      </c>
      <c r="B247" s="98" t="str">
        <f>'Resultater - Vestdanmark'!B247</f>
        <v>Konventionel</v>
      </c>
      <c r="C247" s="98" t="str">
        <f>'Resultater - Vestdanmark'!C247</f>
        <v>JB1-10</v>
      </c>
      <c r="D247" s="98" t="str">
        <f>'Resultater - Vestdanmark'!D247</f>
        <v>Areal-frugt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80" t="e">
        <f>'Resultater - Vestdanmark'!H247+'Resultater - Østdanmark'!H247</f>
        <v>#REF!</v>
      </c>
      <c r="I247" s="281" t="e">
        <f>'Resultater - Vestdanmark'!I247+'Resultater - Østdanmark'!I247</f>
        <v>#REF!</v>
      </c>
      <c r="J247" s="282" t="e">
        <f>'Resultater - Vestdanmark'!J247+'Resultater - Østdanmark'!J247</f>
        <v>#REF!</v>
      </c>
    </row>
    <row r="248" spans="1:10" x14ac:dyDescent="0.25">
      <c r="A248" s="98" t="str">
        <f>'Resultater - Vestdanmark'!A248</f>
        <v>Frugtmark</v>
      </c>
      <c r="B248" s="98" t="str">
        <f>'Resultater - Vestdanmark'!B248</f>
        <v>Konventionel</v>
      </c>
      <c r="C248" s="98" t="str">
        <f>'Resultater - Vestdanmark'!C248</f>
        <v>JB1-10</v>
      </c>
      <c r="D248" s="98" t="str">
        <f>'Resultater - Vestdanmark'!D248</f>
        <v>Areal-frugt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80" t="e">
        <f>'Resultater - Vestdanmark'!H248+'Resultater - Østdanmark'!H248</f>
        <v>#REF!</v>
      </c>
      <c r="I248" s="281" t="e">
        <f>'Resultater - Vestdanmark'!I248+'Resultater - Østdanmark'!I248</f>
        <v>#REF!</v>
      </c>
      <c r="J248" s="282" t="e">
        <f>'Resultater - Vestdanmark'!J248+'Resultater - Østdanmark'!J248</f>
        <v>#REF!</v>
      </c>
    </row>
    <row r="249" spans="1:10" x14ac:dyDescent="0.25">
      <c r="A249" s="98" t="str">
        <f>'Resultater - Vestdanmark'!A249</f>
        <v>Frugtmark</v>
      </c>
      <c r="B249" s="98" t="str">
        <f>'Resultater - Vestdanmark'!B249</f>
        <v>Konventionel</v>
      </c>
      <c r="C249" s="98" t="str">
        <f>'Resultater - Vestdanmark'!C249</f>
        <v>OC6</v>
      </c>
      <c r="D249" s="98" t="str">
        <f>'Resultater - Vestdanmark'!D249</f>
        <v>Areal-frugt</v>
      </c>
      <c r="E249" s="98" t="str">
        <f>'Resultater - Vestdanmark'!E249</f>
        <v>Hektar</v>
      </c>
      <c r="F249" s="98" t="str">
        <f>'Resultater - Vestdanmark'!F249</f>
        <v>Frugt</v>
      </c>
      <c r="G249" s="98" t="str">
        <f>'Resultater - Vestdanmark'!G249</f>
        <v>Ton</v>
      </c>
      <c r="H249" s="280" t="e">
        <f>'Resultater - Vestdanmark'!H249+'Resultater - Østdanmark'!H249</f>
        <v>#REF!</v>
      </c>
      <c r="I249" s="281" t="e">
        <f>'Resultater - Vestdanmark'!I249+'Resultater - Østdanmark'!I249</f>
        <v>#REF!</v>
      </c>
      <c r="J249" s="282" t="e">
        <f>'Resultater - Vestdanmark'!J249+'Resultater - Østdanmark'!J249</f>
        <v>#REF!</v>
      </c>
    </row>
    <row r="250" spans="1:10" x14ac:dyDescent="0.25">
      <c r="A250" s="98" t="str">
        <f>'Resultater - Vestdanmark'!A250</f>
        <v>Frugtmark</v>
      </c>
      <c r="B250" s="98" t="str">
        <f>'Resultater - Vestdanmark'!B250</f>
        <v>Konventionel</v>
      </c>
      <c r="C250" s="98" t="str">
        <f>'Resultater - Vestdanmark'!C250</f>
        <v>OC6</v>
      </c>
      <c r="D250" s="98" t="str">
        <f>'Resultater - Vestdanmark'!D250</f>
        <v>Areal-frugt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80" t="e">
        <f>'Resultater - Vestdanmark'!H250+'Resultater - Østdanmark'!H250</f>
        <v>#REF!</v>
      </c>
      <c r="I250" s="281" t="e">
        <f>'Resultater - Vestdanmark'!I250+'Resultater - Østdanmark'!I250</f>
        <v>#REF!</v>
      </c>
      <c r="J250" s="282" t="e">
        <f>'Resultater - Vestdanmark'!J250+'Resultater - Østdanmark'!J250</f>
        <v>#REF!</v>
      </c>
    </row>
    <row r="251" spans="1:10" x14ac:dyDescent="0.25">
      <c r="A251" s="98" t="str">
        <f>'Resultater - Vestdanmark'!A251</f>
        <v>Frugtmark</v>
      </c>
      <c r="B251" s="98" t="str">
        <f>'Resultater - Vestdanmark'!B251</f>
        <v>Konventionel</v>
      </c>
      <c r="C251" s="98" t="str">
        <f>'Resultater - Vestdanmark'!C251</f>
        <v>OC6</v>
      </c>
      <c r="D251" s="98" t="str">
        <f>'Resultater - Vestdanmark'!D251</f>
        <v>Areal-frugt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80" t="e">
        <f>'Resultater - Vestdanmark'!H251+'Resultater - Østdanmark'!H251</f>
        <v>#REF!</v>
      </c>
      <c r="I251" s="281" t="e">
        <f>'Resultater - Vestdanmark'!I251+'Resultater - Østdanmark'!I251</f>
        <v>#REF!</v>
      </c>
      <c r="J251" s="282" t="e">
        <f>'Resultater - Vestdanmark'!J251+'Resultater - Østdanmark'!J251</f>
        <v>#REF!</v>
      </c>
    </row>
    <row r="252" spans="1:10" x14ac:dyDescent="0.25">
      <c r="A252" s="98" t="str">
        <f>'Resultater - Vestdanmark'!A252</f>
        <v>Frugtmark</v>
      </c>
      <c r="B252" s="98" t="str">
        <f>'Resultater - Vestdanmark'!B252</f>
        <v>Konventionel</v>
      </c>
      <c r="C252" s="98" t="str">
        <f>'Resultater - Vestdanmark'!C252</f>
        <v>OC12</v>
      </c>
      <c r="D252" s="98" t="str">
        <f>'Resultater - Vestdanmark'!D252</f>
        <v>Areal-frugt</v>
      </c>
      <c r="E252" s="98" t="str">
        <f>'Resultater - Vestdanmark'!E252</f>
        <v>Hektar</v>
      </c>
      <c r="F252" s="98" t="str">
        <f>'Resultater - Vestdanmark'!F252</f>
        <v>Frugt</v>
      </c>
      <c r="G252" s="98" t="str">
        <f>'Resultater - Vestdanmark'!G252</f>
        <v>Ton</v>
      </c>
      <c r="H252" s="280" t="e">
        <f>'Resultater - Vestdanmark'!H252+'Resultater - Østdanmark'!H252</f>
        <v>#REF!</v>
      </c>
      <c r="I252" s="281" t="e">
        <f>'Resultater - Vestdanmark'!I252+'Resultater - Østdanmark'!I252</f>
        <v>#REF!</v>
      </c>
      <c r="J252" s="282" t="e">
        <f>'Resultater - Vestdanmark'!J252+'Resultater - Østdanmark'!J252</f>
        <v>#REF!</v>
      </c>
    </row>
    <row r="253" spans="1:10" x14ac:dyDescent="0.25">
      <c r="A253" s="98" t="str">
        <f>'Resultater - Vestdanmark'!A253</f>
        <v>Frugtmark</v>
      </c>
      <c r="B253" s="98" t="str">
        <f>'Resultater - Vestdanmark'!B253</f>
        <v>Konventionel</v>
      </c>
      <c r="C253" s="98" t="str">
        <f>'Resultater - Vestdanmark'!C253</f>
        <v>OC12</v>
      </c>
      <c r="D253" s="98" t="str">
        <f>'Resultater - Vestdanmark'!D253</f>
        <v>Areal-frugt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80" t="e">
        <f>'Resultater - Vestdanmark'!H253+'Resultater - Østdanmark'!H253</f>
        <v>#REF!</v>
      </c>
      <c r="I253" s="281" t="e">
        <f>'Resultater - Vestdanmark'!I253+'Resultater - Østdanmark'!I253</f>
        <v>#REF!</v>
      </c>
      <c r="J253" s="282" t="e">
        <f>'Resultater - Vestdanmark'!J253+'Resultater - Østdanmark'!J253</f>
        <v>#REF!</v>
      </c>
    </row>
    <row r="254" spans="1:10" x14ac:dyDescent="0.25">
      <c r="A254" s="98" t="str">
        <f>'Resultater - Vestdanmark'!A254</f>
        <v>Frugtmark</v>
      </c>
      <c r="B254" s="98" t="str">
        <f>'Resultater - Vestdanmark'!B254</f>
        <v>Konventionel</v>
      </c>
      <c r="C254" s="98" t="str">
        <f>'Resultater - Vestdanmark'!C254</f>
        <v>OC12</v>
      </c>
      <c r="D254" s="98" t="str">
        <f>'Resultater - Vestdanmark'!D254</f>
        <v>Areal-frugt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80" t="e">
        <f>'Resultater - Vestdanmark'!H254+'Resultater - Østdanmark'!H254</f>
        <v>#REF!</v>
      </c>
      <c r="I254" s="281" t="e">
        <f>'Resultater - Vestdanmark'!I254+'Resultater - Østdanmark'!I254</f>
        <v>#REF!</v>
      </c>
      <c r="J254" s="282" t="e">
        <f>'Resultater - Vestdanmark'!J254+'Resultater - Østdanmark'!J254</f>
        <v>#REF!</v>
      </c>
    </row>
    <row r="255" spans="1:10" x14ac:dyDescent="0.25">
      <c r="A255" s="98" t="str">
        <f>'Resultater - Vestdanmark'!A255</f>
        <v>Frugtmark</v>
      </c>
      <c r="B255" s="98" t="str">
        <f>'Resultater - Vestdanmark'!B255</f>
        <v>Økologisk</v>
      </c>
      <c r="C255" s="98" t="str">
        <f>'Resultater - Vestdanmark'!C255</f>
        <v>JB1-10</v>
      </c>
      <c r="D255" s="98" t="str">
        <f>'Resultater - Vestdanmark'!D255</f>
        <v>Areal-frugt</v>
      </c>
      <c r="E255" s="98" t="str">
        <f>'Resultater - Vestdanmark'!E255</f>
        <v>Hektar</v>
      </c>
      <c r="F255" s="98" t="str">
        <f>'Resultater - Vestdanmark'!F255</f>
        <v>Frugt</v>
      </c>
      <c r="G255" s="98" t="str">
        <f>'Resultater - Vestdanmark'!G255</f>
        <v>Ton</v>
      </c>
      <c r="H255" s="280" t="e">
        <f>'Resultater - Vestdanmark'!H255+'Resultater - Østdanmark'!H255</f>
        <v>#REF!</v>
      </c>
      <c r="I255" s="281" t="e">
        <f>'Resultater - Vestdanmark'!I255+'Resultater - Østdanmark'!I255</f>
        <v>#REF!</v>
      </c>
      <c r="J255" s="282" t="e">
        <f>'Resultater - Vestdanmark'!J255+'Resultater - Østdanmark'!J255</f>
        <v>#REF!</v>
      </c>
    </row>
    <row r="256" spans="1:10" x14ac:dyDescent="0.25">
      <c r="A256" s="98" t="str">
        <f>'Resultater - Vestdanmark'!A256</f>
        <v>Frugtmark</v>
      </c>
      <c r="B256" s="98" t="str">
        <f>'Resultater - Vestdanmark'!B256</f>
        <v>Økologisk</v>
      </c>
      <c r="C256" s="98" t="str">
        <f>'Resultater - Vestdanmark'!C256</f>
        <v>JB1-10</v>
      </c>
      <c r="D256" s="98" t="str">
        <f>'Resultater - Vestdanmark'!D256</f>
        <v>Areal-frugt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80" t="e">
        <f>'Resultater - Vestdanmark'!H256+'Resultater - Østdanmark'!H256</f>
        <v>#REF!</v>
      </c>
      <c r="I256" s="281" t="e">
        <f>'Resultater - Vestdanmark'!I256+'Resultater - Østdanmark'!I256</f>
        <v>#REF!</v>
      </c>
      <c r="J256" s="282" t="e">
        <f>'Resultater - Vestdanmark'!J256+'Resultater - Østdanmark'!J256</f>
        <v>#REF!</v>
      </c>
    </row>
    <row r="257" spans="1:10" x14ac:dyDescent="0.25">
      <c r="A257" s="98" t="str">
        <f>'Resultater - Vestdanmark'!A257</f>
        <v>Frugtmark</v>
      </c>
      <c r="B257" s="98" t="str">
        <f>'Resultater - Vestdanmark'!B257</f>
        <v>Økologisk</v>
      </c>
      <c r="C257" s="98" t="str">
        <f>'Resultater - Vestdanmark'!C257</f>
        <v>JB1-10</v>
      </c>
      <c r="D257" s="98" t="str">
        <f>'Resultater - Vestdanmark'!D257</f>
        <v>Areal-frugt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80" t="e">
        <f>'Resultater - Vestdanmark'!H257+'Resultater - Østdanmark'!H257</f>
        <v>#REF!</v>
      </c>
      <c r="I257" s="281" t="e">
        <f>'Resultater - Vestdanmark'!I257+'Resultater - Østdanmark'!I257</f>
        <v>#REF!</v>
      </c>
      <c r="J257" s="282" t="e">
        <f>'Resultater - Vestdanmark'!J257+'Resultater - Østdanmark'!J257</f>
        <v>#REF!</v>
      </c>
    </row>
    <row r="258" spans="1:10" x14ac:dyDescent="0.25">
      <c r="A258" s="98" t="str">
        <f>'Resultater - Vestdanmark'!A258</f>
        <v>Frugtmark</v>
      </c>
      <c r="B258" s="98" t="str">
        <f>'Resultater - Vestdanmark'!B258</f>
        <v>Økologisk</v>
      </c>
      <c r="C258" s="98" t="str">
        <f>'Resultater - Vestdanmark'!C258</f>
        <v>OC6</v>
      </c>
      <c r="D258" s="98" t="str">
        <f>'Resultater - Vestdanmark'!D258</f>
        <v>Areal-frugt</v>
      </c>
      <c r="E258" s="98" t="str">
        <f>'Resultater - Vestdanmark'!E258</f>
        <v>Hektar</v>
      </c>
      <c r="F258" s="98" t="str">
        <f>'Resultater - Vestdanmark'!F258</f>
        <v>Frugt</v>
      </c>
      <c r="G258" s="98" t="str">
        <f>'Resultater - Vestdanmark'!G258</f>
        <v>Ton</v>
      </c>
      <c r="H258" s="280" t="e">
        <f>'Resultater - Vestdanmark'!H258+'Resultater - Østdanmark'!H258</f>
        <v>#REF!</v>
      </c>
      <c r="I258" s="281" t="e">
        <f>'Resultater - Vestdanmark'!I258+'Resultater - Østdanmark'!I258</f>
        <v>#REF!</v>
      </c>
      <c r="J258" s="282" t="e">
        <f>'Resultater - Vestdanmark'!J258+'Resultater - Østdanmark'!J258</f>
        <v>#REF!</v>
      </c>
    </row>
    <row r="259" spans="1:10" x14ac:dyDescent="0.25">
      <c r="A259" s="98" t="str">
        <f>'Resultater - Vestdanmark'!A259</f>
        <v>Frugtmark</v>
      </c>
      <c r="B259" s="98" t="str">
        <f>'Resultater - Vestdanmark'!B259</f>
        <v>Økologisk</v>
      </c>
      <c r="C259" s="98" t="str">
        <f>'Resultater - Vestdanmark'!C259</f>
        <v>OC6</v>
      </c>
      <c r="D259" s="98" t="str">
        <f>'Resultater - Vestdanmark'!D259</f>
        <v>Areal-frugt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80" t="e">
        <f>'Resultater - Vestdanmark'!H259+'Resultater - Østdanmark'!H259</f>
        <v>#REF!</v>
      </c>
      <c r="I259" s="281" t="e">
        <f>'Resultater - Vestdanmark'!I259+'Resultater - Østdanmark'!I259</f>
        <v>#REF!</v>
      </c>
      <c r="J259" s="282" t="e">
        <f>'Resultater - Vestdanmark'!J259+'Resultater - Østdanmark'!J259</f>
        <v>#REF!</v>
      </c>
    </row>
    <row r="260" spans="1:10" x14ac:dyDescent="0.25">
      <c r="A260" s="98" t="str">
        <f>'Resultater - Vestdanmark'!A260</f>
        <v>Frugtmark</v>
      </c>
      <c r="B260" s="98" t="str">
        <f>'Resultater - Vestdanmark'!B260</f>
        <v>Økologisk</v>
      </c>
      <c r="C260" s="98" t="str">
        <f>'Resultater - Vestdanmark'!C260</f>
        <v>OC6</v>
      </c>
      <c r="D260" s="98" t="str">
        <f>'Resultater - Vestdanmark'!D260</f>
        <v>Areal-frugt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80" t="e">
        <f>'Resultater - Vestdanmark'!H260+'Resultater - Østdanmark'!H260</f>
        <v>#REF!</v>
      </c>
      <c r="I260" s="281" t="e">
        <f>'Resultater - Vestdanmark'!I260+'Resultater - Østdanmark'!I260</f>
        <v>#REF!</v>
      </c>
      <c r="J260" s="282" t="e">
        <f>'Resultater - Vestdanmark'!J260+'Resultater - Østdanmark'!J260</f>
        <v>#REF!</v>
      </c>
    </row>
    <row r="261" spans="1:10" x14ac:dyDescent="0.25">
      <c r="A261" s="98" t="str">
        <f>'Resultater - Vestdanmark'!A261</f>
        <v>Frugtmark</v>
      </c>
      <c r="B261" s="98" t="str">
        <f>'Resultater - Vestdanmark'!B261</f>
        <v>Økologisk</v>
      </c>
      <c r="C261" s="98" t="str">
        <f>'Resultater - Vestdanmark'!C261</f>
        <v>OC12</v>
      </c>
      <c r="D261" s="98" t="str">
        <f>'Resultater - Vestdanmark'!D261</f>
        <v>Areal-frugt</v>
      </c>
      <c r="E261" s="98" t="str">
        <f>'Resultater - Vestdanmark'!E261</f>
        <v>Hektar</v>
      </c>
      <c r="F261" s="98" t="str">
        <f>'Resultater - Vestdanmark'!F261</f>
        <v>Frugt</v>
      </c>
      <c r="G261" s="98" t="str">
        <f>'Resultater - Vestdanmark'!G261</f>
        <v>Ton</v>
      </c>
      <c r="H261" s="280" t="e">
        <f>'Resultater - Vestdanmark'!H261+'Resultater - Østdanmark'!H261</f>
        <v>#REF!</v>
      </c>
      <c r="I261" s="281" t="e">
        <f>'Resultater - Vestdanmark'!I261+'Resultater - Østdanmark'!I261</f>
        <v>#REF!</v>
      </c>
      <c r="J261" s="282" t="e">
        <f>'Resultater - Vestdanmark'!J261+'Resultater - Østdanmark'!J261</f>
        <v>#REF!</v>
      </c>
    </row>
    <row r="262" spans="1:10" x14ac:dyDescent="0.25">
      <c r="A262" s="98" t="str">
        <f>'Resultater - Vestdanmark'!A262</f>
        <v>Frugtmark</v>
      </c>
      <c r="B262" s="98" t="str">
        <f>'Resultater - Vestdanmark'!B262</f>
        <v>Økologisk</v>
      </c>
      <c r="C262" s="98" t="str">
        <f>'Resultater - Vestdanmark'!C262</f>
        <v>OC12</v>
      </c>
      <c r="D262" s="98" t="str">
        <f>'Resultater - Vestdanmark'!D262</f>
        <v>Areal-frugt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80" t="e">
        <f>'Resultater - Vestdanmark'!H262+'Resultater - Østdanmark'!H262</f>
        <v>#REF!</v>
      </c>
      <c r="I262" s="281" t="e">
        <f>'Resultater - Vestdanmark'!I262+'Resultater - Østdanmark'!I262</f>
        <v>#REF!</v>
      </c>
      <c r="J262" s="282" t="e">
        <f>'Resultater - Vestdanmark'!J262+'Resultater - Østdanmark'!J262</f>
        <v>#REF!</v>
      </c>
    </row>
    <row r="263" spans="1:10" x14ac:dyDescent="0.25">
      <c r="A263" s="98" t="str">
        <f>'Resultater - Vestdanmark'!A263</f>
        <v>Frugtmark</v>
      </c>
      <c r="B263" s="98" t="str">
        <f>'Resultater - Vestdanmark'!B263</f>
        <v>Økologisk</v>
      </c>
      <c r="C263" s="98" t="str">
        <f>'Resultater - Vestdanmark'!C263</f>
        <v>OC12</v>
      </c>
      <c r="D263" s="98" t="str">
        <f>'Resultater - Vestdanmark'!D263</f>
        <v>Areal-frugt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80" t="e">
        <f>'Resultater - Vestdanmark'!H263+'Resultater - Østdanmark'!H263</f>
        <v>#REF!</v>
      </c>
      <c r="I263" s="281" t="e">
        <f>'Resultater - Vestdanmark'!I263+'Resultater - Østdanmark'!I263</f>
        <v>#REF!</v>
      </c>
      <c r="J263" s="282" t="e">
        <f>'Resultater - Vestdanmark'!J263+'Resultater - Østdanmark'!J263</f>
        <v>#REF!</v>
      </c>
    </row>
    <row r="264" spans="1:10" x14ac:dyDescent="0.25">
      <c r="A264" s="98" t="str">
        <f>'Resultater - Vestdanmark'!A264</f>
        <v>Øvrig mark</v>
      </c>
      <c r="B264" s="98" t="str">
        <f>'Resultater - Vestdanmark'!B264</f>
        <v>Konventionel</v>
      </c>
      <c r="C264" s="98" t="str">
        <f>'Resultater - Vestdanmark'!C264</f>
        <v>JB1-10</v>
      </c>
      <c r="D264" s="98" t="str">
        <f>'Resultater - Vestdanmark'!D264</f>
        <v>Areal-øvrige</v>
      </c>
      <c r="E264" s="98" t="str">
        <f>'Resultater - Vestdanmark'!E264</f>
        <v>Hektar</v>
      </c>
      <c r="F264" s="98" t="str">
        <f>'Resultater - Vestdanmark'!F264</f>
        <v>Øvrige</v>
      </c>
      <c r="G264" s="98" t="str">
        <f>'Resultater - Vestdanmark'!G264</f>
        <v>Ton</v>
      </c>
      <c r="H264" s="280" t="e">
        <f>'Resultater - Vestdanmark'!H264+'Resultater - Østdanmark'!H264</f>
        <v>#REF!</v>
      </c>
      <c r="I264" s="281" t="e">
        <f>'Resultater - Vestdanmark'!I264+'Resultater - Østdanmark'!I264</f>
        <v>#REF!</v>
      </c>
      <c r="J264" s="282" t="e">
        <f>'Resultater - Vestdanmark'!J264+'Resultater - Østdanmark'!J264</f>
        <v>#REF!</v>
      </c>
    </row>
    <row r="265" spans="1:10" x14ac:dyDescent="0.25">
      <c r="A265" s="98" t="str">
        <f>'Resultater - Vestdanmark'!A265</f>
        <v>Øvrig mark</v>
      </c>
      <c r="B265" s="98" t="str">
        <f>'Resultater - Vestdanmark'!B265</f>
        <v>Konventionel</v>
      </c>
      <c r="C265" s="98" t="str">
        <f>'Resultater - Vestdanmark'!C265</f>
        <v>JB1-10</v>
      </c>
      <c r="D265" s="98" t="str">
        <f>'Resultater - Vestdanmark'!D265</f>
        <v>Areal-øvrige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80" t="e">
        <f>'Resultater - Vestdanmark'!H265+'Resultater - Østdanmark'!H265</f>
        <v>#REF!</v>
      </c>
      <c r="I265" s="281" t="e">
        <f>'Resultater - Vestdanmark'!I265+'Resultater - Østdanmark'!I265</f>
        <v>#REF!</v>
      </c>
      <c r="J265" s="282" t="e">
        <f>'Resultater - Vestdanmark'!J265+'Resultater - Østdanmark'!J265</f>
        <v>#REF!</v>
      </c>
    </row>
    <row r="266" spans="1:10" x14ac:dyDescent="0.25">
      <c r="A266" s="98" t="str">
        <f>'Resultater - Vestdanmark'!A266</f>
        <v>Øvrig mark</v>
      </c>
      <c r="B266" s="98" t="str">
        <f>'Resultater - Vestdanmark'!B266</f>
        <v>Konventionel</v>
      </c>
      <c r="C266" s="98" t="str">
        <f>'Resultater - Vestdanmark'!C266</f>
        <v>JB1-10</v>
      </c>
      <c r="D266" s="98" t="str">
        <f>'Resultater - Vestdanmark'!D266</f>
        <v>Areal-øvrige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80" t="e">
        <f>'Resultater - Vestdanmark'!H266+'Resultater - Østdanmark'!H266</f>
        <v>#REF!</v>
      </c>
      <c r="I266" s="281" t="e">
        <f>'Resultater - Vestdanmark'!I266+'Resultater - Østdanmark'!I266</f>
        <v>#REF!</v>
      </c>
      <c r="J266" s="282" t="e">
        <f>'Resultater - Vestdanmark'!J266+'Resultater - Østdanmark'!J266</f>
        <v>#REF!</v>
      </c>
    </row>
    <row r="267" spans="1:10" x14ac:dyDescent="0.25">
      <c r="A267" s="98" t="str">
        <f>'Resultater - Vestdanmark'!A267</f>
        <v>Øvrig mark</v>
      </c>
      <c r="B267" s="98" t="str">
        <f>'Resultater - Vestdanmark'!B267</f>
        <v>Konventionel</v>
      </c>
      <c r="C267" s="98" t="str">
        <f>'Resultater - Vestdanmark'!C267</f>
        <v>OC6</v>
      </c>
      <c r="D267" s="98" t="str">
        <f>'Resultater - Vestdanmark'!D267</f>
        <v>Areal-øvrige</v>
      </c>
      <c r="E267" s="98" t="str">
        <f>'Resultater - Vestdanmark'!E267</f>
        <v>Hektar</v>
      </c>
      <c r="F267" s="98" t="str">
        <f>'Resultater - Vestdanmark'!F267</f>
        <v>Øvrige</v>
      </c>
      <c r="G267" s="98" t="str">
        <f>'Resultater - Vestdanmark'!G267</f>
        <v>Ton</v>
      </c>
      <c r="H267" s="280" t="e">
        <f>'Resultater - Vestdanmark'!H267+'Resultater - Østdanmark'!H267</f>
        <v>#REF!</v>
      </c>
      <c r="I267" s="281" t="e">
        <f>'Resultater - Vestdanmark'!I267+'Resultater - Østdanmark'!I267</f>
        <v>#REF!</v>
      </c>
      <c r="J267" s="282" t="e">
        <f>'Resultater - Vestdanmark'!J267+'Resultater - Østdanmark'!J267</f>
        <v>#REF!</v>
      </c>
    </row>
    <row r="268" spans="1:10" x14ac:dyDescent="0.25">
      <c r="A268" s="98" t="str">
        <f>'Resultater - Vestdanmark'!A268</f>
        <v>Øvrig mark</v>
      </c>
      <c r="B268" s="98" t="str">
        <f>'Resultater - Vestdanmark'!B268</f>
        <v>Konventionel</v>
      </c>
      <c r="C268" s="98" t="str">
        <f>'Resultater - Vestdanmark'!C268</f>
        <v>OC6</v>
      </c>
      <c r="D268" s="98" t="str">
        <f>'Resultater - Vestdanmark'!D268</f>
        <v>Areal-øvrige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80" t="e">
        <f>'Resultater - Vestdanmark'!H268+'Resultater - Østdanmark'!H268</f>
        <v>#REF!</v>
      </c>
      <c r="I268" s="281" t="e">
        <f>'Resultater - Vestdanmark'!I268+'Resultater - Østdanmark'!I268</f>
        <v>#REF!</v>
      </c>
      <c r="J268" s="282" t="e">
        <f>'Resultater - Vestdanmark'!J268+'Resultater - Østdanmark'!J268</f>
        <v>#REF!</v>
      </c>
    </row>
    <row r="269" spans="1:10" x14ac:dyDescent="0.25">
      <c r="A269" s="98" t="str">
        <f>'Resultater - Vestdanmark'!A269</f>
        <v>Øvrig mark</v>
      </c>
      <c r="B269" s="98" t="str">
        <f>'Resultater - Vestdanmark'!B269</f>
        <v>Konventionel</v>
      </c>
      <c r="C269" s="98" t="str">
        <f>'Resultater - Vestdanmark'!C269</f>
        <v>OC6</v>
      </c>
      <c r="D269" s="98" t="str">
        <f>'Resultater - Vestdanmark'!D269</f>
        <v>Areal-øvrige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80" t="e">
        <f>'Resultater - Vestdanmark'!H269+'Resultater - Østdanmark'!H269</f>
        <v>#REF!</v>
      </c>
      <c r="I269" s="281" t="e">
        <f>'Resultater - Vestdanmark'!I269+'Resultater - Østdanmark'!I269</f>
        <v>#REF!</v>
      </c>
      <c r="J269" s="282" t="e">
        <f>'Resultater - Vestdanmark'!J269+'Resultater - Østdanmark'!J269</f>
        <v>#REF!</v>
      </c>
    </row>
    <row r="270" spans="1:10" x14ac:dyDescent="0.25">
      <c r="A270" s="98" t="str">
        <f>'Resultater - Vestdanmark'!A270</f>
        <v>Øvrig mark</v>
      </c>
      <c r="B270" s="98" t="str">
        <f>'Resultater - Vestdanmark'!B270</f>
        <v>Konventionel</v>
      </c>
      <c r="C270" s="98" t="str">
        <f>'Resultater - Vestdanmark'!C270</f>
        <v>OC12</v>
      </c>
      <c r="D270" s="98" t="str">
        <f>'Resultater - Vestdanmark'!D270</f>
        <v>Areal-øvrige</v>
      </c>
      <c r="E270" s="98" t="str">
        <f>'Resultater - Vestdanmark'!E270</f>
        <v>Hektar</v>
      </c>
      <c r="F270" s="98" t="str">
        <f>'Resultater - Vestdanmark'!F270</f>
        <v>Øvrige</v>
      </c>
      <c r="G270" s="98" t="str">
        <f>'Resultater - Vestdanmark'!G270</f>
        <v>Ton</v>
      </c>
      <c r="H270" s="280" t="e">
        <f>'Resultater - Vestdanmark'!H270+'Resultater - Østdanmark'!H270</f>
        <v>#REF!</v>
      </c>
      <c r="I270" s="281" t="e">
        <f>'Resultater - Vestdanmark'!I270+'Resultater - Østdanmark'!I270</f>
        <v>#REF!</v>
      </c>
      <c r="J270" s="282" t="e">
        <f>'Resultater - Vestdanmark'!J270+'Resultater - Østdanmark'!J270</f>
        <v>#REF!</v>
      </c>
    </row>
    <row r="271" spans="1:10" x14ac:dyDescent="0.25">
      <c r="A271" s="98" t="str">
        <f>'Resultater - Vestdanmark'!A271</f>
        <v>Øvrig mark</v>
      </c>
      <c r="B271" s="98" t="str">
        <f>'Resultater - Vestdanmark'!B271</f>
        <v>Konventionel</v>
      </c>
      <c r="C271" s="98" t="str">
        <f>'Resultater - Vestdanmark'!C271</f>
        <v>OC12</v>
      </c>
      <c r="D271" s="98" t="str">
        <f>'Resultater - Vestdanmark'!D271</f>
        <v>Areal-øvrige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80" t="e">
        <f>'Resultater - Vestdanmark'!H271+'Resultater - Østdanmark'!H271</f>
        <v>#REF!</v>
      </c>
      <c r="I271" s="281" t="e">
        <f>'Resultater - Vestdanmark'!I271+'Resultater - Østdanmark'!I271</f>
        <v>#REF!</v>
      </c>
      <c r="J271" s="282" t="e">
        <f>'Resultater - Vestdanmark'!J271+'Resultater - Østdanmark'!J271</f>
        <v>#REF!</v>
      </c>
    </row>
    <row r="272" spans="1:10" x14ac:dyDescent="0.25">
      <c r="A272" s="98" t="str">
        <f>'Resultater - Vestdanmark'!A272</f>
        <v>Øvrig mark</v>
      </c>
      <c r="B272" s="98" t="str">
        <f>'Resultater - Vestdanmark'!B272</f>
        <v>Konventionel</v>
      </c>
      <c r="C272" s="98" t="str">
        <f>'Resultater - Vestdanmark'!C272</f>
        <v>OC12</v>
      </c>
      <c r="D272" s="98" t="str">
        <f>'Resultater - Vestdanmark'!D272</f>
        <v>Areal-øvrige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80" t="e">
        <f>'Resultater - Vestdanmark'!H272+'Resultater - Østdanmark'!H272</f>
        <v>#REF!</v>
      </c>
      <c r="I272" s="281" t="e">
        <f>'Resultater - Vestdanmark'!I272+'Resultater - Østdanmark'!I272</f>
        <v>#REF!</v>
      </c>
      <c r="J272" s="282" t="e">
        <f>'Resultater - Vestdanmark'!J272+'Resultater - Østdanmark'!J272</f>
        <v>#REF!</v>
      </c>
    </row>
    <row r="273" spans="1:10" x14ac:dyDescent="0.25">
      <c r="A273" s="98" t="str">
        <f>'Resultater - Vestdanmark'!A273</f>
        <v>Øvrig mark</v>
      </c>
      <c r="B273" s="98" t="str">
        <f>'Resultater - Vestdanmark'!B273</f>
        <v>Økologisk</v>
      </c>
      <c r="C273" s="98" t="str">
        <f>'Resultater - Vestdanmark'!C273</f>
        <v>JB1-10</v>
      </c>
      <c r="D273" s="98" t="str">
        <f>'Resultater - Vestdanmark'!D273</f>
        <v>Areal-øvrige</v>
      </c>
      <c r="E273" s="98" t="str">
        <f>'Resultater - Vestdanmark'!E273</f>
        <v>Hektar</v>
      </c>
      <c r="F273" s="98" t="str">
        <f>'Resultater - Vestdanmark'!F273</f>
        <v>Øvrige</v>
      </c>
      <c r="G273" s="98" t="str">
        <f>'Resultater - Vestdanmark'!G273</f>
        <v>Ton</v>
      </c>
      <c r="H273" s="280" t="e">
        <f>'Resultater - Vestdanmark'!H273+'Resultater - Østdanmark'!H273</f>
        <v>#REF!</v>
      </c>
      <c r="I273" s="281" t="e">
        <f>'Resultater - Vestdanmark'!I273+'Resultater - Østdanmark'!I273</f>
        <v>#REF!</v>
      </c>
      <c r="J273" s="282" t="e">
        <f>'Resultater - Vestdanmark'!J273+'Resultater - Østdanmark'!J273</f>
        <v>#REF!</v>
      </c>
    </row>
    <row r="274" spans="1:10" x14ac:dyDescent="0.25">
      <c r="A274" s="98" t="str">
        <f>'Resultater - Vestdanmark'!A274</f>
        <v>Øvrig mark</v>
      </c>
      <c r="B274" s="98" t="str">
        <f>'Resultater - Vestdanmark'!B274</f>
        <v>Økologisk</v>
      </c>
      <c r="C274" s="98" t="str">
        <f>'Resultater - Vestdanmark'!C274</f>
        <v>JB1-10</v>
      </c>
      <c r="D274" s="98" t="str">
        <f>'Resultater - Vestdanmark'!D274</f>
        <v>Areal-øvrige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80" t="e">
        <f>'Resultater - Vestdanmark'!H274+'Resultater - Østdanmark'!H274</f>
        <v>#REF!</v>
      </c>
      <c r="I274" s="281" t="e">
        <f>'Resultater - Vestdanmark'!I274+'Resultater - Østdanmark'!I274</f>
        <v>#REF!</v>
      </c>
      <c r="J274" s="282" t="e">
        <f>'Resultater - Vestdanmark'!J274+'Resultater - Østdanmark'!J274</f>
        <v>#REF!</v>
      </c>
    </row>
    <row r="275" spans="1:10" x14ac:dyDescent="0.25">
      <c r="A275" s="98" t="str">
        <f>'Resultater - Vestdanmark'!A275</f>
        <v>Øvrig mark</v>
      </c>
      <c r="B275" s="98" t="str">
        <f>'Resultater - Vestdanmark'!B275</f>
        <v>Økologisk</v>
      </c>
      <c r="C275" s="98" t="str">
        <f>'Resultater - Vestdanmark'!C275</f>
        <v>JB1-10</v>
      </c>
      <c r="D275" s="98" t="str">
        <f>'Resultater - Vestdanmark'!D275</f>
        <v>Areal-øvrige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80" t="e">
        <f>'Resultater - Vestdanmark'!H275+'Resultater - Østdanmark'!H275</f>
        <v>#REF!</v>
      </c>
      <c r="I275" s="281" t="e">
        <f>'Resultater - Vestdanmark'!I275+'Resultater - Østdanmark'!I275</f>
        <v>#REF!</v>
      </c>
      <c r="J275" s="282" t="e">
        <f>'Resultater - Vestdanmark'!J275+'Resultater - Østdanmark'!J275</f>
        <v>#REF!</v>
      </c>
    </row>
    <row r="276" spans="1:10" x14ac:dyDescent="0.25">
      <c r="A276" s="98" t="str">
        <f>'Resultater - Vestdanmark'!A276</f>
        <v>Øvrig mark</v>
      </c>
      <c r="B276" s="98" t="str">
        <f>'Resultater - Vestdanmark'!B276</f>
        <v>Økologisk</v>
      </c>
      <c r="C276" s="98" t="str">
        <f>'Resultater - Vestdanmark'!C276</f>
        <v>OC6</v>
      </c>
      <c r="D276" s="98" t="str">
        <f>'Resultater - Vestdanmark'!D276</f>
        <v>Areal-øvrige</v>
      </c>
      <c r="E276" s="98" t="str">
        <f>'Resultater - Vestdanmark'!E276</f>
        <v>Hektar</v>
      </c>
      <c r="F276" s="98" t="str">
        <f>'Resultater - Vestdanmark'!F276</f>
        <v>Øvrige</v>
      </c>
      <c r="G276" s="98" t="str">
        <f>'Resultater - Vestdanmark'!G276</f>
        <v>Ton</v>
      </c>
      <c r="H276" s="280" t="e">
        <f>'Resultater - Vestdanmark'!H276+'Resultater - Østdanmark'!H276</f>
        <v>#REF!</v>
      </c>
      <c r="I276" s="281" t="e">
        <f>'Resultater - Vestdanmark'!I276+'Resultater - Østdanmark'!I276</f>
        <v>#REF!</v>
      </c>
      <c r="J276" s="282" t="e">
        <f>'Resultater - Vestdanmark'!J276+'Resultater - Østdanmark'!J276</f>
        <v>#REF!</v>
      </c>
    </row>
    <row r="277" spans="1:10" x14ac:dyDescent="0.25">
      <c r="A277" s="98" t="str">
        <f>'Resultater - Vestdanmark'!A277</f>
        <v>Øvrig mark</v>
      </c>
      <c r="B277" s="98" t="str">
        <f>'Resultater - Vestdanmark'!B277</f>
        <v>Økologisk</v>
      </c>
      <c r="C277" s="98" t="str">
        <f>'Resultater - Vestdanmark'!C277</f>
        <v>OC6</v>
      </c>
      <c r="D277" s="98" t="str">
        <f>'Resultater - Vestdanmark'!D277</f>
        <v>Areal-øvrige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80" t="e">
        <f>'Resultater - Vestdanmark'!H277+'Resultater - Østdanmark'!H277</f>
        <v>#REF!</v>
      </c>
      <c r="I277" s="281" t="e">
        <f>'Resultater - Vestdanmark'!I277+'Resultater - Østdanmark'!I277</f>
        <v>#REF!</v>
      </c>
      <c r="J277" s="282" t="e">
        <f>'Resultater - Vestdanmark'!J277+'Resultater - Østdanmark'!J277</f>
        <v>#REF!</v>
      </c>
    </row>
    <row r="278" spans="1:10" x14ac:dyDescent="0.25">
      <c r="A278" s="98" t="str">
        <f>'Resultater - Vestdanmark'!A278</f>
        <v>Øvrig mark</v>
      </c>
      <c r="B278" s="98" t="str">
        <f>'Resultater - Vestdanmark'!B278</f>
        <v>Økologisk</v>
      </c>
      <c r="C278" s="98" t="str">
        <f>'Resultater - Vestdanmark'!C278</f>
        <v>OC6</v>
      </c>
      <c r="D278" s="98" t="str">
        <f>'Resultater - Vestdanmark'!D278</f>
        <v>Areal-øvrige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80" t="e">
        <f>'Resultater - Vestdanmark'!H278+'Resultater - Østdanmark'!H278</f>
        <v>#REF!</v>
      </c>
      <c r="I278" s="281" t="e">
        <f>'Resultater - Vestdanmark'!I278+'Resultater - Østdanmark'!I278</f>
        <v>#REF!</v>
      </c>
      <c r="J278" s="282" t="e">
        <f>'Resultater - Vestdanmark'!J278+'Resultater - Østdanmark'!J278</f>
        <v>#REF!</v>
      </c>
    </row>
    <row r="279" spans="1:10" x14ac:dyDescent="0.25">
      <c r="A279" s="98" t="str">
        <f>'Resultater - Vestdanmark'!A279</f>
        <v>Øvrig mark</v>
      </c>
      <c r="B279" s="98" t="str">
        <f>'Resultater - Vestdanmark'!B279</f>
        <v>Økologisk</v>
      </c>
      <c r="C279" s="98" t="str">
        <f>'Resultater - Vestdanmark'!C279</f>
        <v>OC12</v>
      </c>
      <c r="D279" s="98" t="str">
        <f>'Resultater - Vestdanmark'!D279</f>
        <v>Areal-øvrige</v>
      </c>
      <c r="E279" s="98" t="str">
        <f>'Resultater - Vestdanmark'!E279</f>
        <v>Hektar</v>
      </c>
      <c r="F279" s="98" t="str">
        <f>'Resultater - Vestdanmark'!F279</f>
        <v>Øvrige</v>
      </c>
      <c r="G279" s="98" t="str">
        <f>'Resultater - Vestdanmark'!G279</f>
        <v>Ton</v>
      </c>
      <c r="H279" s="280" t="e">
        <f>'Resultater - Vestdanmark'!H279+'Resultater - Østdanmark'!H279</f>
        <v>#REF!</v>
      </c>
      <c r="I279" s="281" t="e">
        <f>'Resultater - Vestdanmark'!I279+'Resultater - Østdanmark'!I279</f>
        <v>#REF!</v>
      </c>
      <c r="J279" s="282" t="e">
        <f>'Resultater - Vestdanmark'!J279+'Resultater - Østdanmark'!J279</f>
        <v>#REF!</v>
      </c>
    </row>
    <row r="280" spans="1:10" x14ac:dyDescent="0.25">
      <c r="A280" s="98" t="str">
        <f>'Resultater - Vestdanmark'!A280</f>
        <v>Øvrig mark</v>
      </c>
      <c r="B280" s="98" t="str">
        <f>'Resultater - Vestdanmark'!B280</f>
        <v>Økologisk</v>
      </c>
      <c r="C280" s="98" t="str">
        <f>'Resultater - Vestdanmark'!C280</f>
        <v>OC12</v>
      </c>
      <c r="D280" s="98" t="str">
        <f>'Resultater - Vestdanmark'!D280</f>
        <v>Areal-øvrige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80" t="e">
        <f>'Resultater - Vestdanmark'!H280+'Resultater - Østdanmark'!H280</f>
        <v>#REF!</v>
      </c>
      <c r="I280" s="281" t="e">
        <f>'Resultater - Vestdanmark'!I280+'Resultater - Østdanmark'!I280</f>
        <v>#REF!</v>
      </c>
      <c r="J280" s="282" t="e">
        <f>'Resultater - Vestdanmark'!J280+'Resultater - Østdanmark'!J280</f>
        <v>#REF!</v>
      </c>
    </row>
    <row r="281" spans="1:10" x14ac:dyDescent="0.25">
      <c r="A281" s="98" t="str">
        <f>'Resultater - Vestdanmark'!A281</f>
        <v>Øvrig mark</v>
      </c>
      <c r="B281" s="98" t="str">
        <f>'Resultater - Vestdanmark'!B281</f>
        <v>Økologisk</v>
      </c>
      <c r="C281" s="98" t="str">
        <f>'Resultater - Vestdanmark'!C281</f>
        <v>OC12</v>
      </c>
      <c r="D281" s="98" t="str">
        <f>'Resultater - Vestdanmark'!D281</f>
        <v>Areal-øvrige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80" t="e">
        <f>'Resultater - Vestdanmark'!H281+'Resultater - Østdanmark'!H281</f>
        <v>#REF!</v>
      </c>
      <c r="I281" s="281" t="e">
        <f>'Resultater - Vestdanmark'!I281+'Resultater - Østdanmark'!I281</f>
        <v>#REF!</v>
      </c>
      <c r="J281" s="282" t="e">
        <f>'Resultater - Vestdanmark'!J281+'Resultater - Østdanmark'!J281</f>
        <v>#REF!</v>
      </c>
    </row>
    <row r="282" spans="1:10" x14ac:dyDescent="0.25">
      <c r="A282" s="98" t="str">
        <f>'Resultater - Vestdanmark'!A282</f>
        <v>Majsmark</v>
      </c>
      <c r="B282" s="98" t="str">
        <f>'Resultater - Vestdanmark'!B282</f>
        <v>Konventionel</v>
      </c>
      <c r="C282" s="98" t="str">
        <f>'Resultater - Vestdanmark'!C282</f>
        <v>JB1-10</v>
      </c>
      <c r="D282" s="98" t="str">
        <f>'Resultater - Vestdanmark'!D282</f>
        <v>Areal-majs</v>
      </c>
      <c r="E282" s="98" t="str">
        <f>'Resultater - Vestdanmark'!E282</f>
        <v>Hektar</v>
      </c>
      <c r="F282" s="98" t="str">
        <f>'Resultater - Vestdanmark'!F282</f>
        <v>Majs</v>
      </c>
      <c r="G282" s="98" t="str">
        <f>'Resultater - Vestdanmark'!G282</f>
        <v>Ton</v>
      </c>
      <c r="H282" s="280" t="e">
        <f>'Resultater - Vestdanmark'!H282+'Resultater - Østdanmark'!H282</f>
        <v>#REF!</v>
      </c>
      <c r="I282" s="281" t="e">
        <f>'Resultater - Vestdanmark'!I282+'Resultater - Østdanmark'!I282</f>
        <v>#REF!</v>
      </c>
      <c r="J282" s="282" t="e">
        <f>'Resultater - Vestdanmark'!J282+'Resultater - Østdanmark'!J282</f>
        <v>#REF!</v>
      </c>
    </row>
    <row r="283" spans="1:10" x14ac:dyDescent="0.25">
      <c r="A283" s="98" t="str">
        <f>'Resultater - Vestdanmark'!A283</f>
        <v>Majsmark</v>
      </c>
      <c r="B283" s="98" t="str">
        <f>'Resultater - Vestdanmark'!B283</f>
        <v>Konventionel</v>
      </c>
      <c r="C283" s="98" t="str">
        <f>'Resultater - Vestdanmark'!C283</f>
        <v>JB1-10</v>
      </c>
      <c r="D283" s="98" t="str">
        <f>'Resultater - Vestdanmark'!D283</f>
        <v>Areal-majs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80" t="e">
        <f>'Resultater - Vestdanmark'!H283+'Resultater - Østdanmark'!H283</f>
        <v>#REF!</v>
      </c>
      <c r="I283" s="281" t="e">
        <f>'Resultater - Vestdanmark'!I283+'Resultater - Østdanmark'!I283</f>
        <v>#REF!</v>
      </c>
      <c r="J283" s="282" t="e">
        <f>'Resultater - Vestdanmark'!J283+'Resultater - Østdanmark'!J283</f>
        <v>#REF!</v>
      </c>
    </row>
    <row r="284" spans="1:10" x14ac:dyDescent="0.25">
      <c r="A284" s="98" t="str">
        <f>'Resultater - Vestdanmark'!A284</f>
        <v>Majsmark</v>
      </c>
      <c r="B284" s="98" t="str">
        <f>'Resultater - Vestdanmark'!B284</f>
        <v>Konventionel</v>
      </c>
      <c r="C284" s="98" t="str">
        <f>'Resultater - Vestdanmark'!C284</f>
        <v>JB1-10</v>
      </c>
      <c r="D284" s="98" t="str">
        <f>'Resultater - Vestdanmark'!D284</f>
        <v>Areal-majs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80" t="e">
        <f>'Resultater - Vestdanmark'!H284+'Resultater - Østdanmark'!H284</f>
        <v>#REF!</v>
      </c>
      <c r="I284" s="281" t="e">
        <f>'Resultater - Vestdanmark'!I284+'Resultater - Østdanmark'!I284</f>
        <v>#REF!</v>
      </c>
      <c r="J284" s="282" t="e">
        <f>'Resultater - Vestdanmark'!J284+'Resultater - Østdanmark'!J284</f>
        <v>#REF!</v>
      </c>
    </row>
    <row r="285" spans="1:10" x14ac:dyDescent="0.25">
      <c r="A285" s="98" t="str">
        <f>'Resultater - Vestdanmark'!A285</f>
        <v>Majsmark</v>
      </c>
      <c r="B285" s="98" t="str">
        <f>'Resultater - Vestdanmark'!B285</f>
        <v>Konventionel</v>
      </c>
      <c r="C285" s="98" t="str">
        <f>'Resultater - Vestdanmark'!C285</f>
        <v>OC6</v>
      </c>
      <c r="D285" s="98" t="str">
        <f>'Resultater - Vestdanmark'!D285</f>
        <v>Areal-majs</v>
      </c>
      <c r="E285" s="98" t="str">
        <f>'Resultater - Vestdanmark'!E285</f>
        <v>Hektar</v>
      </c>
      <c r="F285" s="98" t="str">
        <f>'Resultater - Vestdanmark'!F285</f>
        <v>Majs</v>
      </c>
      <c r="G285" s="98" t="str">
        <f>'Resultater - Vestdanmark'!G285</f>
        <v>Ton</v>
      </c>
      <c r="H285" s="280" t="e">
        <f>'Resultater - Vestdanmark'!H285+'Resultater - Østdanmark'!H285</f>
        <v>#REF!</v>
      </c>
      <c r="I285" s="281" t="e">
        <f>'Resultater - Vestdanmark'!I285+'Resultater - Østdanmark'!I285</f>
        <v>#REF!</v>
      </c>
      <c r="J285" s="282" t="e">
        <f>'Resultater - Vestdanmark'!J285+'Resultater - Østdanmark'!J285</f>
        <v>#REF!</v>
      </c>
    </row>
    <row r="286" spans="1:10" x14ac:dyDescent="0.25">
      <c r="A286" s="98" t="str">
        <f>'Resultater - Vestdanmark'!A286</f>
        <v>Majsmark</v>
      </c>
      <c r="B286" s="98" t="str">
        <f>'Resultater - Vestdanmark'!B286</f>
        <v>Konventionel</v>
      </c>
      <c r="C286" s="98" t="str">
        <f>'Resultater - Vestdanmark'!C286</f>
        <v>OC6</v>
      </c>
      <c r="D286" s="98" t="str">
        <f>'Resultater - Vestdanmark'!D286</f>
        <v>Areal-majs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80" t="e">
        <f>'Resultater - Vestdanmark'!H286+'Resultater - Østdanmark'!H286</f>
        <v>#REF!</v>
      </c>
      <c r="I286" s="281" t="e">
        <f>'Resultater - Vestdanmark'!I286+'Resultater - Østdanmark'!I286</f>
        <v>#REF!</v>
      </c>
      <c r="J286" s="282" t="e">
        <f>'Resultater - Vestdanmark'!J286+'Resultater - Østdanmark'!J286</f>
        <v>#REF!</v>
      </c>
    </row>
    <row r="287" spans="1:10" x14ac:dyDescent="0.25">
      <c r="A287" s="98" t="str">
        <f>'Resultater - Vestdanmark'!A287</f>
        <v>Majsmark</v>
      </c>
      <c r="B287" s="98" t="str">
        <f>'Resultater - Vestdanmark'!B287</f>
        <v>Konventionel</v>
      </c>
      <c r="C287" s="98" t="str">
        <f>'Resultater - Vestdanmark'!C287</f>
        <v>OC6</v>
      </c>
      <c r="D287" s="98" t="str">
        <f>'Resultater - Vestdanmark'!D287</f>
        <v>Areal-majs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80" t="e">
        <f>'Resultater - Vestdanmark'!H287+'Resultater - Østdanmark'!H287</f>
        <v>#REF!</v>
      </c>
      <c r="I287" s="281" t="e">
        <f>'Resultater - Vestdanmark'!I287+'Resultater - Østdanmark'!I287</f>
        <v>#REF!</v>
      </c>
      <c r="J287" s="282" t="e">
        <f>'Resultater - Vestdanmark'!J287+'Resultater - Østdanmark'!J287</f>
        <v>#REF!</v>
      </c>
    </row>
    <row r="288" spans="1:10" x14ac:dyDescent="0.25">
      <c r="A288" s="98" t="str">
        <f>'Resultater - Vestdanmark'!A288</f>
        <v>Majsmark</v>
      </c>
      <c r="B288" s="98" t="str">
        <f>'Resultater - Vestdanmark'!B288</f>
        <v>Konventionel</v>
      </c>
      <c r="C288" s="98" t="str">
        <f>'Resultater - Vestdanmark'!C288</f>
        <v>OC12</v>
      </c>
      <c r="D288" s="98" t="str">
        <f>'Resultater - Vestdanmark'!D288</f>
        <v>Areal-majs</v>
      </c>
      <c r="E288" s="98" t="str">
        <f>'Resultater - Vestdanmark'!E288</f>
        <v>Hektar</v>
      </c>
      <c r="F288" s="98" t="str">
        <f>'Resultater - Vestdanmark'!F288</f>
        <v>Majs</v>
      </c>
      <c r="G288" s="98" t="str">
        <f>'Resultater - Vestdanmark'!G288</f>
        <v>Ton</v>
      </c>
      <c r="H288" s="280" t="e">
        <f>'Resultater - Vestdanmark'!H288+'Resultater - Østdanmark'!H288</f>
        <v>#REF!</v>
      </c>
      <c r="I288" s="281" t="e">
        <f>'Resultater - Vestdanmark'!I288+'Resultater - Østdanmark'!I288</f>
        <v>#REF!</v>
      </c>
      <c r="J288" s="282" t="e">
        <f>'Resultater - Vestdanmark'!J288+'Resultater - Østdanmark'!J288</f>
        <v>#REF!</v>
      </c>
    </row>
    <row r="289" spans="1:10" x14ac:dyDescent="0.25">
      <c r="A289" s="98" t="str">
        <f>'Resultater - Vestdanmark'!A289</f>
        <v>Majsmark</v>
      </c>
      <c r="B289" s="98" t="str">
        <f>'Resultater - Vestdanmark'!B289</f>
        <v>Konventionel</v>
      </c>
      <c r="C289" s="98" t="str">
        <f>'Resultater - Vestdanmark'!C289</f>
        <v>OC12</v>
      </c>
      <c r="D289" s="98" t="str">
        <f>'Resultater - Vestdanmark'!D289</f>
        <v>Areal-majs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80" t="e">
        <f>'Resultater - Vestdanmark'!H289+'Resultater - Østdanmark'!H289</f>
        <v>#REF!</v>
      </c>
      <c r="I289" s="281" t="e">
        <f>'Resultater - Vestdanmark'!I289+'Resultater - Østdanmark'!I289</f>
        <v>#REF!</v>
      </c>
      <c r="J289" s="282" t="e">
        <f>'Resultater - Vestdanmark'!J289+'Resultater - Østdanmark'!J289</f>
        <v>#REF!</v>
      </c>
    </row>
    <row r="290" spans="1:10" x14ac:dyDescent="0.25">
      <c r="A290" s="98" t="str">
        <f>'Resultater - Vestdanmark'!A290</f>
        <v>Majsmark</v>
      </c>
      <c r="B290" s="98" t="str">
        <f>'Resultater - Vestdanmark'!B290</f>
        <v>Konventionel</v>
      </c>
      <c r="C290" s="98" t="str">
        <f>'Resultater - Vestdanmark'!C290</f>
        <v>OC12</v>
      </c>
      <c r="D290" s="98" t="str">
        <f>'Resultater - Vestdanmark'!D290</f>
        <v>Areal-majs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80" t="e">
        <f>'Resultater - Vestdanmark'!H290+'Resultater - Østdanmark'!H290</f>
        <v>#REF!</v>
      </c>
      <c r="I290" s="281" t="e">
        <f>'Resultater - Vestdanmark'!I290+'Resultater - Østdanmark'!I290</f>
        <v>#REF!</v>
      </c>
      <c r="J290" s="282" t="e">
        <f>'Resultater - Vestdanmark'!J290+'Resultater - Østdanmark'!J290</f>
        <v>#REF!</v>
      </c>
    </row>
    <row r="291" spans="1:10" x14ac:dyDescent="0.25">
      <c r="A291" s="98" t="str">
        <f>'Resultater - Vestdanmark'!A291</f>
        <v>Majsmark</v>
      </c>
      <c r="B291" s="98" t="str">
        <f>'Resultater - Vestdanmark'!B291</f>
        <v>Økologisk</v>
      </c>
      <c r="C291" s="98" t="str">
        <f>'Resultater - Vestdanmark'!C291</f>
        <v>JB1-10</v>
      </c>
      <c r="D291" s="98" t="str">
        <f>'Resultater - Vestdanmark'!D291</f>
        <v>Areal-majs</v>
      </c>
      <c r="E291" s="98" t="str">
        <f>'Resultater - Vestdanmark'!E291</f>
        <v>Hektar</v>
      </c>
      <c r="F291" s="98" t="str">
        <f>'Resultater - Vestdanmark'!F291</f>
        <v>Majs</v>
      </c>
      <c r="G291" s="98" t="str">
        <f>'Resultater - Vestdanmark'!G291</f>
        <v>Ton</v>
      </c>
      <c r="H291" s="280" t="e">
        <f>'Resultater - Vestdanmark'!H291+'Resultater - Østdanmark'!H291</f>
        <v>#REF!</v>
      </c>
      <c r="I291" s="281" t="e">
        <f>'Resultater - Vestdanmark'!I291+'Resultater - Østdanmark'!I291</f>
        <v>#REF!</v>
      </c>
      <c r="J291" s="282" t="e">
        <f>'Resultater - Vestdanmark'!J291+'Resultater - Østdanmark'!J291</f>
        <v>#REF!</v>
      </c>
    </row>
    <row r="292" spans="1:10" x14ac:dyDescent="0.25">
      <c r="A292" s="98" t="str">
        <f>'Resultater - Vestdanmark'!A292</f>
        <v>Majsmark</v>
      </c>
      <c r="B292" s="98" t="str">
        <f>'Resultater - Vestdanmark'!B292</f>
        <v>Økologisk</v>
      </c>
      <c r="C292" s="98" t="str">
        <f>'Resultater - Vestdanmark'!C292</f>
        <v>JB1-10</v>
      </c>
      <c r="D292" s="98" t="str">
        <f>'Resultater - Vestdanmark'!D292</f>
        <v>Areal-majs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80" t="e">
        <f>'Resultater - Vestdanmark'!H292+'Resultater - Østdanmark'!H292</f>
        <v>#REF!</v>
      </c>
      <c r="I292" s="281" t="e">
        <f>'Resultater - Vestdanmark'!I292+'Resultater - Østdanmark'!I292</f>
        <v>#REF!</v>
      </c>
      <c r="J292" s="282" t="e">
        <f>'Resultater - Vestdanmark'!J292+'Resultater - Østdanmark'!J292</f>
        <v>#REF!</v>
      </c>
    </row>
    <row r="293" spans="1:10" x14ac:dyDescent="0.25">
      <c r="A293" s="98" t="str">
        <f>'Resultater - Vestdanmark'!A293</f>
        <v>Majsmark</v>
      </c>
      <c r="B293" s="98" t="str">
        <f>'Resultater - Vestdanmark'!B293</f>
        <v>Økologisk</v>
      </c>
      <c r="C293" s="98" t="str">
        <f>'Resultater - Vestdanmark'!C293</f>
        <v>JB1-10</v>
      </c>
      <c r="D293" s="98" t="str">
        <f>'Resultater - Vestdanmark'!D293</f>
        <v>Areal-majs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80" t="e">
        <f>'Resultater - Vestdanmark'!H293+'Resultater - Østdanmark'!H293</f>
        <v>#REF!</v>
      </c>
      <c r="I293" s="281" t="e">
        <f>'Resultater - Vestdanmark'!I293+'Resultater - Østdanmark'!I293</f>
        <v>#REF!</v>
      </c>
      <c r="J293" s="282" t="e">
        <f>'Resultater - Vestdanmark'!J293+'Resultater - Østdanmark'!J293</f>
        <v>#REF!</v>
      </c>
    </row>
    <row r="294" spans="1:10" x14ac:dyDescent="0.25">
      <c r="A294" s="98" t="str">
        <f>'Resultater - Vestdanmark'!A294</f>
        <v>Majsmark</v>
      </c>
      <c r="B294" s="98" t="str">
        <f>'Resultater - Vestdanmark'!B294</f>
        <v>Økologisk</v>
      </c>
      <c r="C294" s="98" t="str">
        <f>'Resultater - Vestdanmark'!C294</f>
        <v>OC6</v>
      </c>
      <c r="D294" s="98" t="str">
        <f>'Resultater - Vestdanmark'!D294</f>
        <v>Areal-majs</v>
      </c>
      <c r="E294" s="98" t="str">
        <f>'Resultater - Vestdanmark'!E294</f>
        <v>Hektar</v>
      </c>
      <c r="F294" s="98" t="str">
        <f>'Resultater - Vestdanmark'!F294</f>
        <v>Majs</v>
      </c>
      <c r="G294" s="98" t="str">
        <f>'Resultater - Vestdanmark'!G294</f>
        <v>Ton</v>
      </c>
      <c r="H294" s="280" t="e">
        <f>'Resultater - Vestdanmark'!H294+'Resultater - Østdanmark'!H294</f>
        <v>#REF!</v>
      </c>
      <c r="I294" s="281" t="e">
        <f>'Resultater - Vestdanmark'!I294+'Resultater - Østdanmark'!I294</f>
        <v>#REF!</v>
      </c>
      <c r="J294" s="282" t="e">
        <f>'Resultater - Vestdanmark'!J294+'Resultater - Østdanmark'!J294</f>
        <v>#REF!</v>
      </c>
    </row>
    <row r="295" spans="1:10" x14ac:dyDescent="0.25">
      <c r="A295" s="98" t="str">
        <f>'Resultater - Vestdanmark'!A295</f>
        <v>Majsmark</v>
      </c>
      <c r="B295" s="98" t="str">
        <f>'Resultater - Vestdanmark'!B295</f>
        <v>Økologisk</v>
      </c>
      <c r="C295" s="98" t="str">
        <f>'Resultater - Vestdanmark'!C295</f>
        <v>OC6</v>
      </c>
      <c r="D295" s="98" t="str">
        <f>'Resultater - Vestdanmark'!D295</f>
        <v>Areal-majs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80" t="e">
        <f>'Resultater - Vestdanmark'!H295+'Resultater - Østdanmark'!H295</f>
        <v>#REF!</v>
      </c>
      <c r="I295" s="281" t="e">
        <f>'Resultater - Vestdanmark'!I295+'Resultater - Østdanmark'!I295</f>
        <v>#REF!</v>
      </c>
      <c r="J295" s="282" t="e">
        <f>'Resultater - Vestdanmark'!J295+'Resultater - Østdanmark'!J295</f>
        <v>#REF!</v>
      </c>
    </row>
    <row r="296" spans="1:10" x14ac:dyDescent="0.25">
      <c r="A296" s="98" t="str">
        <f>'Resultater - Vestdanmark'!A296</f>
        <v>Majsmark</v>
      </c>
      <c r="B296" s="98" t="str">
        <f>'Resultater - Vestdanmark'!B296</f>
        <v>Økologisk</v>
      </c>
      <c r="C296" s="98" t="str">
        <f>'Resultater - Vestdanmark'!C296</f>
        <v>OC6</v>
      </c>
      <c r="D296" s="98" t="str">
        <f>'Resultater - Vestdanmark'!D296</f>
        <v>Areal-majs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80" t="e">
        <f>'Resultater - Vestdanmark'!H296+'Resultater - Østdanmark'!H296</f>
        <v>#REF!</v>
      </c>
      <c r="I296" s="281" t="e">
        <f>'Resultater - Vestdanmark'!I296+'Resultater - Østdanmark'!I296</f>
        <v>#REF!</v>
      </c>
      <c r="J296" s="282" t="e">
        <f>'Resultater - Vestdanmark'!J296+'Resultater - Østdanmark'!J296</f>
        <v>#REF!</v>
      </c>
    </row>
    <row r="297" spans="1:10" x14ac:dyDescent="0.25">
      <c r="A297" s="98" t="str">
        <f>'Resultater - Vestdanmark'!A297</f>
        <v>Majsmark</v>
      </c>
      <c r="B297" s="98" t="str">
        <f>'Resultater - Vestdanmark'!B297</f>
        <v>Økologisk</v>
      </c>
      <c r="C297" s="98" t="str">
        <f>'Resultater - Vestdanmark'!C297</f>
        <v>OC12</v>
      </c>
      <c r="D297" s="98" t="str">
        <f>'Resultater - Vestdanmark'!D297</f>
        <v>Areal-majs</v>
      </c>
      <c r="E297" s="98" t="str">
        <f>'Resultater - Vestdanmark'!E297</f>
        <v>Hektar</v>
      </c>
      <c r="F297" s="98" t="str">
        <f>'Resultater - Vestdanmark'!F297</f>
        <v>Majs</v>
      </c>
      <c r="G297" s="98" t="str">
        <f>'Resultater - Vestdanmark'!G297</f>
        <v>Ton</v>
      </c>
      <c r="H297" s="280" t="e">
        <f>'Resultater - Vestdanmark'!H297+'Resultater - Østdanmark'!H297</f>
        <v>#REF!</v>
      </c>
      <c r="I297" s="281" t="e">
        <f>'Resultater - Vestdanmark'!I297+'Resultater - Østdanmark'!I297</f>
        <v>#REF!</v>
      </c>
      <c r="J297" s="282" t="e">
        <f>'Resultater - Vestdanmark'!J297+'Resultater - Østdanmark'!J297</f>
        <v>#REF!</v>
      </c>
    </row>
    <row r="298" spans="1:10" x14ac:dyDescent="0.25">
      <c r="A298" s="98" t="str">
        <f>'Resultater - Vestdanmark'!A298</f>
        <v>Majsmark</v>
      </c>
      <c r="B298" s="98" t="str">
        <f>'Resultater - Vestdanmark'!B298</f>
        <v>Økologisk</v>
      </c>
      <c r="C298" s="98" t="str">
        <f>'Resultater - Vestdanmark'!C298</f>
        <v>OC12</v>
      </c>
      <c r="D298" s="98" t="str">
        <f>'Resultater - Vestdanmark'!D298</f>
        <v>Areal-majs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80" t="e">
        <f>'Resultater - Vestdanmark'!H298+'Resultater - Østdanmark'!H298</f>
        <v>#REF!</v>
      </c>
      <c r="I298" s="281" t="e">
        <f>'Resultater - Vestdanmark'!I298+'Resultater - Østdanmark'!I298</f>
        <v>#REF!</v>
      </c>
      <c r="J298" s="282" t="e">
        <f>'Resultater - Vestdanmark'!J298+'Resultater - Østdanmark'!J298</f>
        <v>#REF!</v>
      </c>
    </row>
    <row r="299" spans="1:10" x14ac:dyDescent="0.25">
      <c r="A299" s="98" t="str">
        <f>'Resultater - Vestdanmark'!A299</f>
        <v>Majsmark</v>
      </c>
      <c r="B299" s="98" t="str">
        <f>'Resultater - Vestdanmark'!B299</f>
        <v>Økologisk</v>
      </c>
      <c r="C299" s="98" t="str">
        <f>'Resultater - Vestdanmark'!C299</f>
        <v>OC12</v>
      </c>
      <c r="D299" s="98" t="str">
        <f>'Resultater - Vestdanmark'!D299</f>
        <v>Areal-majs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80" t="e">
        <f>'Resultater - Vestdanmark'!H299+'Resultater - Østdanmark'!H299</f>
        <v>#REF!</v>
      </c>
      <c r="I299" s="281" t="e">
        <f>'Resultater - Vestdanmark'!I299+'Resultater - Østdanmark'!I299</f>
        <v>#REF!</v>
      </c>
      <c r="J299" s="282" t="e">
        <f>'Resultater - Vestdanmark'!J299+'Resultater - Østdanmark'!J299</f>
        <v>#REF!</v>
      </c>
    </row>
    <row r="300" spans="1:10" x14ac:dyDescent="0.25">
      <c r="A300" s="98" t="str">
        <f>'Resultater - Vestdanmark'!A300</f>
        <v>Rapsmark</v>
      </c>
      <c r="B300" s="98" t="str">
        <f>'Resultater - Vestdanmark'!B300</f>
        <v>Konventionel</v>
      </c>
      <c r="C300" s="98" t="str">
        <f>'Resultater - Vestdanmark'!C300</f>
        <v>JB1-10</v>
      </c>
      <c r="D300" s="98" t="str">
        <f>'Resultater - Vestdanmark'!D300</f>
        <v>Areal-raps</v>
      </c>
      <c r="E300" s="98" t="str">
        <f>'Resultater - Vestdanmark'!E300</f>
        <v>Hektar</v>
      </c>
      <c r="F300" s="98" t="str">
        <f>'Resultater - Vestdanmark'!F300</f>
        <v>Raps</v>
      </c>
      <c r="G300" s="98" t="str">
        <f>'Resultater - Vestdanmark'!G300</f>
        <v>Ton</v>
      </c>
      <c r="H300" s="280" t="e">
        <f>'Resultater - Vestdanmark'!H300+'Resultater - Østdanmark'!H300</f>
        <v>#REF!</v>
      </c>
      <c r="I300" s="281" t="e">
        <f>'Resultater - Vestdanmark'!I300+'Resultater - Østdanmark'!I300</f>
        <v>#REF!</v>
      </c>
      <c r="J300" s="282" t="e">
        <f>'Resultater - Vestdanmark'!J300+'Resultater - Østdanmark'!J300</f>
        <v>#REF!</v>
      </c>
    </row>
    <row r="301" spans="1:10" x14ac:dyDescent="0.25">
      <c r="A301" s="98" t="str">
        <f>'Resultater - Vestdanmark'!A301</f>
        <v>Rapsmark</v>
      </c>
      <c r="B301" s="98" t="str">
        <f>'Resultater - Vestdanmark'!B301</f>
        <v>Konventionel</v>
      </c>
      <c r="C301" s="98" t="str">
        <f>'Resultater - Vestdanmark'!C301</f>
        <v>JB1-10</v>
      </c>
      <c r="D301" s="98" t="str">
        <f>'Resultater - Vestdanmark'!D301</f>
        <v>Areal-raps</v>
      </c>
      <c r="E301" s="98" t="str">
        <f>'Resultater - Vestdanmark'!E301</f>
        <v>Hektar</v>
      </c>
      <c r="F301" s="98" t="str">
        <f>'Resultater - Vestdanmark'!F301</f>
        <v>Halm</v>
      </c>
      <c r="G301" s="98" t="str">
        <f>'Resultater - Vestdanmark'!G301</f>
        <v>Ton</v>
      </c>
      <c r="H301" s="280" t="e">
        <f>'Resultater - Vestdanmark'!H301+'Resultater - Østdanmark'!H301</f>
        <v>#REF!</v>
      </c>
      <c r="I301" s="281" t="e">
        <f>'Resultater - Vestdanmark'!I301+'Resultater - Østdanmark'!I301</f>
        <v>#REF!</v>
      </c>
      <c r="J301" s="282" t="e">
        <f>'Resultater - Vestdanmark'!J301+'Resultater - Østdanmark'!J301</f>
        <v>#REF!</v>
      </c>
    </row>
    <row r="302" spans="1:10" x14ac:dyDescent="0.25">
      <c r="A302" s="98" t="str">
        <f>'Resultater - Vestdanmark'!A302</f>
        <v>Rapsmark</v>
      </c>
      <c r="B302" s="98" t="str">
        <f>'Resultater - Vestdanmark'!B302</f>
        <v>Konventionel</v>
      </c>
      <c r="C302" s="98" t="str">
        <f>'Resultater - Vestdanmark'!C302</f>
        <v>JB1-10</v>
      </c>
      <c r="D302" s="98" t="str">
        <f>'Resultater - Vestdanmark'!D302</f>
        <v>Areal-raps</v>
      </c>
      <c r="E302" s="98" t="str">
        <f>'Resultater - Vestdanmark'!E302</f>
        <v>Hektar</v>
      </c>
      <c r="F302" s="98" t="str">
        <f>'Resultater - Vestdanmark'!F302</f>
        <v>Gødning</v>
      </c>
      <c r="G302" s="98" t="str">
        <f>'Resultater - Vestdanmark'!G302</f>
        <v>kg N</v>
      </c>
      <c r="H302" s="280" t="e">
        <f>'Resultater - Vestdanmark'!H302+'Resultater - Østdanmark'!H302</f>
        <v>#REF!</v>
      </c>
      <c r="I302" s="281" t="e">
        <f>'Resultater - Vestdanmark'!I302+'Resultater - Østdanmark'!I302</f>
        <v>#REF!</v>
      </c>
      <c r="J302" s="282" t="e">
        <f>'Resultater - Vestdanmark'!J302+'Resultater - Østdanmark'!J302</f>
        <v>#REF!</v>
      </c>
    </row>
    <row r="303" spans="1:10" x14ac:dyDescent="0.25">
      <c r="A303" s="98" t="str">
        <f>'Resultater - Vestdanmark'!A303</f>
        <v>Rapsmark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Areal-raps</v>
      </c>
      <c r="E303" s="98" t="str">
        <f>'Resultater - Vestdanmark'!E303</f>
        <v>Hektar</v>
      </c>
      <c r="F303" s="98" t="str">
        <f>'Resultater - Vestdanmark'!F303</f>
        <v>CO2 - atmosfære</v>
      </c>
      <c r="G303" s="98" t="str">
        <f>'Resultater - Vestdanmark'!G303</f>
        <v>t CO2-ækvivalenter</v>
      </c>
      <c r="H303" s="280" t="e">
        <f>'Resultater - Vestdanmark'!H303+'Resultater - Østdanmark'!H303</f>
        <v>#REF!</v>
      </c>
      <c r="I303" s="281" t="e">
        <f>'Resultater - Vestdanmark'!I303+'Resultater - Østdanmark'!I303</f>
        <v>#REF!</v>
      </c>
      <c r="J303" s="282" t="e">
        <f>'Resultater - Vestdanmark'!J303+'Resultater - Østdanmark'!J303</f>
        <v>#REF!</v>
      </c>
    </row>
    <row r="304" spans="1:10" x14ac:dyDescent="0.25">
      <c r="A304" s="98" t="str">
        <f>'Resultater - Vestdanmark'!A304</f>
        <v>Rapsmark</v>
      </c>
      <c r="B304" s="98" t="str">
        <f>'Resultater - Vestdanmark'!B304</f>
        <v>Konventionel</v>
      </c>
      <c r="C304" s="98" t="str">
        <f>'Resultater - Vestdanmark'!C304</f>
        <v>OC6</v>
      </c>
      <c r="D304" s="98" t="str">
        <f>'Resultater - Vestdanmark'!D304</f>
        <v>Areal-raps</v>
      </c>
      <c r="E304" s="98" t="str">
        <f>'Resultater - Vestdanmark'!E304</f>
        <v>Hektar</v>
      </c>
      <c r="F304" s="98" t="str">
        <f>'Resultater - Vestdanmark'!F304</f>
        <v>Raps</v>
      </c>
      <c r="G304" s="98" t="str">
        <f>'Resultater - Vestdanmark'!G304</f>
        <v>Ton</v>
      </c>
      <c r="H304" s="280" t="e">
        <f>'Resultater - Vestdanmark'!H304+'Resultater - Østdanmark'!H304</f>
        <v>#REF!</v>
      </c>
      <c r="I304" s="281" t="e">
        <f>'Resultater - Vestdanmark'!I304+'Resultater - Østdanmark'!I304</f>
        <v>#REF!</v>
      </c>
      <c r="J304" s="282" t="e">
        <f>'Resultater - Vestdanmark'!J304+'Resultater - Østdanmark'!J304</f>
        <v>#REF!</v>
      </c>
    </row>
    <row r="305" spans="1:10" x14ac:dyDescent="0.25">
      <c r="A305" s="98" t="str">
        <f>'Resultater - Vestdanmark'!A305</f>
        <v>Rapsmark</v>
      </c>
      <c r="B305" s="98" t="str">
        <f>'Resultater - Vestdanmark'!B305</f>
        <v>Konventionel</v>
      </c>
      <c r="C305" s="98" t="str">
        <f>'Resultater - Vestdanmark'!C305</f>
        <v>OC6</v>
      </c>
      <c r="D305" s="98" t="str">
        <f>'Resultater - Vestdanmark'!D305</f>
        <v>Areal-raps</v>
      </c>
      <c r="E305" s="98" t="str">
        <f>'Resultater - Vestdanmark'!E305</f>
        <v>Hektar</v>
      </c>
      <c r="F305" s="98" t="str">
        <f>'Resultater - Vestdanmark'!F305</f>
        <v>Halm</v>
      </c>
      <c r="G305" s="98" t="str">
        <f>'Resultater - Vestdanmark'!G305</f>
        <v>Ton</v>
      </c>
      <c r="H305" s="280" t="e">
        <f>'Resultater - Vestdanmark'!H305+'Resultater - Østdanmark'!H305</f>
        <v>#REF!</v>
      </c>
      <c r="I305" s="281" t="e">
        <f>'Resultater - Vestdanmark'!I305+'Resultater - Østdanmark'!I305</f>
        <v>#REF!</v>
      </c>
      <c r="J305" s="282" t="e">
        <f>'Resultater - Vestdanmark'!J305+'Resultater - Østdanmark'!J305</f>
        <v>#REF!</v>
      </c>
    </row>
    <row r="306" spans="1:10" x14ac:dyDescent="0.25">
      <c r="A306" s="98" t="str">
        <f>'Resultater - Vestdanmark'!A306</f>
        <v>Rapsmark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Areal-raps</v>
      </c>
      <c r="E306" s="98" t="str">
        <f>'Resultater - Vestdanmark'!E306</f>
        <v>Hektar</v>
      </c>
      <c r="F306" s="98" t="str">
        <f>'Resultater - Vestdanmark'!F306</f>
        <v>Gødning</v>
      </c>
      <c r="G306" s="98" t="str">
        <f>'Resultater - Vestdanmark'!G306</f>
        <v>kg N</v>
      </c>
      <c r="H306" s="280" t="e">
        <f>'Resultater - Vestdanmark'!H306+'Resultater - Østdanmark'!H306</f>
        <v>#REF!</v>
      </c>
      <c r="I306" s="281" t="e">
        <f>'Resultater - Vestdanmark'!I306+'Resultater - Østdanmark'!I306</f>
        <v>#REF!</v>
      </c>
      <c r="J306" s="282" t="e">
        <f>'Resultater - Vestdanmark'!J306+'Resultater - Østdanmark'!J306</f>
        <v>#REF!</v>
      </c>
    </row>
    <row r="307" spans="1:10" x14ac:dyDescent="0.25">
      <c r="A307" s="98" t="str">
        <f>'Resultater - Vestdanmark'!A307</f>
        <v>Rapsmark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Areal-raps</v>
      </c>
      <c r="E307" s="98" t="str">
        <f>'Resultater - Vestdanmark'!E307</f>
        <v>Hektar</v>
      </c>
      <c r="F307" s="98" t="str">
        <f>'Resultater - Vestdanmark'!F307</f>
        <v>CO2 - atmosfære</v>
      </c>
      <c r="G307" s="98" t="str">
        <f>'Resultater - Vestdanmark'!G307</f>
        <v>t CO2-ækvivalenter</v>
      </c>
      <c r="H307" s="280" t="e">
        <f>'Resultater - Vestdanmark'!H307+'Resultater - Østdanmark'!H307</f>
        <v>#REF!</v>
      </c>
      <c r="I307" s="281" t="e">
        <f>'Resultater - Vestdanmark'!I307+'Resultater - Østdanmark'!I307</f>
        <v>#REF!</v>
      </c>
      <c r="J307" s="282" t="e">
        <f>'Resultater - Vestdanmark'!J307+'Resultater - Østdanmark'!J307</f>
        <v>#REF!</v>
      </c>
    </row>
    <row r="308" spans="1:10" x14ac:dyDescent="0.25">
      <c r="A308" s="98" t="str">
        <f>'Resultater - Vestdanmark'!A308</f>
        <v>Rapsmark</v>
      </c>
      <c r="B308" s="98" t="str">
        <f>'Resultater - Vestdanmark'!B308</f>
        <v>Konventionel</v>
      </c>
      <c r="C308" s="98" t="str">
        <f>'Resultater - Vestdanmark'!C308</f>
        <v>OC12</v>
      </c>
      <c r="D308" s="98" t="str">
        <f>'Resultater - Vestdanmark'!D308</f>
        <v>Areal-raps</v>
      </c>
      <c r="E308" s="98" t="str">
        <f>'Resultater - Vestdanmark'!E308</f>
        <v>Hektar</v>
      </c>
      <c r="F308" s="98" t="str">
        <f>'Resultater - Vestdanmark'!F308</f>
        <v>Raps</v>
      </c>
      <c r="G308" s="98" t="str">
        <f>'Resultater - Vestdanmark'!G308</f>
        <v>Ton</v>
      </c>
      <c r="H308" s="280" t="e">
        <f>'Resultater - Vestdanmark'!H308+'Resultater - Østdanmark'!H308</f>
        <v>#REF!</v>
      </c>
      <c r="I308" s="281" t="e">
        <f>'Resultater - Vestdanmark'!I308+'Resultater - Østdanmark'!I308</f>
        <v>#REF!</v>
      </c>
      <c r="J308" s="282" t="e">
        <f>'Resultater - Vestdanmark'!J308+'Resultater - Østdanmark'!J308</f>
        <v>#REF!</v>
      </c>
    </row>
    <row r="309" spans="1:10" x14ac:dyDescent="0.25">
      <c r="A309" s="98" t="str">
        <f>'Resultater - Vestdanmark'!A309</f>
        <v>Rapsmark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Areal-raps</v>
      </c>
      <c r="E309" s="98" t="str">
        <f>'Resultater - Vestdanmark'!E309</f>
        <v>Hektar</v>
      </c>
      <c r="F309" s="98" t="str">
        <f>'Resultater - Vestdanmark'!F309</f>
        <v>Halm</v>
      </c>
      <c r="G309" s="98" t="str">
        <f>'Resultater - Vestdanmark'!G309</f>
        <v>Ton</v>
      </c>
      <c r="H309" s="280" t="e">
        <f>'Resultater - Vestdanmark'!H309+'Resultater - Østdanmark'!H309</f>
        <v>#REF!</v>
      </c>
      <c r="I309" s="281" t="e">
        <f>'Resultater - Vestdanmark'!I309+'Resultater - Østdanmark'!I309</f>
        <v>#REF!</v>
      </c>
      <c r="J309" s="282" t="e">
        <f>'Resultater - Vestdanmark'!J309+'Resultater - Østdanmark'!J309</f>
        <v>#REF!</v>
      </c>
    </row>
    <row r="310" spans="1:10" x14ac:dyDescent="0.25">
      <c r="A310" s="98" t="str">
        <f>'Resultater - Vestdanmark'!A310</f>
        <v>Rapsmark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Areal-raps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80" t="e">
        <f>'Resultater - Vestdanmark'!H310+'Resultater - Østdanmark'!H310</f>
        <v>#REF!</v>
      </c>
      <c r="I310" s="281" t="e">
        <f>'Resultater - Vestdanmark'!I310+'Resultater - Østdanmark'!I310</f>
        <v>#REF!</v>
      </c>
      <c r="J310" s="282" t="e">
        <f>'Resultater - Vestdanmark'!J310+'Resultater - Østdanmark'!J310</f>
        <v>#REF!</v>
      </c>
    </row>
    <row r="311" spans="1:10" x14ac:dyDescent="0.25">
      <c r="A311" s="98" t="str">
        <f>'Resultater - Vestdanmark'!A311</f>
        <v>Rapsmark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Areal-raps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80" t="e">
        <f>'Resultater - Vestdanmark'!H311+'Resultater - Østdanmark'!H311</f>
        <v>#REF!</v>
      </c>
      <c r="I311" s="281" t="e">
        <f>'Resultater - Vestdanmark'!I311+'Resultater - Østdanmark'!I311</f>
        <v>#REF!</v>
      </c>
      <c r="J311" s="282" t="e">
        <f>'Resultater - Vestdanmark'!J311+'Resultater - Østdanmark'!J311</f>
        <v>#REF!</v>
      </c>
    </row>
    <row r="312" spans="1:10" x14ac:dyDescent="0.25">
      <c r="A312" s="98" t="str">
        <f>'Resultater - Vestdanmark'!A312</f>
        <v>Rapsmark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Areal-raps</v>
      </c>
      <c r="E312" s="98" t="str">
        <f>'Resultater - Vestdanmark'!E312</f>
        <v>Hektar</v>
      </c>
      <c r="F312" s="98" t="str">
        <f>'Resultater - Vestdanmark'!F312</f>
        <v>Raps</v>
      </c>
      <c r="G312" s="98" t="str">
        <f>'Resultater - Vestdanmark'!G312</f>
        <v>Ton</v>
      </c>
      <c r="H312" s="280" t="e">
        <f>'Resultater - Vestdanmark'!H312+'Resultater - Østdanmark'!H312</f>
        <v>#REF!</v>
      </c>
      <c r="I312" s="281" t="e">
        <f>'Resultater - Vestdanmark'!I312+'Resultater - Østdanmark'!I312</f>
        <v>#REF!</v>
      </c>
      <c r="J312" s="282" t="e">
        <f>'Resultater - Vestdanmark'!J312+'Resultater - Østdanmark'!J312</f>
        <v>#REF!</v>
      </c>
    </row>
    <row r="313" spans="1:10" x14ac:dyDescent="0.25">
      <c r="A313" s="98" t="str">
        <f>'Resultater - Vestdanmark'!A313</f>
        <v>Rapsmark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Areal-raps</v>
      </c>
      <c r="E313" s="98" t="str">
        <f>'Resultater - Vestdanmark'!E313</f>
        <v>Hektar</v>
      </c>
      <c r="F313" s="98" t="str">
        <f>'Resultater - Vestdanmark'!F313</f>
        <v>Halm</v>
      </c>
      <c r="G313" s="98" t="str">
        <f>'Resultater - Vestdanmark'!G313</f>
        <v>Ton</v>
      </c>
      <c r="H313" s="280" t="e">
        <f>'Resultater - Vestdanmark'!H313+'Resultater - Østdanmark'!H313</f>
        <v>#REF!</v>
      </c>
      <c r="I313" s="281" t="e">
        <f>'Resultater - Vestdanmark'!I313+'Resultater - Østdanmark'!I313</f>
        <v>#REF!</v>
      </c>
      <c r="J313" s="282" t="e">
        <f>'Resultater - Vestdanmark'!J313+'Resultater - Østdanmark'!J313</f>
        <v>#REF!</v>
      </c>
    </row>
    <row r="314" spans="1:10" x14ac:dyDescent="0.25">
      <c r="A314" s="98" t="str">
        <f>'Resultater - Vestdanmark'!A314</f>
        <v>Rapsmark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Areal-raps</v>
      </c>
      <c r="E314" s="98" t="str">
        <f>'Resultater - Vestdanmark'!E314</f>
        <v>Hektar</v>
      </c>
      <c r="F314" s="98" t="str">
        <f>'Resultater - Vestdanmark'!F314</f>
        <v>Gødning</v>
      </c>
      <c r="G314" s="98" t="str">
        <f>'Resultater - Vestdanmark'!G314</f>
        <v>kg N</v>
      </c>
      <c r="H314" s="280" t="e">
        <f>'Resultater - Vestdanmark'!H314+'Resultater - Østdanmark'!H314</f>
        <v>#REF!</v>
      </c>
      <c r="I314" s="281" t="e">
        <f>'Resultater - Vestdanmark'!I314+'Resultater - Østdanmark'!I314</f>
        <v>#REF!</v>
      </c>
      <c r="J314" s="282" t="e">
        <f>'Resultater - Vestdanmark'!J314+'Resultater - Østdanmark'!J314</f>
        <v>#REF!</v>
      </c>
    </row>
    <row r="315" spans="1:10" x14ac:dyDescent="0.25">
      <c r="A315" s="98" t="str">
        <f>'Resultater - Vestdanmark'!A315</f>
        <v>Rapsmark</v>
      </c>
      <c r="B315" s="98" t="str">
        <f>'Resultater - Vestdanmark'!B315</f>
        <v>Økologisk</v>
      </c>
      <c r="C315" s="98" t="str">
        <f>'Resultater - Vestdanmark'!C315</f>
        <v>JB1-10</v>
      </c>
      <c r="D315" s="98" t="str">
        <f>'Resultater - Vestdanmark'!D315</f>
        <v>Areal-raps</v>
      </c>
      <c r="E315" s="98" t="str">
        <f>'Resultater - Vestdanmark'!E315</f>
        <v>Hektar</v>
      </c>
      <c r="F315" s="98" t="str">
        <f>'Resultater - Vestdanmark'!F315</f>
        <v>CO2 - atmosfære</v>
      </c>
      <c r="G315" s="98" t="str">
        <f>'Resultater - Vestdanmark'!G315</f>
        <v>t CO2-ækvivalenter</v>
      </c>
      <c r="H315" s="280" t="e">
        <f>'Resultater - Vestdanmark'!H315+'Resultater - Østdanmark'!H315</f>
        <v>#REF!</v>
      </c>
      <c r="I315" s="281" t="e">
        <f>'Resultater - Vestdanmark'!I315+'Resultater - Østdanmark'!I315</f>
        <v>#REF!</v>
      </c>
      <c r="J315" s="282" t="e">
        <f>'Resultater - Vestdanmark'!J315+'Resultater - Østdanmark'!J315</f>
        <v>#REF!</v>
      </c>
    </row>
    <row r="316" spans="1:10" x14ac:dyDescent="0.25">
      <c r="A316" s="98" t="str">
        <f>'Resultater - Vestdanmark'!A316</f>
        <v>Rapsmark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Areal-raps</v>
      </c>
      <c r="E316" s="98" t="str">
        <f>'Resultater - Vestdanmark'!E316</f>
        <v>Hektar</v>
      </c>
      <c r="F316" s="98" t="str">
        <f>'Resultater - Vestdanmark'!F316</f>
        <v>Raps</v>
      </c>
      <c r="G316" s="98" t="str">
        <f>'Resultater - Vestdanmark'!G316</f>
        <v>Ton</v>
      </c>
      <c r="H316" s="280" t="e">
        <f>'Resultater - Vestdanmark'!H316+'Resultater - Østdanmark'!H316</f>
        <v>#REF!</v>
      </c>
      <c r="I316" s="281" t="e">
        <f>'Resultater - Vestdanmark'!I316+'Resultater - Østdanmark'!I316</f>
        <v>#REF!</v>
      </c>
      <c r="J316" s="282" t="e">
        <f>'Resultater - Vestdanmark'!J316+'Resultater - Østdanmark'!J316</f>
        <v>#REF!</v>
      </c>
    </row>
    <row r="317" spans="1:10" x14ac:dyDescent="0.25">
      <c r="A317" s="98" t="str">
        <f>'Resultater - Vestdanmark'!A317</f>
        <v>Rapsmark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Areal-raps</v>
      </c>
      <c r="E317" s="98" t="str">
        <f>'Resultater - Vestdanmark'!E317</f>
        <v>Hektar</v>
      </c>
      <c r="F317" s="98" t="str">
        <f>'Resultater - Vestdanmark'!F317</f>
        <v>Halm</v>
      </c>
      <c r="G317" s="98" t="str">
        <f>'Resultater - Vestdanmark'!G317</f>
        <v>Ton</v>
      </c>
      <c r="H317" s="280" t="e">
        <f>'Resultater - Vestdanmark'!H317+'Resultater - Østdanmark'!H317</f>
        <v>#REF!</v>
      </c>
      <c r="I317" s="281" t="e">
        <f>'Resultater - Vestdanmark'!I317+'Resultater - Østdanmark'!I317</f>
        <v>#REF!</v>
      </c>
      <c r="J317" s="282" t="e">
        <f>'Resultater - Vestdanmark'!J317+'Resultater - Østdanmark'!J317</f>
        <v>#REF!</v>
      </c>
    </row>
    <row r="318" spans="1:10" x14ac:dyDescent="0.25">
      <c r="A318" s="98" t="str">
        <f>'Resultater - Vestdanmark'!A318</f>
        <v>Rapsmark</v>
      </c>
      <c r="B318" s="98" t="str">
        <f>'Resultater - Vestdanmark'!B318</f>
        <v>Økologisk</v>
      </c>
      <c r="C318" s="98" t="str">
        <f>'Resultater - Vestdanmark'!C318</f>
        <v>OC6</v>
      </c>
      <c r="D318" s="98" t="str">
        <f>'Resultater - Vestdanmark'!D318</f>
        <v>Areal-raps</v>
      </c>
      <c r="E318" s="98" t="str">
        <f>'Resultater - Vestdanmark'!E318</f>
        <v>Hektar</v>
      </c>
      <c r="F318" s="98" t="str">
        <f>'Resultater - Vestdanmark'!F318</f>
        <v>Gødning</v>
      </c>
      <c r="G318" s="98" t="str">
        <f>'Resultater - Vestdanmark'!G318</f>
        <v>kg N</v>
      </c>
      <c r="H318" s="280" t="e">
        <f>'Resultater - Vestdanmark'!H318+'Resultater - Østdanmark'!H318</f>
        <v>#REF!</v>
      </c>
      <c r="I318" s="281" t="e">
        <f>'Resultater - Vestdanmark'!I318+'Resultater - Østdanmark'!I318</f>
        <v>#REF!</v>
      </c>
      <c r="J318" s="282" t="e">
        <f>'Resultater - Vestdanmark'!J318+'Resultater - Østdanmark'!J318</f>
        <v>#REF!</v>
      </c>
    </row>
    <row r="319" spans="1:10" x14ac:dyDescent="0.25">
      <c r="A319" s="98" t="str">
        <f>'Resultater - Vestdanmark'!A319</f>
        <v>Rapsmark</v>
      </c>
      <c r="B319" s="98" t="str">
        <f>'Resultater - Vestdanmark'!B319</f>
        <v>Økologisk</v>
      </c>
      <c r="C319" s="98" t="str">
        <f>'Resultater - Vestdanmark'!C319</f>
        <v>OC6</v>
      </c>
      <c r="D319" s="98" t="str">
        <f>'Resultater - Vestdanmark'!D319</f>
        <v>Areal-raps</v>
      </c>
      <c r="E319" s="98" t="str">
        <f>'Resultater - Vestdanmark'!E319</f>
        <v>Hektar</v>
      </c>
      <c r="F319" s="98" t="str">
        <f>'Resultater - Vestdanmark'!F319</f>
        <v>CO2 - atmosfære</v>
      </c>
      <c r="G319" s="98" t="str">
        <f>'Resultater - Vestdanmark'!G319</f>
        <v>t CO2-ækvivalenter</v>
      </c>
      <c r="H319" s="280" t="e">
        <f>'Resultater - Vestdanmark'!H319+'Resultater - Østdanmark'!H319</f>
        <v>#REF!</v>
      </c>
      <c r="I319" s="281" t="e">
        <f>'Resultater - Vestdanmark'!I319+'Resultater - Østdanmark'!I319</f>
        <v>#REF!</v>
      </c>
      <c r="J319" s="282" t="e">
        <f>'Resultater - Vestdanmark'!J319+'Resultater - Østdanmark'!J319</f>
        <v>#REF!</v>
      </c>
    </row>
    <row r="320" spans="1:10" x14ac:dyDescent="0.25">
      <c r="A320" s="98" t="str">
        <f>'Resultater - Vestdanmark'!A320</f>
        <v>Rapsmark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Areal-raps</v>
      </c>
      <c r="E320" s="98" t="str">
        <f>'Resultater - Vestdanmark'!E320</f>
        <v>Hektar</v>
      </c>
      <c r="F320" s="98" t="str">
        <f>'Resultater - Vestdanmark'!F320</f>
        <v>Raps</v>
      </c>
      <c r="G320" s="98" t="str">
        <f>'Resultater - Vestdanmark'!G320</f>
        <v>Ton</v>
      </c>
      <c r="H320" s="280" t="e">
        <f>'Resultater - Vestdanmark'!H320+'Resultater - Østdanmark'!H320</f>
        <v>#REF!</v>
      </c>
      <c r="I320" s="281" t="e">
        <f>'Resultater - Vestdanmark'!I320+'Resultater - Østdanmark'!I320</f>
        <v>#REF!</v>
      </c>
      <c r="J320" s="282" t="e">
        <f>'Resultater - Vestdanmark'!J320+'Resultater - Østdanmark'!J320</f>
        <v>#REF!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Økologisk</v>
      </c>
      <c r="C321" s="98" t="str">
        <f>'Resultater - Vestdanmark'!C321</f>
        <v>OC12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Halm</v>
      </c>
      <c r="G321" s="98" t="str">
        <f>'Resultater - Vestdanmark'!G321</f>
        <v>Ton</v>
      </c>
      <c r="H321" s="280" t="e">
        <f>'Resultater - Vestdanmark'!H321+'Resultater - Østdanmark'!H321</f>
        <v>#REF!</v>
      </c>
      <c r="I321" s="281" t="e">
        <f>'Resultater - Vestdanmark'!I321+'Resultater - Østdanmark'!I321</f>
        <v>#REF!</v>
      </c>
      <c r="J321" s="282" t="e">
        <f>'Resultater - Vestdanmark'!J321+'Resultater - Østdanmark'!J321</f>
        <v>#REF!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Økologisk</v>
      </c>
      <c r="C322" s="98" t="str">
        <f>'Resultater - Vestdanmark'!C322</f>
        <v>OC12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Gødning</v>
      </c>
      <c r="G322" s="98" t="str">
        <f>'Resultater - Vestdanmark'!G322</f>
        <v>kg N</v>
      </c>
      <c r="H322" s="280" t="e">
        <f>'Resultater - Vestdanmark'!H322+'Resultater - Østdanmark'!H322</f>
        <v>#REF!</v>
      </c>
      <c r="I322" s="281" t="e">
        <f>'Resultater - Vestdanmark'!I322+'Resultater - Østdanmark'!I322</f>
        <v>#REF!</v>
      </c>
      <c r="J322" s="282" t="e">
        <f>'Resultater - Vestdanmark'!J322+'Resultater - Østdanmark'!J322</f>
        <v>#REF!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Økologisk</v>
      </c>
      <c r="C323" s="98" t="str">
        <f>'Resultater - Vestdanmark'!C323</f>
        <v>OC12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CO2 - atmosfære</v>
      </c>
      <c r="G323" s="98" t="str">
        <f>'Resultater - Vestdanmark'!G323</f>
        <v>t CO2-ækvivalenter</v>
      </c>
      <c r="H323" s="280" t="e">
        <f>'Resultater - Vestdanmark'!H323+'Resultater - Østdanmark'!H323</f>
        <v>#REF!</v>
      </c>
      <c r="I323" s="281" t="e">
        <f>'Resultater - Vestdanmark'!I323+'Resultater - Østdanmark'!I323</f>
        <v>#REF!</v>
      </c>
      <c r="J323" s="282" t="e">
        <f>'Resultater - Vestdanmark'!J323+'Resultater - Østdanmark'!J323</f>
        <v>#REF!</v>
      </c>
    </row>
    <row r="324" spans="1:10" x14ac:dyDescent="0.25">
      <c r="A324" s="98" t="str">
        <f>'Resultater - Vestdanmark'!A324</f>
        <v>Frøgræsmark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Areal-frøgræs</v>
      </c>
      <c r="E324" s="98" t="str">
        <f>'Resultater - Vestdanmark'!E324</f>
        <v>Hektar</v>
      </c>
      <c r="F324" s="98" t="str">
        <f>'Resultater - Vestdanmark'!F324</f>
        <v>Frø</v>
      </c>
      <c r="G324" s="98" t="str">
        <f>'Resultater - Vestdanmark'!G324</f>
        <v>Ton</v>
      </c>
      <c r="H324" s="280" t="e">
        <f>'Resultater - Vestdanmark'!H324+'Resultater - Østdanmark'!H324</f>
        <v>#REF!</v>
      </c>
      <c r="I324" s="281" t="e">
        <f>'Resultater - Vestdanmark'!I324+'Resultater - Østdanmark'!I324</f>
        <v>#REF!</v>
      </c>
      <c r="J324" s="282" t="e">
        <f>'Resultater - Vestdanmark'!J324+'Resultater - Østdanmark'!J324</f>
        <v>#REF!</v>
      </c>
    </row>
    <row r="325" spans="1:10" x14ac:dyDescent="0.25">
      <c r="A325" s="98" t="str">
        <f>'Resultater - Vestdanmark'!A325</f>
        <v>Frøgræsmark</v>
      </c>
      <c r="B325" s="98" t="str">
        <f>'Resultater - Vestdanmark'!B325</f>
        <v>Konventionel</v>
      </c>
      <c r="C325" s="98" t="str">
        <f>'Resultater - Vestdanmark'!C325</f>
        <v>JB1-10</v>
      </c>
      <c r="D325" s="98" t="str">
        <f>'Resultater - Vestdanmark'!D325</f>
        <v>Areal-frøgræs</v>
      </c>
      <c r="E325" s="98" t="str">
        <f>'Resultater - Vestdanmark'!E325</f>
        <v>Hektar</v>
      </c>
      <c r="F325" s="98" t="str">
        <f>'Resultater - Vestdanmark'!F325</f>
        <v>Halm</v>
      </c>
      <c r="G325" s="98" t="str">
        <f>'Resultater - Vestdanmark'!G325</f>
        <v>Ton</v>
      </c>
      <c r="H325" s="280" t="e">
        <f>'Resultater - Vestdanmark'!H325+'Resultater - Østdanmark'!H325</f>
        <v>#REF!</v>
      </c>
      <c r="I325" s="281" t="e">
        <f>'Resultater - Vestdanmark'!I325+'Resultater - Østdanmark'!I325</f>
        <v>#REF!</v>
      </c>
      <c r="J325" s="282" t="e">
        <f>'Resultater - Vestdanmark'!J325+'Resultater - Østdanmark'!J325</f>
        <v>#REF!</v>
      </c>
    </row>
    <row r="326" spans="1:10" x14ac:dyDescent="0.25">
      <c r="A326" s="98" t="str">
        <f>'Resultater - Vestdanmark'!A326</f>
        <v>Frøgræsmark</v>
      </c>
      <c r="B326" s="98" t="str">
        <f>'Resultater - Vestdanmark'!B326</f>
        <v>Konventionel</v>
      </c>
      <c r="C326" s="98" t="str">
        <f>'Resultater - Vestdanmark'!C326</f>
        <v>JB1-10</v>
      </c>
      <c r="D326" s="98" t="str">
        <f>'Resultater - Vestdanmark'!D326</f>
        <v>Areal-frøgræs</v>
      </c>
      <c r="E326" s="98" t="str">
        <f>'Resultater - Vestdanmark'!E326</f>
        <v>Hektar</v>
      </c>
      <c r="F326" s="98" t="str">
        <f>'Resultater - Vestdanmark'!F326</f>
        <v>Gødning</v>
      </c>
      <c r="G326" s="98" t="str">
        <f>'Resultater - Vestdanmark'!G326</f>
        <v>kg N</v>
      </c>
      <c r="H326" s="280" t="e">
        <f>'Resultater - Vestdanmark'!H326+'Resultater - Østdanmark'!H326</f>
        <v>#REF!</v>
      </c>
      <c r="I326" s="281" t="e">
        <f>'Resultater - Vestdanmark'!I326+'Resultater - Østdanmark'!I326</f>
        <v>#REF!</v>
      </c>
      <c r="J326" s="282" t="e">
        <f>'Resultater - Vestdanmark'!J326+'Resultater - Østdanmark'!J326</f>
        <v>#REF!</v>
      </c>
    </row>
    <row r="327" spans="1:10" x14ac:dyDescent="0.25">
      <c r="A327" s="98" t="str">
        <f>'Resultater - Vestdanmark'!A327</f>
        <v>Frøgræsmark</v>
      </c>
      <c r="B327" s="98" t="str">
        <f>'Resultater - Vestdanmark'!B327</f>
        <v>Konventionel</v>
      </c>
      <c r="C327" s="98" t="str">
        <f>'Resultater - Vestdanmark'!C327</f>
        <v>JB1-10</v>
      </c>
      <c r="D327" s="98" t="str">
        <f>'Resultater - Vestdanmark'!D327</f>
        <v>Areal-frøgræs</v>
      </c>
      <c r="E327" s="98" t="str">
        <f>'Resultater - Vestdanmark'!E327</f>
        <v>Hektar</v>
      </c>
      <c r="F327" s="98" t="str">
        <f>'Resultater - Vestdanmark'!F327</f>
        <v>CO2 - atmosfære</v>
      </c>
      <c r="G327" s="98" t="str">
        <f>'Resultater - Vestdanmark'!G327</f>
        <v>t CO2-ækvivalenter</v>
      </c>
      <c r="H327" s="280" t="e">
        <f>'Resultater - Vestdanmark'!H327+'Resultater - Østdanmark'!H327</f>
        <v>#REF!</v>
      </c>
      <c r="I327" s="281" t="e">
        <f>'Resultater - Vestdanmark'!I327+'Resultater - Østdanmark'!I327</f>
        <v>#REF!</v>
      </c>
      <c r="J327" s="282" t="e">
        <f>'Resultater - Vestdanmark'!J327+'Resultater - Østdanmark'!J327</f>
        <v>#REF!</v>
      </c>
    </row>
    <row r="328" spans="1:10" x14ac:dyDescent="0.25">
      <c r="A328" s="98" t="str">
        <f>'Resultater - Vestdanmark'!A328</f>
        <v>Frøgræsmark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Areal-frøgræs</v>
      </c>
      <c r="E328" s="98" t="str">
        <f>'Resultater - Vestdanmark'!E328</f>
        <v>Hektar</v>
      </c>
      <c r="F328" s="98" t="str">
        <f>'Resultater - Vestdanmark'!F328</f>
        <v>Frø</v>
      </c>
      <c r="G328" s="98" t="str">
        <f>'Resultater - Vestdanmark'!G328</f>
        <v>Ton</v>
      </c>
      <c r="H328" s="280" t="e">
        <f>'Resultater - Vestdanmark'!H328+'Resultater - Østdanmark'!H328</f>
        <v>#REF!</v>
      </c>
      <c r="I328" s="281" t="e">
        <f>'Resultater - Vestdanmark'!I328+'Resultater - Østdanmark'!I328</f>
        <v>#REF!</v>
      </c>
      <c r="J328" s="282" t="e">
        <f>'Resultater - Vestdanmark'!J328+'Resultater - Østdanmark'!J328</f>
        <v>#REF!</v>
      </c>
    </row>
    <row r="329" spans="1:10" x14ac:dyDescent="0.25">
      <c r="A329" s="98" t="str">
        <f>'Resultater - Vestdanmark'!A329</f>
        <v>Frøgræsmark</v>
      </c>
      <c r="B329" s="98" t="str">
        <f>'Resultater - Vestdanmark'!B329</f>
        <v>Konventionel</v>
      </c>
      <c r="C329" s="98" t="str">
        <f>'Resultater - Vestdanmark'!C329</f>
        <v>OC6</v>
      </c>
      <c r="D329" s="98" t="str">
        <f>'Resultater - Vestdanmark'!D329</f>
        <v>Areal-frøgræs</v>
      </c>
      <c r="E329" s="98" t="str">
        <f>'Resultater - Vestdanmark'!E329</f>
        <v>Hektar</v>
      </c>
      <c r="F329" s="98" t="str">
        <f>'Resultater - Vestdanmark'!F329</f>
        <v>Halm</v>
      </c>
      <c r="G329" s="98" t="str">
        <f>'Resultater - Vestdanmark'!G329</f>
        <v>Ton</v>
      </c>
      <c r="H329" s="280" t="e">
        <f>'Resultater - Vestdanmark'!H329+'Resultater - Østdanmark'!H329</f>
        <v>#REF!</v>
      </c>
      <c r="I329" s="281" t="e">
        <f>'Resultater - Vestdanmark'!I329+'Resultater - Østdanmark'!I329</f>
        <v>#REF!</v>
      </c>
      <c r="J329" s="282" t="e">
        <f>'Resultater - Vestdanmark'!J329+'Resultater - Østdanmark'!J329</f>
        <v>#REF!</v>
      </c>
    </row>
    <row r="330" spans="1:10" x14ac:dyDescent="0.25">
      <c r="A330" s="98" t="str">
        <f>'Resultater - Vestdanmark'!A330</f>
        <v>Frøgræsmark</v>
      </c>
      <c r="B330" s="98" t="str">
        <f>'Resultater - Vestdanmark'!B330</f>
        <v>Konventionel</v>
      </c>
      <c r="C330" s="98" t="str">
        <f>'Resultater - Vestdanmark'!C330</f>
        <v>OC6</v>
      </c>
      <c r="D330" s="98" t="str">
        <f>'Resultater - Vestdanmark'!D330</f>
        <v>Areal-frøgræs</v>
      </c>
      <c r="E330" s="98" t="str">
        <f>'Resultater - Vestdanmark'!E330</f>
        <v>Hektar</v>
      </c>
      <c r="F330" s="98" t="str">
        <f>'Resultater - Vestdanmark'!F330</f>
        <v>Gødning</v>
      </c>
      <c r="G330" s="98" t="str">
        <f>'Resultater - Vestdanmark'!G330</f>
        <v>kg N</v>
      </c>
      <c r="H330" s="280" t="e">
        <f>'Resultater - Vestdanmark'!H330+'Resultater - Østdanmark'!H330</f>
        <v>#REF!</v>
      </c>
      <c r="I330" s="281" t="e">
        <f>'Resultater - Vestdanmark'!I330+'Resultater - Østdanmark'!I330</f>
        <v>#REF!</v>
      </c>
      <c r="J330" s="282" t="e">
        <f>'Resultater - Vestdanmark'!J330+'Resultater - Østdanmark'!J330</f>
        <v>#REF!</v>
      </c>
    </row>
    <row r="331" spans="1:10" x14ac:dyDescent="0.25">
      <c r="A331" s="98" t="str">
        <f>'Resultater - Vestdanmark'!A331</f>
        <v>Frøgræsmark</v>
      </c>
      <c r="B331" s="98" t="str">
        <f>'Resultater - Vestdanmark'!B331</f>
        <v>Konventionel</v>
      </c>
      <c r="C331" s="98" t="str">
        <f>'Resultater - Vestdanmark'!C331</f>
        <v>OC6</v>
      </c>
      <c r="D331" s="98" t="str">
        <f>'Resultater - Vestdanmark'!D331</f>
        <v>Areal-frøgræs</v>
      </c>
      <c r="E331" s="98" t="str">
        <f>'Resultater - Vestdanmark'!E331</f>
        <v>Hektar</v>
      </c>
      <c r="F331" s="98" t="str">
        <f>'Resultater - Vestdanmark'!F331</f>
        <v>CO2 - atmosfære</v>
      </c>
      <c r="G331" s="98" t="str">
        <f>'Resultater - Vestdanmark'!G331</f>
        <v>t CO2-ækvivalenter</v>
      </c>
      <c r="H331" s="280" t="e">
        <f>'Resultater - Vestdanmark'!H331+'Resultater - Østdanmark'!H331</f>
        <v>#REF!</v>
      </c>
      <c r="I331" s="281" t="e">
        <f>'Resultater - Vestdanmark'!I331+'Resultater - Østdanmark'!I331</f>
        <v>#REF!</v>
      </c>
      <c r="J331" s="282" t="e">
        <f>'Resultater - Vestdanmark'!J331+'Resultater - Østdanmark'!J331</f>
        <v>#REF!</v>
      </c>
    </row>
    <row r="332" spans="1:10" x14ac:dyDescent="0.25">
      <c r="A332" s="98" t="str">
        <f>'Resultater - Vestdanmark'!A332</f>
        <v>Frøgræsmark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Areal-frøgræs</v>
      </c>
      <c r="E332" s="98" t="str">
        <f>'Resultater - Vestdanmark'!E332</f>
        <v>Hektar</v>
      </c>
      <c r="F332" s="98" t="str">
        <f>'Resultater - Vestdanmark'!F332</f>
        <v>Frø</v>
      </c>
      <c r="G332" s="98" t="str">
        <f>'Resultater - Vestdanmark'!G332</f>
        <v>Ton</v>
      </c>
      <c r="H332" s="280" t="e">
        <f>'Resultater - Vestdanmark'!H332+'Resultater - Østdanmark'!H332</f>
        <v>#REF!</v>
      </c>
      <c r="I332" s="281" t="e">
        <f>'Resultater - Vestdanmark'!I332+'Resultater - Østdanmark'!I332</f>
        <v>#REF!</v>
      </c>
      <c r="J332" s="282" t="e">
        <f>'Resultater - Vestdanmark'!J332+'Resultater - Østdanmark'!J332</f>
        <v>#REF!</v>
      </c>
    </row>
    <row r="333" spans="1:10" x14ac:dyDescent="0.25">
      <c r="A333" s="98" t="str">
        <f>'Resultater - Vestdanmark'!A333</f>
        <v>Frøgræsmark</v>
      </c>
      <c r="B333" s="98" t="str">
        <f>'Resultater - Vestdanmark'!B333</f>
        <v>Konventionel</v>
      </c>
      <c r="C333" s="98" t="str">
        <f>'Resultater - Vestdanmark'!C333</f>
        <v>OC12</v>
      </c>
      <c r="D333" s="98" t="str">
        <f>'Resultater - Vestdanmark'!D333</f>
        <v>Areal-frøgræs</v>
      </c>
      <c r="E333" s="98" t="str">
        <f>'Resultater - Vestdanmark'!E333</f>
        <v>Hektar</v>
      </c>
      <c r="F333" s="98" t="str">
        <f>'Resultater - Vestdanmark'!F333</f>
        <v>Halm</v>
      </c>
      <c r="G333" s="98" t="str">
        <f>'Resultater - Vestdanmark'!G333</f>
        <v>Ton</v>
      </c>
      <c r="H333" s="280" t="e">
        <f>'Resultater - Vestdanmark'!H333+'Resultater - Østdanmark'!H333</f>
        <v>#REF!</v>
      </c>
      <c r="I333" s="281" t="e">
        <f>'Resultater - Vestdanmark'!I333+'Resultater - Østdanmark'!I333</f>
        <v>#REF!</v>
      </c>
      <c r="J333" s="282" t="e">
        <f>'Resultater - Vestdanmark'!J333+'Resultater - Østdanmark'!J333</f>
        <v>#REF!</v>
      </c>
    </row>
    <row r="334" spans="1:10" x14ac:dyDescent="0.25">
      <c r="A334" s="98" t="str">
        <f>'Resultater - Vestdanmark'!A334</f>
        <v>Frøgræsmark</v>
      </c>
      <c r="B334" s="98" t="str">
        <f>'Resultater - Vestdanmark'!B334</f>
        <v>Konventionel</v>
      </c>
      <c r="C334" s="98" t="str">
        <f>'Resultater - Vestdanmark'!C334</f>
        <v>OC12</v>
      </c>
      <c r="D334" s="98" t="str">
        <f>'Resultater - Vestdanmark'!D334</f>
        <v>Areal-frøgræs</v>
      </c>
      <c r="E334" s="98" t="str">
        <f>'Resultater - Vestdanmark'!E334</f>
        <v>Hektar</v>
      </c>
      <c r="F334" s="98" t="str">
        <f>'Resultater - Vestdanmark'!F334</f>
        <v>Gødning</v>
      </c>
      <c r="G334" s="98" t="str">
        <f>'Resultater - Vestdanmark'!G334</f>
        <v>kg N</v>
      </c>
      <c r="H334" s="280" t="e">
        <f>'Resultater - Vestdanmark'!H334+'Resultater - Østdanmark'!H334</f>
        <v>#REF!</v>
      </c>
      <c r="I334" s="281" t="e">
        <f>'Resultater - Vestdanmark'!I334+'Resultater - Østdanmark'!I334</f>
        <v>#REF!</v>
      </c>
      <c r="J334" s="282" t="e">
        <f>'Resultater - Vestdanmark'!J334+'Resultater - Østdanmark'!J334</f>
        <v>#REF!</v>
      </c>
    </row>
    <row r="335" spans="1:10" x14ac:dyDescent="0.25">
      <c r="A335" s="98" t="str">
        <f>'Resultater - Vestdanmark'!A335</f>
        <v>Frøgræsmark</v>
      </c>
      <c r="B335" s="98" t="str">
        <f>'Resultater - Vestdanmark'!B335</f>
        <v>Konventionel</v>
      </c>
      <c r="C335" s="98" t="str">
        <f>'Resultater - Vestdanmark'!C335</f>
        <v>OC12</v>
      </c>
      <c r="D335" s="98" t="str">
        <f>'Resultater - Vestdanmark'!D335</f>
        <v>Areal-frøgræs</v>
      </c>
      <c r="E335" s="98" t="str">
        <f>'Resultater - Vestdanmark'!E335</f>
        <v>Hektar</v>
      </c>
      <c r="F335" s="98" t="str">
        <f>'Resultater - Vestdanmark'!F335</f>
        <v>CO2 - atmosfære</v>
      </c>
      <c r="G335" s="98" t="str">
        <f>'Resultater - Vestdanmark'!G335</f>
        <v>t CO2-ækvivalenter</v>
      </c>
      <c r="H335" s="280" t="e">
        <f>'Resultater - Vestdanmark'!H335+'Resultater - Østdanmark'!H335</f>
        <v>#REF!</v>
      </c>
      <c r="I335" s="281" t="e">
        <f>'Resultater - Vestdanmark'!I335+'Resultater - Østdanmark'!I335</f>
        <v>#REF!</v>
      </c>
      <c r="J335" s="282" t="e">
        <f>'Resultater - Vestdanmark'!J335+'Resultater - Østdanmark'!J335</f>
        <v>#REF!</v>
      </c>
    </row>
    <row r="336" spans="1:10" x14ac:dyDescent="0.25">
      <c r="A336" s="98" t="str">
        <f>'Resultater - Vestdanmark'!A336</f>
        <v>Frøgræsmark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Areal-frøgræs</v>
      </c>
      <c r="E336" s="98" t="str">
        <f>'Resultater - Vestdanmark'!E336</f>
        <v>Hektar</v>
      </c>
      <c r="F336" s="98" t="str">
        <f>'Resultater - Vestdanmark'!F336</f>
        <v>Frø</v>
      </c>
      <c r="G336" s="98" t="str">
        <f>'Resultater - Vestdanmark'!G336</f>
        <v>Ton</v>
      </c>
      <c r="H336" s="280" t="e">
        <f>'Resultater - Vestdanmark'!H336+'Resultater - Østdanmark'!H336</f>
        <v>#REF!</v>
      </c>
      <c r="I336" s="281" t="e">
        <f>'Resultater - Vestdanmark'!I336+'Resultater - Østdanmark'!I336</f>
        <v>#REF!</v>
      </c>
      <c r="J336" s="282" t="e">
        <f>'Resultater - Vestdanmark'!J336+'Resultater - Østdanmark'!J336</f>
        <v>#REF!</v>
      </c>
    </row>
    <row r="337" spans="1:10" x14ac:dyDescent="0.25">
      <c r="A337" s="98" t="str">
        <f>'Resultater - Vestdanmark'!A337</f>
        <v>Frøgræsmark</v>
      </c>
      <c r="B337" s="98" t="str">
        <f>'Resultater - Vestdanmark'!B337</f>
        <v>Økologisk</v>
      </c>
      <c r="C337" s="98" t="str">
        <f>'Resultater - Vestdanmark'!C337</f>
        <v>JB1-10</v>
      </c>
      <c r="D337" s="98" t="str">
        <f>'Resultater - Vestdanmark'!D337</f>
        <v>Areal-frøgræs</v>
      </c>
      <c r="E337" s="98" t="str">
        <f>'Resultater - Vestdanmark'!E337</f>
        <v>Hektar</v>
      </c>
      <c r="F337" s="98" t="str">
        <f>'Resultater - Vestdanmark'!F337</f>
        <v>Halm</v>
      </c>
      <c r="G337" s="98" t="str">
        <f>'Resultater - Vestdanmark'!G337</f>
        <v>Ton</v>
      </c>
      <c r="H337" s="280" t="e">
        <f>'Resultater - Vestdanmark'!H337+'Resultater - Østdanmark'!H337</f>
        <v>#REF!</v>
      </c>
      <c r="I337" s="281" t="e">
        <f>'Resultater - Vestdanmark'!I337+'Resultater - Østdanmark'!I337</f>
        <v>#REF!</v>
      </c>
      <c r="J337" s="282" t="e">
        <f>'Resultater - Vestdanmark'!J337+'Resultater - Østdanmark'!J337</f>
        <v>#REF!</v>
      </c>
    </row>
    <row r="338" spans="1:10" x14ac:dyDescent="0.25">
      <c r="A338" s="98" t="str">
        <f>'Resultater - Vestdanmark'!A338</f>
        <v>Frøgræsmark</v>
      </c>
      <c r="B338" s="98" t="str">
        <f>'Resultater - Vestdanmark'!B338</f>
        <v>Økologisk</v>
      </c>
      <c r="C338" s="98" t="str">
        <f>'Resultater - Vestdanmark'!C338</f>
        <v>JB1-10</v>
      </c>
      <c r="D338" s="98" t="str">
        <f>'Resultater - Vestdanmark'!D338</f>
        <v>Areal-frøgræs</v>
      </c>
      <c r="E338" s="98" t="str">
        <f>'Resultater - Vestdanmark'!E338</f>
        <v>Hektar</v>
      </c>
      <c r="F338" s="98" t="str">
        <f>'Resultater - Vestdanmark'!F338</f>
        <v>Gødning</v>
      </c>
      <c r="G338" s="98" t="str">
        <f>'Resultater - Vestdanmark'!G338</f>
        <v>kg N</v>
      </c>
      <c r="H338" s="280" t="e">
        <f>'Resultater - Vestdanmark'!H338+'Resultater - Østdanmark'!H338</f>
        <v>#REF!</v>
      </c>
      <c r="I338" s="281" t="e">
        <f>'Resultater - Vestdanmark'!I338+'Resultater - Østdanmark'!I338</f>
        <v>#REF!</v>
      </c>
      <c r="J338" s="282" t="e">
        <f>'Resultater - Vestdanmark'!J338+'Resultater - Østdanmark'!J338</f>
        <v>#REF!</v>
      </c>
    </row>
    <row r="339" spans="1:10" x14ac:dyDescent="0.25">
      <c r="A339" s="98" t="str">
        <f>'Resultater - Vestdanmark'!A339</f>
        <v>Frøgræsmark</v>
      </c>
      <c r="B339" s="98" t="str">
        <f>'Resultater - Vestdanmark'!B339</f>
        <v>Økologisk</v>
      </c>
      <c r="C339" s="98" t="str">
        <f>'Resultater - Vestdanmark'!C339</f>
        <v>JB1-10</v>
      </c>
      <c r="D339" s="98" t="str">
        <f>'Resultater - Vestdanmark'!D339</f>
        <v>Areal-frøgræs</v>
      </c>
      <c r="E339" s="98" t="str">
        <f>'Resultater - Vestdanmark'!E339</f>
        <v>Hektar</v>
      </c>
      <c r="F339" s="98" t="str">
        <f>'Resultater - Vestdanmark'!F339</f>
        <v>CO2 - atmosfære</v>
      </c>
      <c r="G339" s="98" t="str">
        <f>'Resultater - Vestdanmark'!G339</f>
        <v>t CO2-ækvivalenter</v>
      </c>
      <c r="H339" s="280" t="e">
        <f>'Resultater - Vestdanmark'!H339+'Resultater - Østdanmark'!H339</f>
        <v>#REF!</v>
      </c>
      <c r="I339" s="281" t="e">
        <f>'Resultater - Vestdanmark'!I339+'Resultater - Østdanmark'!I339</f>
        <v>#REF!</v>
      </c>
      <c r="J339" s="282" t="e">
        <f>'Resultater - Vestdanmark'!J339+'Resultater - Østdanmark'!J339</f>
        <v>#REF!</v>
      </c>
    </row>
    <row r="340" spans="1:10" x14ac:dyDescent="0.25">
      <c r="A340" s="98" t="str">
        <f>'Resultater - Vestdanmark'!A340</f>
        <v>Frøgræsmark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Areal-frøgræs</v>
      </c>
      <c r="E340" s="98" t="str">
        <f>'Resultater - Vestdanmark'!E340</f>
        <v>Hektar</v>
      </c>
      <c r="F340" s="98" t="str">
        <f>'Resultater - Vestdanmark'!F340</f>
        <v>Frø</v>
      </c>
      <c r="G340" s="98" t="str">
        <f>'Resultater - Vestdanmark'!G340</f>
        <v>Ton</v>
      </c>
      <c r="H340" s="280" t="e">
        <f>'Resultater - Vestdanmark'!H340+'Resultater - Østdanmark'!H340</f>
        <v>#REF!</v>
      </c>
      <c r="I340" s="281" t="e">
        <f>'Resultater - Vestdanmark'!I340+'Resultater - Østdanmark'!I340</f>
        <v>#REF!</v>
      </c>
      <c r="J340" s="282" t="e">
        <f>'Resultater - Vestdanmark'!J340+'Resultater - Østdanmark'!J340</f>
        <v>#REF!</v>
      </c>
    </row>
    <row r="341" spans="1:10" x14ac:dyDescent="0.25">
      <c r="A341" s="98" t="str">
        <f>'Resultater - Vestdanmark'!A341</f>
        <v>Frøgræsmark</v>
      </c>
      <c r="B341" s="98" t="str">
        <f>'Resultater - Vestdanmark'!B341</f>
        <v>Økologisk</v>
      </c>
      <c r="C341" s="98" t="str">
        <f>'Resultater - Vestdanmark'!C341</f>
        <v>OC6</v>
      </c>
      <c r="D341" s="98" t="str">
        <f>'Resultater - Vestdanmark'!D341</f>
        <v>Areal-frøgræs</v>
      </c>
      <c r="E341" s="98" t="str">
        <f>'Resultater - Vestdanmark'!E341</f>
        <v>Hektar</v>
      </c>
      <c r="F341" s="98" t="str">
        <f>'Resultater - Vestdanmark'!F341</f>
        <v>Halm</v>
      </c>
      <c r="G341" s="98" t="str">
        <f>'Resultater - Vestdanmark'!G341</f>
        <v>Ton</v>
      </c>
      <c r="H341" s="280" t="e">
        <f>'Resultater - Vestdanmark'!H341+'Resultater - Østdanmark'!H341</f>
        <v>#REF!</v>
      </c>
      <c r="I341" s="281" t="e">
        <f>'Resultater - Vestdanmark'!I341+'Resultater - Østdanmark'!I341</f>
        <v>#REF!</v>
      </c>
      <c r="J341" s="282" t="e">
        <f>'Resultater - Vestdanmark'!J341+'Resultater - Østdanmark'!J341</f>
        <v>#REF!</v>
      </c>
    </row>
    <row r="342" spans="1:10" x14ac:dyDescent="0.25">
      <c r="A342" s="98" t="str">
        <f>'Resultater - Vestdanmark'!A342</f>
        <v>Frøgræsmark</v>
      </c>
      <c r="B342" s="98" t="str">
        <f>'Resultater - Vestdanmark'!B342</f>
        <v>Økologisk</v>
      </c>
      <c r="C342" s="98" t="str">
        <f>'Resultater - Vestdanmark'!C342</f>
        <v>OC6</v>
      </c>
      <c r="D342" s="98" t="str">
        <f>'Resultater - Vestdanmark'!D342</f>
        <v>Areal-frøgræs</v>
      </c>
      <c r="E342" s="98" t="str">
        <f>'Resultater - Vestdanmark'!E342</f>
        <v>Hektar</v>
      </c>
      <c r="F342" s="98" t="str">
        <f>'Resultater - Vestdanmark'!F342</f>
        <v>Gødning</v>
      </c>
      <c r="G342" s="98" t="str">
        <f>'Resultater - Vestdanmark'!G342</f>
        <v>kg N</v>
      </c>
      <c r="H342" s="280" t="e">
        <f>'Resultater - Vestdanmark'!H342+'Resultater - Østdanmark'!H342</f>
        <v>#REF!</v>
      </c>
      <c r="I342" s="281" t="e">
        <f>'Resultater - Vestdanmark'!I342+'Resultater - Østdanmark'!I342</f>
        <v>#REF!</v>
      </c>
      <c r="J342" s="282" t="e">
        <f>'Resultater - Vestdanmark'!J342+'Resultater - Østdanmark'!J342</f>
        <v>#REF!</v>
      </c>
    </row>
    <row r="343" spans="1:10" x14ac:dyDescent="0.25">
      <c r="A343" s="98" t="str">
        <f>'Resultater - Vestdanmark'!A343</f>
        <v>Frøgræsmark</v>
      </c>
      <c r="B343" s="98" t="str">
        <f>'Resultater - Vestdanmark'!B343</f>
        <v>Økologisk</v>
      </c>
      <c r="C343" s="98" t="str">
        <f>'Resultater - Vestdanmark'!C343</f>
        <v>OC6</v>
      </c>
      <c r="D343" s="98" t="str">
        <f>'Resultater - Vestdanmark'!D343</f>
        <v>Areal-frøgræs</v>
      </c>
      <c r="E343" s="98" t="str">
        <f>'Resultater - Vestdanmark'!E343</f>
        <v>Hektar</v>
      </c>
      <c r="F343" s="98" t="str">
        <f>'Resultater - Vestdanmark'!F343</f>
        <v>CO2 - atmosfære</v>
      </c>
      <c r="G343" s="98" t="str">
        <f>'Resultater - Vestdanmark'!G343</f>
        <v>t CO2-ækvivalenter</v>
      </c>
      <c r="H343" s="280" t="e">
        <f>'Resultater - Vestdanmark'!H343+'Resultater - Østdanmark'!H343</f>
        <v>#REF!</v>
      </c>
      <c r="I343" s="281" t="e">
        <f>'Resultater - Vestdanmark'!I343+'Resultater - Østdanmark'!I343</f>
        <v>#REF!</v>
      </c>
      <c r="J343" s="282" t="e">
        <f>'Resultater - Vestdanmark'!J343+'Resultater - Østdanmark'!J343</f>
        <v>#REF!</v>
      </c>
    </row>
    <row r="344" spans="1:10" x14ac:dyDescent="0.25">
      <c r="A344" s="98" t="str">
        <f>'Resultater - Vestdanmark'!A344</f>
        <v>Frøgræsmark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Areal-frøgræs</v>
      </c>
      <c r="E344" s="98" t="str">
        <f>'Resultater - Vestdanmark'!E344</f>
        <v>Hektar</v>
      </c>
      <c r="F344" s="98" t="str">
        <f>'Resultater - Vestdanmark'!F344</f>
        <v>Frø</v>
      </c>
      <c r="G344" s="98" t="str">
        <f>'Resultater - Vestdanmark'!G344</f>
        <v>Ton</v>
      </c>
      <c r="H344" s="280" t="e">
        <f>'Resultater - Vestdanmark'!H344+'Resultater - Østdanmark'!H344</f>
        <v>#REF!</v>
      </c>
      <c r="I344" s="281" t="e">
        <f>'Resultater - Vestdanmark'!I344+'Resultater - Østdanmark'!I344</f>
        <v>#REF!</v>
      </c>
      <c r="J344" s="282" t="e">
        <f>'Resultater - Vestdanmark'!J344+'Resultater - Østdanmark'!J344</f>
        <v>#REF!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Økologisk</v>
      </c>
      <c r="C345" s="98" t="str">
        <f>'Resultater - Vestdanmark'!C345</f>
        <v>OC12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Halm</v>
      </c>
      <c r="G345" s="98" t="str">
        <f>'Resultater - Vestdanmark'!G345</f>
        <v>Ton</v>
      </c>
      <c r="H345" s="280" t="e">
        <f>'Resultater - Vestdanmark'!H345+'Resultater - Østdanmark'!H345</f>
        <v>#REF!</v>
      </c>
      <c r="I345" s="281" t="e">
        <f>'Resultater - Vestdanmark'!I345+'Resultater - Østdanmark'!I345</f>
        <v>#REF!</v>
      </c>
      <c r="J345" s="282" t="e">
        <f>'Resultater - Vestdanmark'!J345+'Resultater - Østdanmark'!J345</f>
        <v>#REF!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Økologisk</v>
      </c>
      <c r="C346" s="98" t="str">
        <f>'Resultater - Vestdanmark'!C346</f>
        <v>OC12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Gødning</v>
      </c>
      <c r="G346" s="98" t="str">
        <f>'Resultater - Vestdanmark'!G346</f>
        <v>kg N</v>
      </c>
      <c r="H346" s="280" t="e">
        <f>'Resultater - Vestdanmark'!H346+'Resultater - Østdanmark'!H346</f>
        <v>#REF!</v>
      </c>
      <c r="I346" s="281" t="e">
        <f>'Resultater - Vestdanmark'!I346+'Resultater - Østdanmark'!I346</f>
        <v>#REF!</v>
      </c>
      <c r="J346" s="282" t="e">
        <f>'Resultater - Vestdanmark'!J346+'Resultater - Østdanmark'!J346</f>
        <v>#REF!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Økologisk</v>
      </c>
      <c r="C347" s="98" t="str">
        <f>'Resultater - Vestdanmark'!C347</f>
        <v>OC12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CO2 - atmosfære</v>
      </c>
      <c r="G347" s="98" t="str">
        <f>'Resultater - Vestdanmark'!G347</f>
        <v>t CO2-ækvivalenter</v>
      </c>
      <c r="H347" s="280" t="e">
        <f>'Resultater - Vestdanmark'!H347+'Resultater - Østdanmark'!H347</f>
        <v>#REF!</v>
      </c>
      <c r="I347" s="281" t="e">
        <f>'Resultater - Vestdanmark'!I347+'Resultater - Østdanmark'!I347</f>
        <v>#REF!</v>
      </c>
      <c r="J347" s="282" t="e">
        <f>'Resultater - Vestdanmark'!J347+'Resultater - Østdanmark'!J347</f>
        <v>#REF!</v>
      </c>
    </row>
    <row r="348" spans="1:10" x14ac:dyDescent="0.25">
      <c r="A348" s="98" t="str">
        <f>'Resultater - Vestdanmark'!A348</f>
        <v>Juletræsmark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Areal-juletræer</v>
      </c>
      <c r="E348" s="98" t="str">
        <f>'Resultater - Vestdanmark'!E348</f>
        <v>Hektar</v>
      </c>
      <c r="F348" s="98" t="str">
        <f>'Resultater - Vestdanmark'!F348</f>
        <v>Juletræer</v>
      </c>
      <c r="G348" s="98" t="str">
        <f>'Resultater - Vestdanmark'!G348</f>
        <v>Ton</v>
      </c>
      <c r="H348" s="280" t="e">
        <f>'Resultater - Vestdanmark'!H348+'Resultater - Østdanmark'!H348</f>
        <v>#REF!</v>
      </c>
      <c r="I348" s="281" t="e">
        <f>'Resultater - Vestdanmark'!I348+'Resultater - Østdanmark'!I348</f>
        <v>#REF!</v>
      </c>
      <c r="J348" s="282" t="e">
        <f>'Resultater - Vestdanmark'!J348+'Resultater - Østdanmark'!J348</f>
        <v>#REF!</v>
      </c>
    </row>
    <row r="349" spans="1:10" x14ac:dyDescent="0.25">
      <c r="A349" s="98" t="str">
        <f>'Resultater - Vestdanmark'!A349</f>
        <v>Juletræsmark</v>
      </c>
      <c r="B349" s="98" t="str">
        <f>'Resultater - Vestdanmark'!B349</f>
        <v>Konventionel</v>
      </c>
      <c r="C349" s="98" t="str">
        <f>'Resultater - Vestdanmark'!C349</f>
        <v>JB1-10</v>
      </c>
      <c r="D349" s="98" t="str">
        <f>'Resultater - Vestdanmark'!D349</f>
        <v>Areal-juletræer</v>
      </c>
      <c r="E349" s="98" t="str">
        <f>'Resultater - Vestdanmark'!E349</f>
        <v>Hektar</v>
      </c>
      <c r="F349" s="98" t="str">
        <f>'Resultater - Vestdanmark'!F349</f>
        <v>Gødning</v>
      </c>
      <c r="G349" s="98" t="str">
        <f>'Resultater - Vestdanmark'!G349</f>
        <v>kg N</v>
      </c>
      <c r="H349" s="280" t="e">
        <f>'Resultater - Vestdanmark'!H349+'Resultater - Østdanmark'!H349</f>
        <v>#REF!</v>
      </c>
      <c r="I349" s="281" t="e">
        <f>'Resultater - Vestdanmark'!I349+'Resultater - Østdanmark'!I349</f>
        <v>#REF!</v>
      </c>
      <c r="J349" s="282" t="e">
        <f>'Resultater - Vestdanmark'!J349+'Resultater - Østdanmark'!J349</f>
        <v>#REF!</v>
      </c>
    </row>
    <row r="350" spans="1:10" x14ac:dyDescent="0.25">
      <c r="A350" s="98" t="str">
        <f>'Resultater - Vestdanmark'!A350</f>
        <v>Juletræsmark</v>
      </c>
      <c r="B350" s="98" t="str">
        <f>'Resultater - Vestdanmark'!B350</f>
        <v>Konventionel</v>
      </c>
      <c r="C350" s="98" t="str">
        <f>'Resultater - Vestdanmark'!C350</f>
        <v>JB1-10</v>
      </c>
      <c r="D350" s="98" t="str">
        <f>'Resultater - Vestdanmark'!D350</f>
        <v>Areal-juletræer</v>
      </c>
      <c r="E350" s="98" t="str">
        <f>'Resultater - Vestdanmark'!E350</f>
        <v>Hektar</v>
      </c>
      <c r="F350" s="98" t="str">
        <f>'Resultater - Vestdanmark'!F350</f>
        <v>CO2 - atmosfære</v>
      </c>
      <c r="G350" s="98" t="str">
        <f>'Resultater - Vestdanmark'!G350</f>
        <v>t CO2-ækvivalenter</v>
      </c>
      <c r="H350" s="280" t="e">
        <f>'Resultater - Vestdanmark'!H350+'Resultater - Østdanmark'!H350</f>
        <v>#REF!</v>
      </c>
      <c r="I350" s="281" t="e">
        <f>'Resultater - Vestdanmark'!I350+'Resultater - Østdanmark'!I350</f>
        <v>#REF!</v>
      </c>
      <c r="J350" s="282" t="e">
        <f>'Resultater - Vestdanmark'!J350+'Resultater - Østdanmark'!J350</f>
        <v>#REF!</v>
      </c>
    </row>
    <row r="351" spans="1:10" x14ac:dyDescent="0.25">
      <c r="A351" s="98" t="str">
        <f>'Resultater - Vestdanmark'!A351</f>
        <v>Juletræsmark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Areal-juletræer</v>
      </c>
      <c r="E351" s="98" t="str">
        <f>'Resultater - Vestdanmark'!E351</f>
        <v>Hektar</v>
      </c>
      <c r="F351" s="98" t="str">
        <f>'Resultater - Vestdanmark'!F351</f>
        <v>Juletræer</v>
      </c>
      <c r="G351" s="98" t="str">
        <f>'Resultater - Vestdanmark'!G351</f>
        <v>Ton</v>
      </c>
      <c r="H351" s="280" t="e">
        <f>'Resultater - Vestdanmark'!H351+'Resultater - Østdanmark'!H351</f>
        <v>#REF!</v>
      </c>
      <c r="I351" s="281" t="e">
        <f>'Resultater - Vestdanmark'!I351+'Resultater - Østdanmark'!I351</f>
        <v>#REF!</v>
      </c>
      <c r="J351" s="282" t="e">
        <f>'Resultater - Vestdanmark'!J351+'Resultater - Østdanmark'!J351</f>
        <v>#REF!</v>
      </c>
    </row>
    <row r="352" spans="1:10" x14ac:dyDescent="0.25">
      <c r="A352" s="98" t="str">
        <f>'Resultater - Vestdanmark'!A352</f>
        <v>Juletræsmark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Areal-juletræer</v>
      </c>
      <c r="E352" s="98" t="str">
        <f>'Resultater - Vestdanmark'!E352</f>
        <v>Hektar</v>
      </c>
      <c r="F352" s="98" t="str">
        <f>'Resultater - Vestdanmark'!F352</f>
        <v>Gødning</v>
      </c>
      <c r="G352" s="98" t="str">
        <f>'Resultater - Vestdanmark'!G352</f>
        <v>kg N</v>
      </c>
      <c r="H352" s="280" t="e">
        <f>'Resultater - Vestdanmark'!H352+'Resultater - Østdanmark'!H352</f>
        <v>#REF!</v>
      </c>
      <c r="I352" s="281" t="e">
        <f>'Resultater - Vestdanmark'!I352+'Resultater - Østdanmark'!I352</f>
        <v>#REF!</v>
      </c>
      <c r="J352" s="282" t="e">
        <f>'Resultater - Vestdanmark'!J352+'Resultater - Østdanmark'!J352</f>
        <v>#REF!</v>
      </c>
    </row>
    <row r="353" spans="1:10" x14ac:dyDescent="0.25">
      <c r="A353" s="98" t="str">
        <f>'Resultater - Vestdanmark'!A353</f>
        <v>Juletræsmark</v>
      </c>
      <c r="B353" s="98" t="str">
        <f>'Resultater - Vestdanmark'!B353</f>
        <v>Konventionel</v>
      </c>
      <c r="C353" s="98" t="str">
        <f>'Resultater - Vestdanmark'!C353</f>
        <v>OC6</v>
      </c>
      <c r="D353" s="98" t="str">
        <f>'Resultater - Vestdanmark'!D353</f>
        <v>Areal-juletræer</v>
      </c>
      <c r="E353" s="98" t="str">
        <f>'Resultater - Vestdanmark'!E353</f>
        <v>Hektar</v>
      </c>
      <c r="F353" s="98" t="str">
        <f>'Resultater - Vestdanmark'!F353</f>
        <v>CO2 - atmosfære</v>
      </c>
      <c r="G353" s="98" t="str">
        <f>'Resultater - Vestdanmark'!G353</f>
        <v>t CO2-ækvivalenter</v>
      </c>
      <c r="H353" s="280" t="e">
        <f>'Resultater - Vestdanmark'!H353+'Resultater - Østdanmark'!H353</f>
        <v>#REF!</v>
      </c>
      <c r="I353" s="281" t="e">
        <f>'Resultater - Vestdanmark'!I353+'Resultater - Østdanmark'!I353</f>
        <v>#REF!</v>
      </c>
      <c r="J353" s="282" t="e">
        <f>'Resultater - Vestdanmark'!J353+'Resultater - Østdanmark'!J353</f>
        <v>#REF!</v>
      </c>
    </row>
    <row r="354" spans="1:10" x14ac:dyDescent="0.25">
      <c r="A354" s="98" t="str">
        <f>'Resultater - Vestdanmark'!A354</f>
        <v>Juletræsmark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Areal-juletræer</v>
      </c>
      <c r="E354" s="98" t="str">
        <f>'Resultater - Vestdanmark'!E354</f>
        <v>Hektar</v>
      </c>
      <c r="F354" s="98" t="str">
        <f>'Resultater - Vestdanmark'!F354</f>
        <v>Juletræer</v>
      </c>
      <c r="G354" s="98" t="str">
        <f>'Resultater - Vestdanmark'!G354</f>
        <v>Ton</v>
      </c>
      <c r="H354" s="280" t="e">
        <f>'Resultater - Vestdanmark'!H354+'Resultater - Østdanmark'!H354</f>
        <v>#REF!</v>
      </c>
      <c r="I354" s="281" t="e">
        <f>'Resultater - Vestdanmark'!I354+'Resultater - Østdanmark'!I354</f>
        <v>#REF!</v>
      </c>
      <c r="J354" s="282" t="e">
        <f>'Resultater - Vestdanmark'!J354+'Resultater - Østdanmark'!J354</f>
        <v>#REF!</v>
      </c>
    </row>
    <row r="355" spans="1:10" x14ac:dyDescent="0.25">
      <c r="A355" s="98" t="str">
        <f>'Resultater - Vestdanmark'!A355</f>
        <v>Juletræsmark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Areal-juletræer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80" t="e">
        <f>'Resultater - Vestdanmark'!H355+'Resultater - Østdanmark'!H355</f>
        <v>#REF!</v>
      </c>
      <c r="I355" s="281" t="e">
        <f>'Resultater - Vestdanmark'!I355+'Resultater - Østdanmark'!I355</f>
        <v>#REF!</v>
      </c>
      <c r="J355" s="282" t="e">
        <f>'Resultater - Vestdanmark'!J355+'Resultater - Østdanmark'!J355</f>
        <v>#REF!</v>
      </c>
    </row>
    <row r="356" spans="1:10" x14ac:dyDescent="0.25">
      <c r="A356" s="98" t="str">
        <f>'Resultater - Vestdanmark'!A356</f>
        <v>Juletræsmark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Areal-juletræer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80" t="e">
        <f>'Resultater - Vestdanmark'!H356+'Resultater - Østdanmark'!H356</f>
        <v>#REF!</v>
      </c>
      <c r="I356" s="281" t="e">
        <f>'Resultater - Vestdanmark'!I356+'Resultater - Østdanmark'!I356</f>
        <v>#REF!</v>
      </c>
      <c r="J356" s="282" t="e">
        <f>'Resultater - Vestdanmark'!J356+'Resultater - Østdanmark'!J356</f>
        <v>#REF!</v>
      </c>
    </row>
    <row r="357" spans="1:10" x14ac:dyDescent="0.25">
      <c r="A357" s="98" t="str">
        <f>'Resultater - Vestdanmark'!A357</f>
        <v>Juletræsmark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Areal-juletræer</v>
      </c>
      <c r="E357" s="98" t="str">
        <f>'Resultater - Vestdanmark'!E357</f>
        <v>Hektar</v>
      </c>
      <c r="F357" s="98" t="str">
        <f>'Resultater - Vestdanmark'!F357</f>
        <v>Juletræer</v>
      </c>
      <c r="G357" s="98" t="str">
        <f>'Resultater - Vestdanmark'!G357</f>
        <v>Ton</v>
      </c>
      <c r="H357" s="280" t="e">
        <f>'Resultater - Vestdanmark'!H357+'Resultater - Østdanmark'!H357</f>
        <v>#REF!</v>
      </c>
      <c r="I357" s="281" t="e">
        <f>'Resultater - Vestdanmark'!I357+'Resultater - Østdanmark'!I357</f>
        <v>#REF!</v>
      </c>
      <c r="J357" s="282" t="e">
        <f>'Resultater - Vestdanmark'!J357+'Resultater - Østdanmark'!J357</f>
        <v>#REF!</v>
      </c>
    </row>
    <row r="358" spans="1:10" x14ac:dyDescent="0.25">
      <c r="A358" s="98" t="str">
        <f>'Resultater - Vestdanmark'!A358</f>
        <v>Juletræsmark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Areal-juletræer</v>
      </c>
      <c r="E358" s="98" t="str">
        <f>'Resultater - Vestdanmark'!E358</f>
        <v>Hektar</v>
      </c>
      <c r="F358" s="98" t="str">
        <f>'Resultater - Vestdanmark'!F358</f>
        <v>Gødning</v>
      </c>
      <c r="G358" s="98" t="str">
        <f>'Resultater - Vestdanmark'!G358</f>
        <v>kg N</v>
      </c>
      <c r="H358" s="280" t="e">
        <f>'Resultater - Vestdanmark'!H358+'Resultater - Østdanmark'!H358</f>
        <v>#REF!</v>
      </c>
      <c r="I358" s="281" t="e">
        <f>'Resultater - Vestdanmark'!I358+'Resultater - Østdanmark'!I358</f>
        <v>#REF!</v>
      </c>
      <c r="J358" s="282" t="e">
        <f>'Resultater - Vestdanmark'!J358+'Resultater - Østdanmark'!J358</f>
        <v>#REF!</v>
      </c>
    </row>
    <row r="359" spans="1:10" x14ac:dyDescent="0.25">
      <c r="A359" s="98" t="str">
        <f>'Resultater - Vestdanmark'!A359</f>
        <v>Juletræsmark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Areal-juletræer</v>
      </c>
      <c r="E359" s="98" t="str">
        <f>'Resultater - Vestdanmark'!E359</f>
        <v>Hektar</v>
      </c>
      <c r="F359" s="98" t="str">
        <f>'Resultater - Vestdanmark'!F359</f>
        <v>CO2 - atmosfære</v>
      </c>
      <c r="G359" s="98" t="str">
        <f>'Resultater - Vestdanmark'!G359</f>
        <v>t CO2-ækvivalenter</v>
      </c>
      <c r="H359" s="280" t="e">
        <f>'Resultater - Vestdanmark'!H359+'Resultater - Østdanmark'!H359</f>
        <v>#REF!</v>
      </c>
      <c r="I359" s="281" t="e">
        <f>'Resultater - Vestdanmark'!I359+'Resultater - Østdanmark'!I359</f>
        <v>#REF!</v>
      </c>
      <c r="J359" s="282" t="e">
        <f>'Resultater - Vestdanmark'!J359+'Resultater - Østdanmark'!J359</f>
        <v>#REF!</v>
      </c>
    </row>
    <row r="360" spans="1:10" x14ac:dyDescent="0.25">
      <c r="A360" s="98" t="str">
        <f>'Resultater - Vestdanmark'!A360</f>
        <v>Juletræsmark</v>
      </c>
      <c r="B360" s="98" t="str">
        <f>'Resultater - Vestdanmark'!B360</f>
        <v>Økologisk</v>
      </c>
      <c r="C360" s="98" t="str">
        <f>'Resultater - Vestdanmark'!C360</f>
        <v>OC6</v>
      </c>
      <c r="D360" s="98" t="str">
        <f>'Resultater - Vestdanmark'!D360</f>
        <v>Areal-juletræer</v>
      </c>
      <c r="E360" s="98" t="str">
        <f>'Resultater - Vestdanmark'!E360</f>
        <v>Hektar</v>
      </c>
      <c r="F360" s="98" t="str">
        <f>'Resultater - Vestdanmark'!F360</f>
        <v>Juletræer</v>
      </c>
      <c r="G360" s="98" t="str">
        <f>'Resultater - Vestdanmark'!G360</f>
        <v>Ton</v>
      </c>
      <c r="H360" s="280" t="e">
        <f>'Resultater - Vestdanmark'!H360+'Resultater - Østdanmark'!H360</f>
        <v>#REF!</v>
      </c>
      <c r="I360" s="281" t="e">
        <f>'Resultater - Vestdanmark'!I360+'Resultater - Østdanmark'!I360</f>
        <v>#REF!</v>
      </c>
      <c r="J360" s="282" t="e">
        <f>'Resultater - Vestdanmark'!J360+'Resultater - Østdanmark'!J360</f>
        <v>#REF!</v>
      </c>
    </row>
    <row r="361" spans="1:10" x14ac:dyDescent="0.25">
      <c r="A361" s="98" t="str">
        <f>'Resultater - Vestdanmark'!A361</f>
        <v>Juletræsmark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Areal-juletræer</v>
      </c>
      <c r="E361" s="98" t="str">
        <f>'Resultater - Vestdanmark'!E361</f>
        <v>Hektar</v>
      </c>
      <c r="F361" s="98" t="str">
        <f>'Resultater - Vestdanmark'!F361</f>
        <v>Gødning</v>
      </c>
      <c r="G361" s="98" t="str">
        <f>'Resultater - Vestdanmark'!G361</f>
        <v>kg N</v>
      </c>
      <c r="H361" s="280" t="e">
        <f>'Resultater - Vestdanmark'!H361+'Resultater - Østdanmark'!H361</f>
        <v>#REF!</v>
      </c>
      <c r="I361" s="281" t="e">
        <f>'Resultater - Vestdanmark'!I361+'Resultater - Østdanmark'!I361</f>
        <v>#REF!</v>
      </c>
      <c r="J361" s="282" t="e">
        <f>'Resultater - Vestdanmark'!J361+'Resultater - Østdanmark'!J361</f>
        <v>#REF!</v>
      </c>
    </row>
    <row r="362" spans="1:10" x14ac:dyDescent="0.25">
      <c r="A362" s="98" t="str">
        <f>'Resultater - Vestdanmark'!A362</f>
        <v>Juletræsmark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Areal-juletræer</v>
      </c>
      <c r="E362" s="98" t="str">
        <f>'Resultater - Vestdanmark'!E362</f>
        <v>Hektar</v>
      </c>
      <c r="F362" s="98" t="str">
        <f>'Resultater - Vestdanmark'!F362</f>
        <v>CO2 - atmosfære</v>
      </c>
      <c r="G362" s="98" t="str">
        <f>'Resultater - Vestdanmark'!G362</f>
        <v>t CO2-ækvivalenter</v>
      </c>
      <c r="H362" s="280" t="e">
        <f>'Resultater - Vestdanmark'!H362+'Resultater - Østdanmark'!H362</f>
        <v>#REF!</v>
      </c>
      <c r="I362" s="281" t="e">
        <f>'Resultater - Vestdanmark'!I362+'Resultater - Østdanmark'!I362</f>
        <v>#REF!</v>
      </c>
      <c r="J362" s="282" t="e">
        <f>'Resultater - Vestdanmark'!J362+'Resultater - Østdanmark'!J362</f>
        <v>#REF!</v>
      </c>
    </row>
    <row r="363" spans="1:10" x14ac:dyDescent="0.25">
      <c r="A363" s="98" t="str">
        <f>'Resultater - Vestdanmark'!A363</f>
        <v>Juletræsmark</v>
      </c>
      <c r="B363" s="98" t="str">
        <f>'Resultater - Vestdanmark'!B363</f>
        <v>Økologisk</v>
      </c>
      <c r="C363" s="98" t="str">
        <f>'Resultater - Vestdanmark'!C363</f>
        <v>OC12</v>
      </c>
      <c r="D363" s="98" t="str">
        <f>'Resultater - Vestdanmark'!D363</f>
        <v>Areal-juletræer</v>
      </c>
      <c r="E363" s="98" t="str">
        <f>'Resultater - Vestdanmark'!E363</f>
        <v>Hektar</v>
      </c>
      <c r="F363" s="98" t="str">
        <f>'Resultater - Vestdanmark'!F363</f>
        <v>Juletræer</v>
      </c>
      <c r="G363" s="98" t="str">
        <f>'Resultater - Vestdanmark'!G363</f>
        <v>Ton</v>
      </c>
      <c r="H363" s="280" t="e">
        <f>'Resultater - Vestdanmark'!H363+'Resultater - Østdanmark'!H363</f>
        <v>#REF!</v>
      </c>
      <c r="I363" s="281" t="e">
        <f>'Resultater - Vestdanmark'!I363+'Resultater - Østdanmark'!I363</f>
        <v>#REF!</v>
      </c>
      <c r="J363" s="282" t="e">
        <f>'Resultater - Vestdanmark'!J363+'Resultater - Østdanmark'!J363</f>
        <v>#REF!</v>
      </c>
    </row>
    <row r="364" spans="1:10" x14ac:dyDescent="0.25">
      <c r="A364" s="98" t="str">
        <f>'Resultater - Vestdanmark'!A364</f>
        <v>Juletræsmark</v>
      </c>
      <c r="B364" s="98" t="str">
        <f>'Resultater - Vestdanmark'!B364</f>
        <v>Økologisk</v>
      </c>
      <c r="C364" s="98" t="str">
        <f>'Resultater - Vestdanmark'!C364</f>
        <v>OC12</v>
      </c>
      <c r="D364" s="98" t="str">
        <f>'Resultater - Vestdanmark'!D364</f>
        <v>Areal-juletræer</v>
      </c>
      <c r="E364" s="98" t="str">
        <f>'Resultater - Vestdanmark'!E364</f>
        <v>Hektar</v>
      </c>
      <c r="F364" s="98" t="str">
        <f>'Resultater - Vestdanmark'!F364</f>
        <v>Gødning</v>
      </c>
      <c r="G364" s="98" t="str">
        <f>'Resultater - Vestdanmark'!G364</f>
        <v>kg N</v>
      </c>
      <c r="H364" s="280" t="e">
        <f>'Resultater - Vestdanmark'!H364+'Resultater - Østdanmark'!H364</f>
        <v>#REF!</v>
      </c>
      <c r="I364" s="281" t="e">
        <f>'Resultater - Vestdanmark'!I364+'Resultater - Østdanmark'!I364</f>
        <v>#REF!</v>
      </c>
      <c r="J364" s="282" t="e">
        <f>'Resultater - Vestdanmark'!J364+'Resultater - Østdanmark'!J364</f>
        <v>#REF!</v>
      </c>
    </row>
    <row r="365" spans="1:10" x14ac:dyDescent="0.25">
      <c r="A365" s="98" t="str">
        <f>'Resultater - Vestdanmark'!A365</f>
        <v>Juletræsmark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Areal-juletræer</v>
      </c>
      <c r="E365" s="98" t="str">
        <f>'Resultater - Vestdanmark'!E365</f>
        <v>Hektar</v>
      </c>
      <c r="F365" s="98" t="str">
        <f>'Resultater - Vestdanmark'!F365</f>
        <v>CO2 - atmosfære</v>
      </c>
      <c r="G365" s="98" t="str">
        <f>'Resultater - Vestdanmark'!G365</f>
        <v>t CO2-ækvivalenter</v>
      </c>
      <c r="H365" s="280" t="e">
        <f>'Resultater - Vestdanmark'!H365+'Resultater - Østdanmark'!H365</f>
        <v>#REF!</v>
      </c>
      <c r="I365" s="281" t="e">
        <f>'Resultater - Vestdanmark'!I365+'Resultater - Østdanmark'!I365</f>
        <v>#REF!</v>
      </c>
      <c r="J365" s="282" t="e">
        <f>'Resultater - Vestdanmark'!J365+'Resultater - Østdanmark'!J365</f>
        <v>#REF!</v>
      </c>
    </row>
    <row r="366" spans="1:10" x14ac:dyDescent="0.25">
      <c r="A366" s="98" t="str">
        <f>'Resultater - Vestdanmark'!A366</f>
        <v>Pil- og poppeldyrkning</v>
      </c>
      <c r="B366" s="98" t="str">
        <f>'Resultater - Vestdanmark'!B366</f>
        <v>Konventionel</v>
      </c>
      <c r="C366" s="98" t="str">
        <f>'Resultater - Vestdanmark'!C366</f>
        <v>JB1-10</v>
      </c>
      <c r="D366" s="98" t="str">
        <f>'Resultater - Vestdanmark'!D366</f>
        <v>Areal-pil-poppel</v>
      </c>
      <c r="E366" s="98" t="str">
        <f>'Resultater - Vestdanmark'!E366</f>
        <v>Hektar</v>
      </c>
      <c r="F366" s="98" t="str">
        <f>'Resultater - Vestdanmark'!F366</f>
        <v>Pil &amp; poppel</v>
      </c>
      <c r="G366" s="98" t="str">
        <f>'Resultater - Vestdanmark'!G366</f>
        <v>Ton</v>
      </c>
      <c r="H366" s="280" t="e">
        <f>'Resultater - Vestdanmark'!H366+'Resultater - Østdanmark'!H366</f>
        <v>#REF!</v>
      </c>
      <c r="I366" s="281" t="e">
        <f>'Resultater - Vestdanmark'!I366+'Resultater - Østdanmark'!I366</f>
        <v>#REF!</v>
      </c>
      <c r="J366" s="282" t="e">
        <f>'Resultater - Vestdanmark'!J366+'Resultater - Østdanmark'!J366</f>
        <v>#REF!</v>
      </c>
    </row>
    <row r="367" spans="1:10" x14ac:dyDescent="0.25">
      <c r="A367" s="98" t="str">
        <f>'Resultater - Vestdanmark'!A367</f>
        <v>Pil- og poppeldyrkning</v>
      </c>
      <c r="B367" s="98" t="str">
        <f>'Resultater - Vestdanmark'!B367</f>
        <v>Konventionel</v>
      </c>
      <c r="C367" s="98" t="str">
        <f>'Resultater - Vestdanmark'!C367</f>
        <v>JB1-10</v>
      </c>
      <c r="D367" s="98" t="str">
        <f>'Resultater - Vestdanmark'!D367</f>
        <v>Areal-pil-poppel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80" t="e">
        <f>'Resultater - Vestdanmark'!H367+'Resultater - Østdanmark'!H367</f>
        <v>#REF!</v>
      </c>
      <c r="I367" s="281" t="e">
        <f>'Resultater - Vestdanmark'!I367+'Resultater - Østdanmark'!I367</f>
        <v>#REF!</v>
      </c>
      <c r="J367" s="282" t="e">
        <f>'Resultater - Vestdanmark'!J367+'Resultater - Østdanmark'!J367</f>
        <v>#REF!</v>
      </c>
    </row>
    <row r="368" spans="1:10" x14ac:dyDescent="0.25">
      <c r="A368" s="98" t="str">
        <f>'Resultater - Vestdanmark'!A368</f>
        <v>Pil- og poppeldyrkning</v>
      </c>
      <c r="B368" s="98" t="str">
        <f>'Resultater - Vestdanmark'!B368</f>
        <v>Konventionel</v>
      </c>
      <c r="C368" s="98" t="str">
        <f>'Resultater - Vestdanmark'!C368</f>
        <v>JB1-10</v>
      </c>
      <c r="D368" s="98" t="str">
        <f>'Resultater - Vestdanmark'!D368</f>
        <v>Areal-pil-poppel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80" t="e">
        <f>'Resultater - Vestdanmark'!H368+'Resultater - Østdanmark'!H368</f>
        <v>#REF!</v>
      </c>
      <c r="I368" s="281" t="e">
        <f>'Resultater - Vestdanmark'!I368+'Resultater - Østdanmark'!I368</f>
        <v>#REF!</v>
      </c>
      <c r="J368" s="282" t="e">
        <f>'Resultater - Vestdanmark'!J368+'Resultater - Østdanmark'!J368</f>
        <v>#REF!</v>
      </c>
    </row>
    <row r="369" spans="1:10" x14ac:dyDescent="0.25">
      <c r="A369" s="98" t="str">
        <f>'Resultater - Vestdanmark'!A369</f>
        <v>Pil- og poppeldyrkning</v>
      </c>
      <c r="B369" s="98" t="str">
        <f>'Resultater - Vestdanmark'!B369</f>
        <v>Konventionel</v>
      </c>
      <c r="C369" s="98" t="str">
        <f>'Resultater - Vestdanmark'!C369</f>
        <v>OC6</v>
      </c>
      <c r="D369" s="98" t="str">
        <f>'Resultater - Vestdanmark'!D369</f>
        <v>Areal-pil-poppel</v>
      </c>
      <c r="E369" s="98" t="str">
        <f>'Resultater - Vestdanmark'!E369</f>
        <v>Hektar</v>
      </c>
      <c r="F369" s="98" t="str">
        <f>'Resultater - Vestdanmark'!F369</f>
        <v>Pil &amp; poppel</v>
      </c>
      <c r="G369" s="98" t="str">
        <f>'Resultater - Vestdanmark'!G369</f>
        <v>Ton</v>
      </c>
      <c r="H369" s="280" t="e">
        <f>'Resultater - Vestdanmark'!H369+'Resultater - Østdanmark'!H369</f>
        <v>#REF!</v>
      </c>
      <c r="I369" s="281" t="e">
        <f>'Resultater - Vestdanmark'!I369+'Resultater - Østdanmark'!I369</f>
        <v>#REF!</v>
      </c>
      <c r="J369" s="282" t="e">
        <f>'Resultater - Vestdanmark'!J369+'Resultater - Østdanmark'!J369</f>
        <v>#REF!</v>
      </c>
    </row>
    <row r="370" spans="1:10" x14ac:dyDescent="0.25">
      <c r="A370" s="98" t="str">
        <f>'Resultater - Vestdanmark'!A370</f>
        <v>Pil- og poppeldyrkning</v>
      </c>
      <c r="B370" s="98" t="str">
        <f>'Resultater - Vestdanmark'!B370</f>
        <v>Konventionel</v>
      </c>
      <c r="C370" s="98" t="str">
        <f>'Resultater - Vestdanmark'!C370</f>
        <v>OC6</v>
      </c>
      <c r="D370" s="98" t="str">
        <f>'Resultater - Vestdanmark'!D370</f>
        <v>Areal-pil-poppel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80" t="e">
        <f>'Resultater - Vestdanmark'!H370+'Resultater - Østdanmark'!H370</f>
        <v>#REF!</v>
      </c>
      <c r="I370" s="281" t="e">
        <f>'Resultater - Vestdanmark'!I370+'Resultater - Østdanmark'!I370</f>
        <v>#REF!</v>
      </c>
      <c r="J370" s="282" t="e">
        <f>'Resultater - Vestdanmark'!J370+'Resultater - Østdanmark'!J370</f>
        <v>#REF!</v>
      </c>
    </row>
    <row r="371" spans="1:10" x14ac:dyDescent="0.25">
      <c r="A371" s="98" t="str">
        <f>'Resultater - Vestdanmark'!A371</f>
        <v>Pil- og poppeldyrkning</v>
      </c>
      <c r="B371" s="98" t="str">
        <f>'Resultater - Vestdanmark'!B371</f>
        <v>Konventionel</v>
      </c>
      <c r="C371" s="98" t="str">
        <f>'Resultater - Vestdanmark'!C371</f>
        <v>OC6</v>
      </c>
      <c r="D371" s="98" t="str">
        <f>'Resultater - Vestdanmark'!D371</f>
        <v>Areal-pil-poppel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80" t="e">
        <f>'Resultater - Vestdanmark'!H371+'Resultater - Østdanmark'!H371</f>
        <v>#REF!</v>
      </c>
      <c r="I371" s="281" t="e">
        <f>'Resultater - Vestdanmark'!I371+'Resultater - Østdanmark'!I371</f>
        <v>#REF!</v>
      </c>
      <c r="J371" s="282" t="e">
        <f>'Resultater - Vestdanmark'!J371+'Resultater - Østdanmark'!J371</f>
        <v>#REF!</v>
      </c>
    </row>
    <row r="372" spans="1:10" x14ac:dyDescent="0.25">
      <c r="A372" s="98" t="str">
        <f>'Resultater - Vestdanmark'!A372</f>
        <v>Pil- og poppeldyrkning</v>
      </c>
      <c r="B372" s="98" t="str">
        <f>'Resultater - Vestdanmark'!B372</f>
        <v>Konventionel</v>
      </c>
      <c r="C372" s="98" t="str">
        <f>'Resultater - Vestdanmark'!C372</f>
        <v>OC12</v>
      </c>
      <c r="D372" s="98" t="str">
        <f>'Resultater - Vestdanmark'!D372</f>
        <v>Areal-pil-poppel</v>
      </c>
      <c r="E372" s="98" t="str">
        <f>'Resultater - Vestdanmark'!E372</f>
        <v>Hektar</v>
      </c>
      <c r="F372" s="98" t="str">
        <f>'Resultater - Vestdanmark'!F372</f>
        <v>Pil &amp; poppel</v>
      </c>
      <c r="G372" s="98" t="str">
        <f>'Resultater - Vestdanmark'!G372</f>
        <v>Ton</v>
      </c>
      <c r="H372" s="280" t="e">
        <f>'Resultater - Vestdanmark'!H372+'Resultater - Østdanmark'!H372</f>
        <v>#REF!</v>
      </c>
      <c r="I372" s="281" t="e">
        <f>'Resultater - Vestdanmark'!I372+'Resultater - Østdanmark'!I372</f>
        <v>#REF!</v>
      </c>
      <c r="J372" s="282" t="e">
        <f>'Resultater - Vestdanmark'!J372+'Resultater - Østdanmark'!J372</f>
        <v>#REF!</v>
      </c>
    </row>
    <row r="373" spans="1:10" x14ac:dyDescent="0.25">
      <c r="A373" s="98" t="str">
        <f>'Resultater - Vestdanmark'!A373</f>
        <v>Pil- og poppeldyrkning</v>
      </c>
      <c r="B373" s="98" t="str">
        <f>'Resultater - Vestdanmark'!B373</f>
        <v>Konventionel</v>
      </c>
      <c r="C373" s="98" t="str">
        <f>'Resultater - Vestdanmark'!C373</f>
        <v>OC12</v>
      </c>
      <c r="D373" s="98" t="str">
        <f>'Resultater - Vestdanmark'!D373</f>
        <v>Areal-pil-poppel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80" t="e">
        <f>'Resultater - Vestdanmark'!H373+'Resultater - Østdanmark'!H373</f>
        <v>#REF!</v>
      </c>
      <c r="I373" s="281" t="e">
        <f>'Resultater - Vestdanmark'!I373+'Resultater - Østdanmark'!I373</f>
        <v>#REF!</v>
      </c>
      <c r="J373" s="282" t="e">
        <f>'Resultater - Vestdanmark'!J373+'Resultater - Østdanmark'!J373</f>
        <v>#REF!</v>
      </c>
    </row>
    <row r="374" spans="1:10" x14ac:dyDescent="0.25">
      <c r="A374" s="98" t="str">
        <f>'Resultater - Vestdanmark'!A374</f>
        <v>Pil- og poppeldyrkning</v>
      </c>
      <c r="B374" s="98" t="str">
        <f>'Resultater - Vestdanmark'!B374</f>
        <v>Konventionel</v>
      </c>
      <c r="C374" s="98" t="str">
        <f>'Resultater - Vestdanmark'!C374</f>
        <v>OC12</v>
      </c>
      <c r="D374" s="98" t="str">
        <f>'Resultater - Vestdanmark'!D374</f>
        <v>Areal-pil-poppel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80" t="e">
        <f>'Resultater - Vestdanmark'!H374+'Resultater - Østdanmark'!H374</f>
        <v>#REF!</v>
      </c>
      <c r="I374" s="281" t="e">
        <f>'Resultater - Vestdanmark'!I374+'Resultater - Østdanmark'!I374</f>
        <v>#REF!</v>
      </c>
      <c r="J374" s="282" t="e">
        <f>'Resultater - Vestdanmark'!J374+'Resultater - Østdanmark'!J374</f>
        <v>#REF!</v>
      </c>
    </row>
    <row r="375" spans="1:10" x14ac:dyDescent="0.25">
      <c r="A375" s="98" t="str">
        <f>'Resultater - Vestdanmark'!A375</f>
        <v>Pil- og poppeldyrkning</v>
      </c>
      <c r="B375" s="98" t="str">
        <f>'Resultater - Vestdanmark'!B375</f>
        <v>Økologisk</v>
      </c>
      <c r="C375" s="98" t="str">
        <f>'Resultater - Vestdanmark'!C375</f>
        <v>JB1-10</v>
      </c>
      <c r="D375" s="98" t="str">
        <f>'Resultater - Vestdanmark'!D375</f>
        <v>Areal-pil-poppel</v>
      </c>
      <c r="E375" s="98" t="str">
        <f>'Resultater - Vestdanmark'!E375</f>
        <v>Hektar</v>
      </c>
      <c r="F375" s="98" t="str">
        <f>'Resultater - Vestdanmark'!F375</f>
        <v>Pil &amp; poppel</v>
      </c>
      <c r="G375" s="98" t="str">
        <f>'Resultater - Vestdanmark'!G375</f>
        <v>Ton</v>
      </c>
      <c r="H375" s="280" t="e">
        <f>'Resultater - Vestdanmark'!H375+'Resultater - Østdanmark'!H375</f>
        <v>#REF!</v>
      </c>
      <c r="I375" s="281" t="e">
        <f>'Resultater - Vestdanmark'!I375+'Resultater - Østdanmark'!I375</f>
        <v>#REF!</v>
      </c>
      <c r="J375" s="282" t="e">
        <f>'Resultater - Vestdanmark'!J375+'Resultater - Østdanmark'!J375</f>
        <v>#REF!</v>
      </c>
    </row>
    <row r="376" spans="1:10" x14ac:dyDescent="0.25">
      <c r="A376" s="98" t="str">
        <f>'Resultater - Vestdanmark'!A376</f>
        <v>Pil- og poppeldyrkning</v>
      </c>
      <c r="B376" s="98" t="str">
        <f>'Resultater - Vestdanmark'!B376</f>
        <v>Økologisk</v>
      </c>
      <c r="C376" s="98" t="str">
        <f>'Resultater - Vestdanmark'!C376</f>
        <v>JB1-10</v>
      </c>
      <c r="D376" s="98" t="str">
        <f>'Resultater - Vestdanmark'!D376</f>
        <v>Areal-pil-poppel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80" t="e">
        <f>'Resultater - Vestdanmark'!H376+'Resultater - Østdanmark'!H376</f>
        <v>#REF!</v>
      </c>
      <c r="I376" s="281" t="e">
        <f>'Resultater - Vestdanmark'!I376+'Resultater - Østdanmark'!I376</f>
        <v>#REF!</v>
      </c>
      <c r="J376" s="282" t="e">
        <f>'Resultater - Vestdanmark'!J376+'Resultater - Østdanmark'!J376</f>
        <v>#REF!</v>
      </c>
    </row>
    <row r="377" spans="1:10" x14ac:dyDescent="0.25">
      <c r="A377" s="98" t="str">
        <f>'Resultater - Vestdanmark'!A377</f>
        <v>Pil- og poppeldyrkning</v>
      </c>
      <c r="B377" s="98" t="str">
        <f>'Resultater - Vestdanmark'!B377</f>
        <v>Økologisk</v>
      </c>
      <c r="C377" s="98" t="str">
        <f>'Resultater - Vestdanmark'!C377</f>
        <v>JB1-10</v>
      </c>
      <c r="D377" s="98" t="str">
        <f>'Resultater - Vestdanmark'!D377</f>
        <v>Areal-pil-poppel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80" t="e">
        <f>'Resultater - Vestdanmark'!H377+'Resultater - Østdanmark'!H377</f>
        <v>#REF!</v>
      </c>
      <c r="I377" s="281" t="e">
        <f>'Resultater - Vestdanmark'!I377+'Resultater - Østdanmark'!I377</f>
        <v>#REF!</v>
      </c>
      <c r="J377" s="282" t="e">
        <f>'Resultater - Vestdanmark'!J377+'Resultater - Østdanmark'!J377</f>
        <v>#REF!</v>
      </c>
    </row>
    <row r="378" spans="1:10" x14ac:dyDescent="0.25">
      <c r="A378" s="98" t="str">
        <f>'Resultater - Vestdanmark'!A378</f>
        <v>Pil- og poppeldyrkning</v>
      </c>
      <c r="B378" s="98" t="str">
        <f>'Resultater - Vestdanmark'!B378</f>
        <v>Økologisk</v>
      </c>
      <c r="C378" s="98" t="str">
        <f>'Resultater - Vestdanmark'!C378</f>
        <v>OC6</v>
      </c>
      <c r="D378" s="98" t="str">
        <f>'Resultater - Vestdanmark'!D378</f>
        <v>Areal-pil-poppel</v>
      </c>
      <c r="E378" s="98" t="str">
        <f>'Resultater - Vestdanmark'!E378</f>
        <v>Hektar</v>
      </c>
      <c r="F378" s="98" t="str">
        <f>'Resultater - Vestdanmark'!F378</f>
        <v>Pil &amp; poppel</v>
      </c>
      <c r="G378" s="98" t="str">
        <f>'Resultater - Vestdanmark'!G378</f>
        <v>Ton</v>
      </c>
      <c r="H378" s="280" t="e">
        <f>'Resultater - Vestdanmark'!H378+'Resultater - Østdanmark'!H378</f>
        <v>#REF!</v>
      </c>
      <c r="I378" s="281" t="e">
        <f>'Resultater - Vestdanmark'!I378+'Resultater - Østdanmark'!I378</f>
        <v>#REF!</v>
      </c>
      <c r="J378" s="282" t="e">
        <f>'Resultater - Vestdanmark'!J378+'Resultater - Østdanmark'!J378</f>
        <v>#REF!</v>
      </c>
    </row>
    <row r="379" spans="1:10" x14ac:dyDescent="0.25">
      <c r="A379" s="98" t="str">
        <f>'Resultater - Vestdanmark'!A379</f>
        <v>Pil- og poppeldyrkning</v>
      </c>
      <c r="B379" s="98" t="str">
        <f>'Resultater - Vestdanmark'!B379</f>
        <v>Økologisk</v>
      </c>
      <c r="C379" s="98" t="str">
        <f>'Resultater - Vestdanmark'!C379</f>
        <v>OC6</v>
      </c>
      <c r="D379" s="98" t="str">
        <f>'Resultater - Vestdanmark'!D379</f>
        <v>Areal-pil-poppel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80" t="e">
        <f>'Resultater - Vestdanmark'!H379+'Resultater - Østdanmark'!H379</f>
        <v>#REF!</v>
      </c>
      <c r="I379" s="281" t="e">
        <f>'Resultater - Vestdanmark'!I379+'Resultater - Østdanmark'!I379</f>
        <v>#REF!</v>
      </c>
      <c r="J379" s="282" t="e">
        <f>'Resultater - Vestdanmark'!J379+'Resultater - Østdanmark'!J379</f>
        <v>#REF!</v>
      </c>
    </row>
    <row r="380" spans="1:10" x14ac:dyDescent="0.25">
      <c r="A380" s="98" t="str">
        <f>'Resultater - Vestdanmark'!A380</f>
        <v>Pil- og poppeldyrkning</v>
      </c>
      <c r="B380" s="98" t="str">
        <f>'Resultater - Vestdanmark'!B380</f>
        <v>Økologisk</v>
      </c>
      <c r="C380" s="98" t="str">
        <f>'Resultater - Vestdanmark'!C380</f>
        <v>OC6</v>
      </c>
      <c r="D380" s="98" t="str">
        <f>'Resultater - Vestdanmark'!D380</f>
        <v>Areal-pil-poppel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80" t="e">
        <f>'Resultater - Vestdanmark'!H380+'Resultater - Østdanmark'!H380</f>
        <v>#REF!</v>
      </c>
      <c r="I380" s="281" t="e">
        <f>'Resultater - Vestdanmark'!I380+'Resultater - Østdanmark'!I380</f>
        <v>#REF!</v>
      </c>
      <c r="J380" s="282" t="e">
        <f>'Resultater - Vestdanmark'!J380+'Resultater - Østdanmark'!J380</f>
        <v>#REF!</v>
      </c>
    </row>
    <row r="381" spans="1:10" x14ac:dyDescent="0.25">
      <c r="A381" s="98" t="str">
        <f>'Resultater - Vestdanmark'!A381</f>
        <v>Pil- og poppeldyrkning</v>
      </c>
      <c r="B381" s="98" t="str">
        <f>'Resultater - Vestdanmark'!B381</f>
        <v>Økologisk</v>
      </c>
      <c r="C381" s="98" t="str">
        <f>'Resultater - Vestdanmark'!C381</f>
        <v>OC12</v>
      </c>
      <c r="D381" s="98" t="str">
        <f>'Resultater - Vestdanmark'!D381</f>
        <v>Areal-pil-poppel</v>
      </c>
      <c r="E381" s="98" t="str">
        <f>'Resultater - Vestdanmark'!E381</f>
        <v>Hektar</v>
      </c>
      <c r="F381" s="98" t="str">
        <f>'Resultater - Vestdanmark'!F381</f>
        <v>Pil &amp; poppel</v>
      </c>
      <c r="G381" s="98" t="str">
        <f>'Resultater - Vestdanmark'!G381</f>
        <v>Ton</v>
      </c>
      <c r="H381" s="280" t="e">
        <f>'Resultater - Vestdanmark'!H381+'Resultater - Østdanmark'!H381</f>
        <v>#REF!</v>
      </c>
      <c r="I381" s="281" t="e">
        <f>'Resultater - Vestdanmark'!I381+'Resultater - Østdanmark'!I381</f>
        <v>#REF!</v>
      </c>
      <c r="J381" s="282" t="e">
        <f>'Resultater - Vestdanmark'!J381+'Resultater - Østdanmark'!J381</f>
        <v>#REF!</v>
      </c>
    </row>
    <row r="382" spans="1:10" x14ac:dyDescent="0.25">
      <c r="A382" s="98" t="str">
        <f>'Resultater - Vestdanmark'!A382</f>
        <v>Pil- og poppeldyrkning</v>
      </c>
      <c r="B382" s="98" t="str">
        <f>'Resultater - Vestdanmark'!B382</f>
        <v>Økologisk</v>
      </c>
      <c r="C382" s="98" t="str">
        <f>'Resultater - Vestdanmark'!C382</f>
        <v>OC12</v>
      </c>
      <c r="D382" s="98" t="str">
        <f>'Resultater - Vestdanmark'!D382</f>
        <v>Areal-pil-poppel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80" t="e">
        <f>'Resultater - Vestdanmark'!H382+'Resultater - Østdanmark'!H382</f>
        <v>#REF!</v>
      </c>
      <c r="I382" s="281" t="e">
        <f>'Resultater - Vestdanmark'!I382+'Resultater - Østdanmark'!I382</f>
        <v>#REF!</v>
      </c>
      <c r="J382" s="282" t="e">
        <f>'Resultater - Vestdanmark'!J382+'Resultater - Østdanmark'!J382</f>
        <v>#REF!</v>
      </c>
    </row>
    <row r="383" spans="1:10" x14ac:dyDescent="0.25">
      <c r="A383" s="98" t="str">
        <f>'Resultater - Vestdanmark'!A383</f>
        <v>Pil- og poppeldyrkning</v>
      </c>
      <c r="B383" s="98" t="str">
        <f>'Resultater - Vestdanmark'!B383</f>
        <v>Økologisk</v>
      </c>
      <c r="C383" s="98" t="str">
        <f>'Resultater - Vestdanmark'!C383</f>
        <v>OC12</v>
      </c>
      <c r="D383" s="98" t="str">
        <f>'Resultater - Vestdanmark'!D383</f>
        <v>Areal-pil-poppel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80" t="e">
        <f>'Resultater - Vestdanmark'!H383+'Resultater - Østdanmark'!H383</f>
        <v>#REF!</v>
      </c>
      <c r="I383" s="281" t="e">
        <f>'Resultater - Vestdanmark'!I383+'Resultater - Østdanmark'!I383</f>
        <v>#REF!</v>
      </c>
      <c r="J383" s="282" t="e">
        <f>'Resultater - Vestdanmark'!J383+'Resultater - Østdanmark'!J383</f>
        <v>#REF!</v>
      </c>
    </row>
    <row r="384" spans="1:10" x14ac:dyDescent="0.25">
      <c r="A384" s="98" t="str">
        <f>'Resultater - Vestdanmark'!A384</f>
        <v>Permanent græs</v>
      </c>
      <c r="B384" s="98" t="str">
        <f>'Resultater - Vestdanmark'!B384</f>
        <v>Konventionel</v>
      </c>
      <c r="C384" s="98" t="str">
        <f>'Resultater - Vestdanmark'!C384</f>
        <v>JB1-10</v>
      </c>
      <c r="D384" s="98" t="str">
        <f>'Resultater - Vestdanmark'!D384</f>
        <v>Areal-permanent græs</v>
      </c>
      <c r="E384" s="98" t="str">
        <f>'Resultater - Vestdanmark'!E384</f>
        <v>Hektar</v>
      </c>
      <c r="F384" s="98" t="str">
        <f>'Resultater - Vestdanmark'!F384</f>
        <v>Græs</v>
      </c>
      <c r="G384" s="98" t="str">
        <f>'Resultater - Vestdanmark'!G384</f>
        <v>Ton</v>
      </c>
      <c r="H384" s="280" t="e">
        <f>'Resultater - Vestdanmark'!H384+'Resultater - Østdanmark'!H384</f>
        <v>#REF!</v>
      </c>
      <c r="I384" s="281" t="e">
        <f>'Resultater - Vestdanmark'!I384+'Resultater - Østdanmark'!I384</f>
        <v>#REF!</v>
      </c>
      <c r="J384" s="282" t="e">
        <f>'Resultater - Vestdanmark'!J384+'Resultater - Østdanmark'!J384</f>
        <v>#REF!</v>
      </c>
    </row>
    <row r="385" spans="1:10" x14ac:dyDescent="0.25">
      <c r="A385" s="98" t="str">
        <f>'Resultater - Vestdanmark'!A385</f>
        <v>Permanent græs</v>
      </c>
      <c r="B385" s="98" t="str">
        <f>'Resultater - Vestdanmark'!B385</f>
        <v>Konventionel</v>
      </c>
      <c r="C385" s="98" t="str">
        <f>'Resultater - Vestdanmark'!C385</f>
        <v>JB1-10</v>
      </c>
      <c r="D385" s="98" t="str">
        <f>'Resultater - Vestdanmark'!D385</f>
        <v>Areal-permanent græs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80" t="e">
        <f>'Resultater - Vestdanmark'!H385+'Resultater - Østdanmark'!H385</f>
        <v>#REF!</v>
      </c>
      <c r="I385" s="281" t="e">
        <f>'Resultater - Vestdanmark'!I385+'Resultater - Østdanmark'!I385</f>
        <v>#REF!</v>
      </c>
      <c r="J385" s="282" t="e">
        <f>'Resultater - Vestdanmark'!J385+'Resultater - Østdanmark'!J385</f>
        <v>#REF!</v>
      </c>
    </row>
    <row r="386" spans="1:10" x14ac:dyDescent="0.25">
      <c r="A386" s="98" t="str">
        <f>'Resultater - Vestdanmark'!A386</f>
        <v>Permanent græs</v>
      </c>
      <c r="B386" s="98" t="str">
        <f>'Resultater - Vestdanmark'!B386</f>
        <v>Konventionel</v>
      </c>
      <c r="C386" s="98" t="str">
        <f>'Resultater - Vestdanmark'!C386</f>
        <v>JB1-10</v>
      </c>
      <c r="D386" s="98" t="str">
        <f>'Resultater - Vestdanmark'!D386</f>
        <v>Areal-permanent græs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80" t="e">
        <f>'Resultater - Vestdanmark'!H386+'Resultater - Østdanmark'!H386</f>
        <v>#REF!</v>
      </c>
      <c r="I386" s="281" t="e">
        <f>'Resultater - Vestdanmark'!I386+'Resultater - Østdanmark'!I386</f>
        <v>#REF!</v>
      </c>
      <c r="J386" s="282" t="e">
        <f>'Resultater - Vestdanmark'!J386+'Resultater - Østdanmark'!J386</f>
        <v>#REF!</v>
      </c>
    </row>
    <row r="387" spans="1:10" x14ac:dyDescent="0.25">
      <c r="A387" s="98" t="str">
        <f>'Resultater - Vestdanmark'!A387</f>
        <v>Permanent græs</v>
      </c>
      <c r="B387" s="98" t="str">
        <f>'Resultater - Vestdanmark'!B387</f>
        <v>Konventionel</v>
      </c>
      <c r="C387" s="98" t="str">
        <f>'Resultater - Vestdanmark'!C387</f>
        <v>OC6</v>
      </c>
      <c r="D387" s="98" t="str">
        <f>'Resultater - Vestdanmark'!D387</f>
        <v>Areal-permanent græs</v>
      </c>
      <c r="E387" s="98" t="str">
        <f>'Resultater - Vestdanmark'!E387</f>
        <v>Hektar</v>
      </c>
      <c r="F387" s="98" t="str">
        <f>'Resultater - Vestdanmark'!F387</f>
        <v>Græs</v>
      </c>
      <c r="G387" s="98" t="str">
        <f>'Resultater - Vestdanmark'!G387</f>
        <v>Ton</v>
      </c>
      <c r="H387" s="280" t="e">
        <f>'Resultater - Vestdanmark'!H387+'Resultater - Østdanmark'!H387</f>
        <v>#REF!</v>
      </c>
      <c r="I387" s="281" t="e">
        <f>'Resultater - Vestdanmark'!I387+'Resultater - Østdanmark'!I387</f>
        <v>#REF!</v>
      </c>
      <c r="J387" s="282" t="e">
        <f>'Resultater - Vestdanmark'!J387+'Resultater - Østdanmark'!J387</f>
        <v>#REF!</v>
      </c>
    </row>
    <row r="388" spans="1:10" x14ac:dyDescent="0.25">
      <c r="A388" s="98" t="str">
        <f>'Resultater - Vestdanmark'!A388</f>
        <v>Permanent græs</v>
      </c>
      <c r="B388" s="98" t="str">
        <f>'Resultater - Vestdanmark'!B388</f>
        <v>Konventionel</v>
      </c>
      <c r="C388" s="98" t="str">
        <f>'Resultater - Vestdanmark'!C388</f>
        <v>OC6</v>
      </c>
      <c r="D388" s="98" t="str">
        <f>'Resultater - Vestdanmark'!D388</f>
        <v>Areal-permanent græs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80" t="e">
        <f>'Resultater - Vestdanmark'!H388+'Resultater - Østdanmark'!H388</f>
        <v>#REF!</v>
      </c>
      <c r="I388" s="281" t="e">
        <f>'Resultater - Vestdanmark'!I388+'Resultater - Østdanmark'!I388</f>
        <v>#REF!</v>
      </c>
      <c r="J388" s="282" t="e">
        <f>'Resultater - Vestdanmark'!J388+'Resultater - Østdanmark'!J388</f>
        <v>#REF!</v>
      </c>
    </row>
    <row r="389" spans="1:10" x14ac:dyDescent="0.25">
      <c r="A389" s="98" t="str">
        <f>'Resultater - Vestdanmark'!A389</f>
        <v>Permanent græs</v>
      </c>
      <c r="B389" s="98" t="str">
        <f>'Resultater - Vestdanmark'!B389</f>
        <v>Konventionel</v>
      </c>
      <c r="C389" s="98" t="str">
        <f>'Resultater - Vestdanmark'!C389</f>
        <v>OC6</v>
      </c>
      <c r="D389" s="98" t="str">
        <f>'Resultater - Vestdanmark'!D389</f>
        <v>Areal-permanent græs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80" t="e">
        <f>'Resultater - Vestdanmark'!H389+'Resultater - Østdanmark'!H389</f>
        <v>#REF!</v>
      </c>
      <c r="I389" s="281" t="e">
        <f>'Resultater - Vestdanmark'!I389+'Resultater - Østdanmark'!I389</f>
        <v>#REF!</v>
      </c>
      <c r="J389" s="282" t="e">
        <f>'Resultater - Vestdanmark'!J389+'Resultater - Østdanmark'!J389</f>
        <v>#REF!</v>
      </c>
    </row>
    <row r="390" spans="1:10" x14ac:dyDescent="0.25">
      <c r="A390" s="98" t="str">
        <f>'Resultater - Vestdanmark'!A390</f>
        <v>Permanent græs</v>
      </c>
      <c r="B390" s="98" t="str">
        <f>'Resultater - Vestdanmark'!B390</f>
        <v>Konventionel</v>
      </c>
      <c r="C390" s="98" t="str">
        <f>'Resultater - Vestdanmark'!C390</f>
        <v>OC12</v>
      </c>
      <c r="D390" s="98" t="str">
        <f>'Resultater - Vestdanmark'!D390</f>
        <v>Areal-permanent græs</v>
      </c>
      <c r="E390" s="98" t="str">
        <f>'Resultater - Vestdanmark'!E390</f>
        <v>Hektar</v>
      </c>
      <c r="F390" s="98" t="str">
        <f>'Resultater - Vestdanmark'!F390</f>
        <v>Græs</v>
      </c>
      <c r="G390" s="98" t="str">
        <f>'Resultater - Vestdanmark'!G390</f>
        <v>Ton</v>
      </c>
      <c r="H390" s="280" t="e">
        <f>'Resultater - Vestdanmark'!H390+'Resultater - Østdanmark'!H390</f>
        <v>#REF!</v>
      </c>
      <c r="I390" s="281" t="e">
        <f>'Resultater - Vestdanmark'!I390+'Resultater - Østdanmark'!I390</f>
        <v>#REF!</v>
      </c>
      <c r="J390" s="282" t="e">
        <f>'Resultater - Vestdanmark'!J390+'Resultater - Østdanmark'!J390</f>
        <v>#REF!</v>
      </c>
    </row>
    <row r="391" spans="1:10" x14ac:dyDescent="0.25">
      <c r="A391" s="98" t="str">
        <f>'Resultater - Vestdanmark'!A391</f>
        <v>Permanent græs</v>
      </c>
      <c r="B391" s="98" t="str">
        <f>'Resultater - Vestdanmark'!B391</f>
        <v>Konventionel</v>
      </c>
      <c r="C391" s="98" t="str">
        <f>'Resultater - Vestdanmark'!C391</f>
        <v>OC12</v>
      </c>
      <c r="D391" s="98" t="str">
        <f>'Resultater - Vestdanmark'!D391</f>
        <v>Areal-permanent græs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80" t="e">
        <f>'Resultater - Vestdanmark'!H391+'Resultater - Østdanmark'!H391</f>
        <v>#REF!</v>
      </c>
      <c r="I391" s="281" t="e">
        <f>'Resultater - Vestdanmark'!I391+'Resultater - Østdanmark'!I391</f>
        <v>#REF!</v>
      </c>
      <c r="J391" s="282" t="e">
        <f>'Resultater - Vestdanmark'!J391+'Resultater - Østdanmark'!J391</f>
        <v>#REF!</v>
      </c>
    </row>
    <row r="392" spans="1:10" x14ac:dyDescent="0.25">
      <c r="A392" s="98" t="str">
        <f>'Resultater - Vestdanmark'!A392</f>
        <v>Permanent græs</v>
      </c>
      <c r="B392" s="98" t="str">
        <f>'Resultater - Vestdanmark'!B392</f>
        <v>Konventionel</v>
      </c>
      <c r="C392" s="98" t="str">
        <f>'Resultater - Vestdanmark'!C392</f>
        <v>OC12</v>
      </c>
      <c r="D392" s="98" t="str">
        <f>'Resultater - Vestdanmark'!D392</f>
        <v>Areal-permanent græs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80" t="e">
        <f>'Resultater - Vestdanmark'!H392+'Resultater - Østdanmark'!H392</f>
        <v>#REF!</v>
      </c>
      <c r="I392" s="281" t="e">
        <f>'Resultater - Vestdanmark'!I392+'Resultater - Østdanmark'!I392</f>
        <v>#REF!</v>
      </c>
      <c r="J392" s="282" t="e">
        <f>'Resultater - Vestdanmark'!J392+'Resultater - Østdanmark'!J392</f>
        <v>#REF!</v>
      </c>
    </row>
    <row r="393" spans="1:10" x14ac:dyDescent="0.25">
      <c r="A393" s="98" t="str">
        <f>'Resultater - Vestdanmark'!A393</f>
        <v>Permanent græs</v>
      </c>
      <c r="B393" s="98" t="str">
        <f>'Resultater - Vestdanmark'!B393</f>
        <v>Økologisk</v>
      </c>
      <c r="C393" s="98" t="str">
        <f>'Resultater - Vestdanmark'!C393</f>
        <v>JB1-10</v>
      </c>
      <c r="D393" s="98" t="str">
        <f>'Resultater - Vestdanmark'!D393</f>
        <v>Areal-permanent græs</v>
      </c>
      <c r="E393" s="98" t="str">
        <f>'Resultater - Vestdanmark'!E393</f>
        <v>Hektar</v>
      </c>
      <c r="F393" s="98" t="str">
        <f>'Resultater - Vestdanmark'!F393</f>
        <v>Græs</v>
      </c>
      <c r="G393" s="98" t="str">
        <f>'Resultater - Vestdanmark'!G393</f>
        <v>Ton</v>
      </c>
      <c r="H393" s="280" t="e">
        <f>'Resultater - Vestdanmark'!H393+'Resultater - Østdanmark'!H393</f>
        <v>#REF!</v>
      </c>
      <c r="I393" s="281" t="e">
        <f>'Resultater - Vestdanmark'!I393+'Resultater - Østdanmark'!I393</f>
        <v>#REF!</v>
      </c>
      <c r="J393" s="282" t="e">
        <f>'Resultater - Vestdanmark'!J393+'Resultater - Østdanmark'!J393</f>
        <v>#REF!</v>
      </c>
    </row>
    <row r="394" spans="1:10" x14ac:dyDescent="0.25">
      <c r="A394" s="98" t="str">
        <f>'Resultater - Vestdanmark'!A394</f>
        <v>Permanent græs</v>
      </c>
      <c r="B394" s="98" t="str">
        <f>'Resultater - Vestdanmark'!B394</f>
        <v>Økologisk</v>
      </c>
      <c r="C394" s="98" t="str">
        <f>'Resultater - Vestdanmark'!C394</f>
        <v>JB1-10</v>
      </c>
      <c r="D394" s="98" t="str">
        <f>'Resultater - Vestdanmark'!D394</f>
        <v>Areal-permanent græs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80" t="e">
        <f>'Resultater - Vestdanmark'!H394+'Resultater - Østdanmark'!H394</f>
        <v>#REF!</v>
      </c>
      <c r="I394" s="281" t="e">
        <f>'Resultater - Vestdanmark'!I394+'Resultater - Østdanmark'!I394</f>
        <v>#REF!</v>
      </c>
      <c r="J394" s="282" t="e">
        <f>'Resultater - Vestdanmark'!J394+'Resultater - Østdanmark'!J394</f>
        <v>#REF!</v>
      </c>
    </row>
    <row r="395" spans="1:10" x14ac:dyDescent="0.25">
      <c r="A395" s="98" t="str">
        <f>'Resultater - Vestdanmark'!A395</f>
        <v>Permanent græs</v>
      </c>
      <c r="B395" s="98" t="str">
        <f>'Resultater - Vestdanmark'!B395</f>
        <v>Økologisk</v>
      </c>
      <c r="C395" s="98" t="str">
        <f>'Resultater - Vestdanmark'!C395</f>
        <v>JB1-10</v>
      </c>
      <c r="D395" s="98" t="str">
        <f>'Resultater - Vestdanmark'!D395</f>
        <v>Areal-permanent græs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80" t="e">
        <f>'Resultater - Vestdanmark'!H395+'Resultater - Østdanmark'!H395</f>
        <v>#REF!</v>
      </c>
      <c r="I395" s="281" t="e">
        <f>'Resultater - Vestdanmark'!I395+'Resultater - Østdanmark'!I395</f>
        <v>#REF!</v>
      </c>
      <c r="J395" s="282" t="e">
        <f>'Resultater - Vestdanmark'!J395+'Resultater - Østdanmark'!J395</f>
        <v>#REF!</v>
      </c>
    </row>
    <row r="396" spans="1:10" x14ac:dyDescent="0.25">
      <c r="A396" s="98" t="str">
        <f>'Resultater - Vestdanmark'!A396</f>
        <v>Permanent græs</v>
      </c>
      <c r="B396" s="98" t="str">
        <f>'Resultater - Vestdanmark'!B396</f>
        <v>Økologisk</v>
      </c>
      <c r="C396" s="98" t="str">
        <f>'Resultater - Vestdanmark'!C396</f>
        <v>OC6</v>
      </c>
      <c r="D396" s="98" t="str">
        <f>'Resultater - Vestdanmark'!D396</f>
        <v>Areal-permanent græs</v>
      </c>
      <c r="E396" s="98" t="str">
        <f>'Resultater - Vestdanmark'!E396</f>
        <v>Hektar</v>
      </c>
      <c r="F396" s="98" t="str">
        <f>'Resultater - Vestdanmark'!F396</f>
        <v>Græs</v>
      </c>
      <c r="G396" s="98" t="str">
        <f>'Resultater - Vestdanmark'!G396</f>
        <v>Ton</v>
      </c>
      <c r="H396" s="280" t="e">
        <f>'Resultater - Vestdanmark'!H396+'Resultater - Østdanmark'!H396</f>
        <v>#REF!</v>
      </c>
      <c r="I396" s="281" t="e">
        <f>'Resultater - Vestdanmark'!I396+'Resultater - Østdanmark'!I396</f>
        <v>#REF!</v>
      </c>
      <c r="J396" s="282" t="e">
        <f>'Resultater - Vestdanmark'!J396+'Resultater - Østdanmark'!J396</f>
        <v>#REF!</v>
      </c>
    </row>
    <row r="397" spans="1:10" x14ac:dyDescent="0.25">
      <c r="A397" s="98" t="str">
        <f>'Resultater - Vestdanmark'!A397</f>
        <v>Permanent græs</v>
      </c>
      <c r="B397" s="98" t="str">
        <f>'Resultater - Vestdanmark'!B397</f>
        <v>Økologisk</v>
      </c>
      <c r="C397" s="98" t="str">
        <f>'Resultater - Vestdanmark'!C397</f>
        <v>OC6</v>
      </c>
      <c r="D397" s="98" t="str">
        <f>'Resultater - Vestdanmark'!D397</f>
        <v>Areal-permanent græs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80" t="e">
        <f>'Resultater - Vestdanmark'!H397+'Resultater - Østdanmark'!H397</f>
        <v>#REF!</v>
      </c>
      <c r="I397" s="281" t="e">
        <f>'Resultater - Vestdanmark'!I397+'Resultater - Østdanmark'!I397</f>
        <v>#REF!</v>
      </c>
      <c r="J397" s="282" t="e">
        <f>'Resultater - Vestdanmark'!J397+'Resultater - Østdanmark'!J397</f>
        <v>#REF!</v>
      </c>
    </row>
    <row r="398" spans="1:10" x14ac:dyDescent="0.25">
      <c r="A398" s="98" t="str">
        <f>'Resultater - Vestdanmark'!A398</f>
        <v>Permanent græs</v>
      </c>
      <c r="B398" s="98" t="str">
        <f>'Resultater - Vestdanmark'!B398</f>
        <v>Økologisk</v>
      </c>
      <c r="C398" s="98" t="str">
        <f>'Resultater - Vestdanmark'!C398</f>
        <v>OC6</v>
      </c>
      <c r="D398" s="98" t="str">
        <f>'Resultater - Vestdanmark'!D398</f>
        <v>Areal-permanent græs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80" t="e">
        <f>'Resultater - Vestdanmark'!H398+'Resultater - Østdanmark'!H398</f>
        <v>#REF!</v>
      </c>
      <c r="I398" s="281" t="e">
        <f>'Resultater - Vestdanmark'!I398+'Resultater - Østdanmark'!I398</f>
        <v>#REF!</v>
      </c>
      <c r="J398" s="282" t="e">
        <f>'Resultater - Vestdanmark'!J398+'Resultater - Østdanmark'!J398</f>
        <v>#REF!</v>
      </c>
    </row>
    <row r="399" spans="1:10" x14ac:dyDescent="0.25">
      <c r="A399" s="98" t="str">
        <f>'Resultater - Vestdanmark'!A399</f>
        <v>Permanent græs</v>
      </c>
      <c r="B399" s="98" t="str">
        <f>'Resultater - Vestdanmark'!B399</f>
        <v>Økologisk</v>
      </c>
      <c r="C399" s="98" t="str">
        <f>'Resultater - Vestdanmark'!C399</f>
        <v>OC12</v>
      </c>
      <c r="D399" s="98" t="str">
        <f>'Resultater - Vestdanmark'!D399</f>
        <v>Areal-permanent græs</v>
      </c>
      <c r="E399" s="98" t="str">
        <f>'Resultater - Vestdanmark'!E399</f>
        <v>Hektar</v>
      </c>
      <c r="F399" s="98" t="str">
        <f>'Resultater - Vestdanmark'!F399</f>
        <v>Græs</v>
      </c>
      <c r="G399" s="98" t="str">
        <f>'Resultater - Vestdanmark'!G399</f>
        <v>Ton</v>
      </c>
      <c r="H399" s="280" t="e">
        <f>'Resultater - Vestdanmark'!H399+'Resultater - Østdanmark'!H399</f>
        <v>#REF!</v>
      </c>
      <c r="I399" s="281" t="e">
        <f>'Resultater - Vestdanmark'!I399+'Resultater - Østdanmark'!I399</f>
        <v>#REF!</v>
      </c>
      <c r="J399" s="282" t="e">
        <f>'Resultater - Vestdanmark'!J399+'Resultater - Østdanmark'!J399</f>
        <v>#REF!</v>
      </c>
    </row>
    <row r="400" spans="1:10" x14ac:dyDescent="0.25">
      <c r="A400" s="98" t="str">
        <f>'Resultater - Vestdanmark'!A400</f>
        <v>Permanent græs</v>
      </c>
      <c r="B400" s="98" t="str">
        <f>'Resultater - Vestdanmark'!B400</f>
        <v>Økologisk</v>
      </c>
      <c r="C400" s="98" t="str">
        <f>'Resultater - Vestdanmark'!C400</f>
        <v>OC12</v>
      </c>
      <c r="D400" s="98" t="str">
        <f>'Resultater - Vestdanmark'!D400</f>
        <v>Areal-permanent græs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80" t="e">
        <f>'Resultater - Vestdanmark'!H400+'Resultater - Østdanmark'!H400</f>
        <v>#REF!</v>
      </c>
      <c r="I400" s="281" t="e">
        <f>'Resultater - Vestdanmark'!I400+'Resultater - Østdanmark'!I400</f>
        <v>#REF!</v>
      </c>
      <c r="J400" s="282" t="e">
        <f>'Resultater - Vestdanmark'!J400+'Resultater - Østdanmark'!J400</f>
        <v>#REF!</v>
      </c>
    </row>
    <row r="401" spans="1:10" x14ac:dyDescent="0.25">
      <c r="A401" s="98" t="str">
        <f>'Resultater - Vestdanmark'!A401</f>
        <v>Permanent græs</v>
      </c>
      <c r="B401" s="98" t="str">
        <f>'Resultater - Vestdanmark'!B401</f>
        <v>Økologisk</v>
      </c>
      <c r="C401" s="98" t="str">
        <f>'Resultater - Vestdanmark'!C401</f>
        <v>OC12</v>
      </c>
      <c r="D401" s="98" t="str">
        <f>'Resultater - Vestdanmark'!D401</f>
        <v>Areal-permanent græs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80" t="e">
        <f>'Resultater - Vestdanmark'!H401+'Resultater - Østdanmark'!H401</f>
        <v>#REF!</v>
      </c>
      <c r="I401" s="281" t="e">
        <f>'Resultater - Vestdanmark'!I401+'Resultater - Østdanmark'!I401</f>
        <v>#REF!</v>
      </c>
      <c r="J401" s="282" t="e">
        <f>'Resultater - Vestdanmark'!J401+'Resultater - Østdanmark'!J401</f>
        <v>#REF!</v>
      </c>
    </row>
    <row r="402" spans="1:10" x14ac:dyDescent="0.25">
      <c r="A402" s="98" t="str">
        <f>'Resultater - Vestdanmark'!A402</f>
        <v>Tømmerproduktion</v>
      </c>
      <c r="B402" s="98" t="str">
        <f>'Resultater - Vestdanmark'!B402</f>
        <v/>
      </c>
      <c r="C402" s="98" t="str">
        <f>'Resultater - Vestdanmark'!C402</f>
        <v/>
      </c>
      <c r="D402" s="98" t="str">
        <f>'Resultater - Vestdanmark'!D402</f>
        <v>Træer</v>
      </c>
      <c r="E402" s="98" t="str">
        <f>'Resultater - Vestdanmark'!E402</f>
        <v>m3</v>
      </c>
      <c r="F402" s="98" t="str">
        <f>'Resultater - Vestdanmark'!F402</f>
        <v>Træmaterialer</v>
      </c>
      <c r="G402" s="98" t="str">
        <f>'Resultater - Vestdanmark'!G402</f>
        <v>m3</v>
      </c>
      <c r="H402" s="280" t="e">
        <f>'Resultater - Vestdanmark'!H402+'Resultater - Østdanmark'!H402</f>
        <v>#REF!</v>
      </c>
      <c r="I402" s="281" t="e">
        <f>'Resultater - Vestdanmark'!I402+'Resultater - Østdanmark'!I402</f>
        <v>#REF!</v>
      </c>
      <c r="J402" s="282" t="e">
        <f>'Resultater - Vestdanmark'!J402+'Resultater - Østdanmark'!J402</f>
        <v>#REF!</v>
      </c>
    </row>
    <row r="403" spans="1:10" x14ac:dyDescent="0.25">
      <c r="A403" s="98" t="str">
        <f>'Resultater - Vestdanmark'!A403</f>
        <v>Tømmerproduktion</v>
      </c>
      <c r="B403" s="98" t="str">
        <f>'Resultater - Vestdanmark'!B403</f>
        <v/>
      </c>
      <c r="C403" s="98" t="str">
        <f>'Resultater - Vestdanmark'!C403</f>
        <v/>
      </c>
      <c r="D403" s="98" t="str">
        <f>'Resultater - Vestdanmark'!D403</f>
        <v>Træer</v>
      </c>
      <c r="E403" s="98" t="str">
        <f>'Resultater - Vestdanmark'!E403</f>
        <v>m3</v>
      </c>
      <c r="F403" s="98" t="str">
        <f>'Resultater - Vestdanmark'!F403</f>
        <v>Træ til energi</v>
      </c>
      <c r="G403" s="98" t="str">
        <f>'Resultater - Vestdanmark'!G403</f>
        <v>m3</v>
      </c>
      <c r="H403" s="280" t="e">
        <f>'Resultater - Vestdanmark'!H403+'Resultater - Østdanmark'!H403</f>
        <v>#REF!</v>
      </c>
      <c r="I403" s="281" t="e">
        <f>'Resultater - Vestdanmark'!I403+'Resultater - Østdanmark'!I403</f>
        <v>#REF!</v>
      </c>
      <c r="J403" s="282" t="e">
        <f>'Resultater - Vestdanmark'!J403+'Resultater - Østdanmark'!J403</f>
        <v>#REF!</v>
      </c>
    </row>
    <row r="404" spans="1:10" x14ac:dyDescent="0.25">
      <c r="A404" s="98" t="str">
        <f>'Resultater - Vestdanmark'!A404</f>
        <v>Mejeri</v>
      </c>
      <c r="B404" s="98" t="str">
        <f>'Resultater - Vestdanmark'!B404</f>
        <v/>
      </c>
      <c r="C404" s="98" t="str">
        <f>'Resultater - Vestdanmark'!C404</f>
        <v/>
      </c>
      <c r="D404" s="98" t="str">
        <f>'Resultater - Vestdanmark'!D404</f>
        <v>Råmælk</v>
      </c>
      <c r="E404" s="98" t="str">
        <f>'Resultater - Vestdanmark'!E404</f>
        <v>Ton</v>
      </c>
      <c r="F404" s="98" t="str">
        <f>'Resultater - Vestdanmark'!F404</f>
        <v>Mejeriprodukter</v>
      </c>
      <c r="G404" s="98" t="str">
        <f>'Resultater - Vestdanmark'!G404</f>
        <v>Ton</v>
      </c>
      <c r="H404" s="280" t="e">
        <f>'Resultater - Vestdanmark'!H404+'Resultater - Østdanmark'!H404</f>
        <v>#REF!</v>
      </c>
      <c r="I404" s="281" t="e">
        <f>'Resultater - Vestdanmark'!I404+'Resultater - Østdanmark'!I404</f>
        <v>#REF!</v>
      </c>
      <c r="J404" s="282" t="e">
        <f>'Resultater - Vestdanmark'!J404+'Resultater - Østdanmark'!J404</f>
        <v>#REF!</v>
      </c>
    </row>
    <row r="405" spans="1:10" x14ac:dyDescent="0.25">
      <c r="A405" s="98" t="str">
        <f>'Resultater - Vestdanmark'!A405</f>
        <v>Mejeri</v>
      </c>
      <c r="B405" s="98" t="str">
        <f>'Resultater - Vestdanmark'!B405</f>
        <v/>
      </c>
      <c r="C405" s="98" t="str">
        <f>'Resultater - Vestdanmark'!C405</f>
        <v/>
      </c>
      <c r="D405" s="98" t="str">
        <f>'Resultater - Vestdanmark'!D405</f>
        <v>Råmælk</v>
      </c>
      <c r="E405" s="98" t="str">
        <f>'Resultater - Vestdanmark'!E405</f>
        <v>Ton</v>
      </c>
      <c r="F405" s="98" t="str">
        <f>'Resultater - Vestdanmark'!F405</f>
        <v>Spildevandsslam</v>
      </c>
      <c r="G405" s="98" t="str">
        <f>'Resultater - Vestdanmark'!G405</f>
        <v>Ton</v>
      </c>
      <c r="H405" s="280" t="e">
        <f>'Resultater - Vestdanmark'!H405+'Resultater - Østdanmark'!H405</f>
        <v>#REF!</v>
      </c>
      <c r="I405" s="281" t="e">
        <f>'Resultater - Vestdanmark'!I405+'Resultater - Østdanmark'!I405</f>
        <v>#REF!</v>
      </c>
      <c r="J405" s="282" t="e">
        <f>'Resultater - Vestdanmark'!J405+'Resultater - Østdanmark'!J405</f>
        <v>#REF!</v>
      </c>
    </row>
    <row r="406" spans="1:10" s="171" customFormat="1" x14ac:dyDescent="0.25">
      <c r="A406" s="98" t="str">
        <f>'Resultater - Vestdanmark'!A406</f>
        <v>Mejeri</v>
      </c>
      <c r="B406" s="98" t="str">
        <f>'Resultater - Vestdanmark'!B406</f>
        <v/>
      </c>
      <c r="C406" s="98" t="str">
        <f>'Resultater - Vestdanmark'!C406</f>
        <v/>
      </c>
      <c r="D406" s="98" t="str">
        <f>'Resultater - Vestdanmark'!D406</f>
        <v>Råmælk</v>
      </c>
      <c r="E406" s="98" t="str">
        <f>'Resultater - Vestdanmark'!E406</f>
        <v>Ton</v>
      </c>
      <c r="F406" s="98" t="str">
        <f>'Resultater - Vestdanmark'!F406</f>
        <v>Industriaffald</v>
      </c>
      <c r="G406" s="98" t="str">
        <f>'Resultater - Vestdanmark'!G406</f>
        <v>Ton</v>
      </c>
      <c r="H406" s="280" t="e">
        <f>'Resultater - Vestdanmark'!H406+'Resultater - Østdanmark'!H406</f>
        <v>#REF!</v>
      </c>
      <c r="I406" s="281" t="e">
        <f>'Resultater - Vestdanmark'!I406+'Resultater - Østdanmark'!I406</f>
        <v>#REF!</v>
      </c>
      <c r="J406" s="282" t="e">
        <f>'Resultater - Vestdanmark'!J406+'Resultater - Østdanmark'!J406</f>
        <v>#REF!</v>
      </c>
    </row>
    <row r="407" spans="1:10" x14ac:dyDescent="0.25">
      <c r="A407" s="98" t="str">
        <f>'Resultater - Vestdanmark'!A407</f>
        <v>Mejeri</v>
      </c>
      <c r="B407" s="98" t="str">
        <f>'Resultater - Vestdanmark'!B407</f>
        <v/>
      </c>
      <c r="C407" s="98" t="str">
        <f>'Resultater - Vestdanmark'!C407</f>
        <v/>
      </c>
      <c r="D407" s="98" t="str">
        <f>'Resultater - Vestdanmark'!D407</f>
        <v>Råmælk</v>
      </c>
      <c r="E407" s="98" t="str">
        <f>'Resultater - Vestdanmark'!E407</f>
        <v>Ton</v>
      </c>
      <c r="F407" s="98" t="str">
        <f>'Resultater - Vestdanmark'!F407</f>
        <v>Mælk til foder</v>
      </c>
      <c r="G407" s="98" t="str">
        <f>'Resultater - Vestdanmark'!G407</f>
        <v>Ton</v>
      </c>
      <c r="H407" s="280" t="e">
        <f>'Resultater - Vestdanmark'!H407+'Resultater - Østdanmark'!H407</f>
        <v>#REF!</v>
      </c>
      <c r="I407" s="281" t="e">
        <f>'Resultater - Vestdanmark'!I407+'Resultater - Østdanmark'!I407</f>
        <v>#REF!</v>
      </c>
      <c r="J407" s="282" t="e">
        <f>'Resultater - Vestdanmark'!J407+'Resultater - Østdanmark'!J407</f>
        <v>#REF!</v>
      </c>
    </row>
    <row r="408" spans="1:10" x14ac:dyDescent="0.25">
      <c r="A408" s="98" t="str">
        <f>'Resultater - Vestdanmark'!A408</f>
        <v>Slagteri</v>
      </c>
      <c r="B408" s="98" t="str">
        <f>'Resultater - Vestdanmark'!B408</f>
        <v/>
      </c>
      <c r="C408" s="98" t="str">
        <f>'Resultater - Vestdanmark'!C408</f>
        <v/>
      </c>
      <c r="D408" s="98" t="str">
        <f>'Resultater - Vestdanmark'!D408</f>
        <v>Slagtesvin</v>
      </c>
      <c r="E408" s="98" t="str">
        <f>'Resultater - Vestdanmark'!E408</f>
        <v>Antal</v>
      </c>
      <c r="F408" s="98" t="str">
        <f>'Resultater - Vestdanmark'!F408</f>
        <v>Svinekød</v>
      </c>
      <c r="G408" s="98" t="str">
        <f>'Resultater - Vestdanmark'!G408</f>
        <v>Ton</v>
      </c>
      <c r="H408" s="280" t="e">
        <f>'Resultater - Vestdanmark'!H408+'Resultater - Østdanmark'!H408</f>
        <v>#REF!</v>
      </c>
      <c r="I408" s="281" t="e">
        <f>'Resultater - Vestdanmark'!I408+'Resultater - Østdanmark'!I408</f>
        <v>#REF!</v>
      </c>
      <c r="J408" s="282" t="e">
        <f>'Resultater - Vestdanmark'!J408+'Resultater - Østdanmark'!J408</f>
        <v>#REF!</v>
      </c>
    </row>
    <row r="409" spans="1:10" x14ac:dyDescent="0.25">
      <c r="A409" s="98" t="str">
        <f>'Resultater - Vestdanmark'!A409</f>
        <v>Slagteri</v>
      </c>
      <c r="B409" s="98" t="str">
        <f>'Resultater - Vestdanmark'!B409</f>
        <v/>
      </c>
      <c r="C409" s="98" t="str">
        <f>'Resultater - Vestdanmark'!C409</f>
        <v/>
      </c>
      <c r="D409" s="98" t="str">
        <f>'Resultater - Vestdanmark'!D409</f>
        <v>Slagtesvin</v>
      </c>
      <c r="E409" s="98" t="str">
        <f>'Resultater - Vestdanmark'!E409</f>
        <v>Antal</v>
      </c>
      <c r="F409" s="98" t="str">
        <f>'Resultater - Vestdanmark'!F409</f>
        <v>Industriaffald</v>
      </c>
      <c r="G409" s="98" t="str">
        <f>'Resultater - Vestdanmark'!G409</f>
        <v>Ton</v>
      </c>
      <c r="H409" s="280" t="e">
        <f>'Resultater - Vestdanmark'!H409+'Resultater - Østdanmark'!H409</f>
        <v>#REF!</v>
      </c>
      <c r="I409" s="281" t="e">
        <f>'Resultater - Vestdanmark'!I409+'Resultater - Østdanmark'!I409</f>
        <v>#REF!</v>
      </c>
      <c r="J409" s="282" t="e">
        <f>'Resultater - Vestdanmark'!J409+'Resultater - Østdanmark'!J409</f>
        <v>#REF!</v>
      </c>
    </row>
    <row r="410" spans="1:10" x14ac:dyDescent="0.25">
      <c r="A410" s="98" t="str">
        <f>'Resultater - Vestdanmark'!A410</f>
        <v>Slagteri</v>
      </c>
      <c r="B410" s="98" t="str">
        <f>'Resultater - Vestdanmark'!B410</f>
        <v/>
      </c>
      <c r="C410" s="98" t="str">
        <f>'Resultater - Vestdanmark'!C410</f>
        <v/>
      </c>
      <c r="D410" s="98" t="str">
        <f>'Resultater - Vestdanmark'!D410</f>
        <v>Slagtesvin</v>
      </c>
      <c r="E410" s="98" t="str">
        <f>'Resultater - Vestdanmark'!E410</f>
        <v>Antal</v>
      </c>
      <c r="F410" s="98" t="str">
        <f>'Resultater - Vestdanmark'!F410</f>
        <v>Slagteriaffald til foder</v>
      </c>
      <c r="G410" s="98" t="str">
        <f>'Resultater - Vestdanmark'!G410</f>
        <v>Ton</v>
      </c>
      <c r="H410" s="280" t="e">
        <f>'Resultater - Vestdanmark'!H410+'Resultater - Østdanmark'!H410</f>
        <v>#REF!</v>
      </c>
      <c r="I410" s="281" t="e">
        <f>'Resultater - Vestdanmark'!I410+'Resultater - Østdanmark'!I410</f>
        <v>#REF!</v>
      </c>
      <c r="J410" s="282" t="e">
        <f>'Resultater - Vestdanmark'!J410+'Resultater - Østdanmark'!J410</f>
        <v>#REF!</v>
      </c>
    </row>
    <row r="411" spans="1:10" x14ac:dyDescent="0.25">
      <c r="A411" s="98" t="str">
        <f>'Resultater - Vestdanmark'!A411</f>
        <v>Slagteri</v>
      </c>
      <c r="B411" s="98" t="str">
        <f>'Resultater - Vestdanmark'!B411</f>
        <v/>
      </c>
      <c r="C411" s="98" t="str">
        <f>'Resultater - Vestdanmark'!C411</f>
        <v/>
      </c>
      <c r="D411" s="98" t="str">
        <f>'Resultater - Vestdanmark'!D411</f>
        <v>Slagtesvin</v>
      </c>
      <c r="E411" s="98" t="str">
        <f>'Resultater - Vestdanmark'!E411</f>
        <v>Antal</v>
      </c>
      <c r="F411" s="98" t="str">
        <f>'Resultater - Vestdanmark'!F411</f>
        <v>Slagteriaffald til andet</v>
      </c>
      <c r="G411" s="98" t="str">
        <f>'Resultater - Vestdanmark'!G411</f>
        <v>Ton</v>
      </c>
      <c r="H411" s="280" t="e">
        <f>'Resultater - Vestdanmark'!H411+'Resultater - Østdanmark'!H411</f>
        <v>#REF!</v>
      </c>
      <c r="I411" s="281" t="e">
        <f>'Resultater - Vestdanmark'!I411+'Resultater - Østdanmark'!I411</f>
        <v>#REF!</v>
      </c>
      <c r="J411" s="282" t="e">
        <f>'Resultater - Vestdanmark'!J411+'Resultater - Østdanmark'!J411</f>
        <v>#REF!</v>
      </c>
    </row>
    <row r="412" spans="1:10" x14ac:dyDescent="0.25">
      <c r="A412" s="98" t="str">
        <f>'Resultater - Vestdanmark'!A412</f>
        <v>Slagteri</v>
      </c>
      <c r="B412" s="98" t="str">
        <f>'Resultater - Vestdanmark'!B412</f>
        <v/>
      </c>
      <c r="C412" s="98" t="str">
        <f>'Resultater - Vestdanmark'!C412</f>
        <v/>
      </c>
      <c r="D412" s="98" t="str">
        <f>'Resultater - Vestdanmark'!D412</f>
        <v>Slagtekøer</v>
      </c>
      <c r="E412" s="98" t="str">
        <f>'Resultater - Vestdanmark'!E412</f>
        <v>Antal</v>
      </c>
      <c r="F412" s="98" t="str">
        <f>'Resultater - Vestdanmark'!F412</f>
        <v>Oksekød</v>
      </c>
      <c r="G412" s="98" t="str">
        <f>'Resultater - Vestdanmark'!G412</f>
        <v>Ton</v>
      </c>
      <c r="H412" s="280" t="e">
        <f>'Resultater - Vestdanmark'!H412+'Resultater - Østdanmark'!H412</f>
        <v>#REF!</v>
      </c>
      <c r="I412" s="281" t="e">
        <f>'Resultater - Vestdanmark'!I412+'Resultater - Østdanmark'!I412</f>
        <v>#REF!</v>
      </c>
      <c r="J412" s="282" t="e">
        <f>'Resultater - Vestdanmark'!J412+'Resultater - Østdanmark'!J412</f>
        <v>#REF!</v>
      </c>
    </row>
    <row r="413" spans="1:10" x14ac:dyDescent="0.25">
      <c r="A413" s="98" t="str">
        <f>'Resultater - Vestdanmark'!A413</f>
        <v>Slagteri</v>
      </c>
      <c r="B413" s="98" t="str">
        <f>'Resultater - Vestdanmark'!B413</f>
        <v/>
      </c>
      <c r="C413" s="98" t="str">
        <f>'Resultater - Vestdanmark'!C413</f>
        <v/>
      </c>
      <c r="D413" s="98" t="str">
        <f>'Resultater - Vestdanmark'!D413</f>
        <v>Slagtekøer</v>
      </c>
      <c r="E413" s="98" t="str">
        <f>'Resultater - Vestdanmark'!E413</f>
        <v>Antal</v>
      </c>
      <c r="F413" s="98" t="str">
        <f>'Resultater - Vestdanmark'!F413</f>
        <v>Industriaffald</v>
      </c>
      <c r="G413" s="98" t="str">
        <f>'Resultater - Vestdanmark'!G413</f>
        <v>Ton</v>
      </c>
      <c r="H413" s="280" t="e">
        <f>'Resultater - Vestdanmark'!H413+'Resultater - Østdanmark'!H413</f>
        <v>#REF!</v>
      </c>
      <c r="I413" s="281" t="e">
        <f>'Resultater - Vestdanmark'!I413+'Resultater - Østdanmark'!I413</f>
        <v>#REF!</v>
      </c>
      <c r="J413" s="282" t="e">
        <f>'Resultater - Vestdanmark'!J413+'Resultater - Østdanmark'!J413</f>
        <v>#REF!</v>
      </c>
    </row>
    <row r="414" spans="1:10" x14ac:dyDescent="0.25">
      <c r="A414" s="98" t="str">
        <f>'Resultater - Vestdanmark'!A414</f>
        <v>Slagteri</v>
      </c>
      <c r="B414" s="98" t="str">
        <f>'Resultater - Vestdanmark'!B414</f>
        <v/>
      </c>
      <c r="C414" s="98" t="str">
        <f>'Resultater - Vestdanmark'!C414</f>
        <v/>
      </c>
      <c r="D414" s="98" t="str">
        <f>'Resultater - Vestdanmark'!D414</f>
        <v>Slagtekøer</v>
      </c>
      <c r="E414" s="98" t="str">
        <f>'Resultater - Vestdanmark'!E414</f>
        <v>Antal</v>
      </c>
      <c r="F414" s="98" t="str">
        <f>'Resultater - Vestdanmark'!F414</f>
        <v>Slagteriaffald til foder</v>
      </c>
      <c r="G414" s="98" t="str">
        <f>'Resultater - Vestdanmark'!G414</f>
        <v>Ton</v>
      </c>
      <c r="H414" s="280" t="e">
        <f>'Resultater - Vestdanmark'!H414+'Resultater - Østdanmark'!H414</f>
        <v>#REF!</v>
      </c>
      <c r="I414" s="281" t="e">
        <f>'Resultater - Vestdanmark'!I414+'Resultater - Østdanmark'!I414</f>
        <v>#REF!</v>
      </c>
      <c r="J414" s="282" t="e">
        <f>'Resultater - Vestdanmark'!J414+'Resultater - Østdanmark'!J414</f>
        <v>#REF!</v>
      </c>
    </row>
    <row r="415" spans="1:10" x14ac:dyDescent="0.25">
      <c r="A415" s="98" t="str">
        <f>'Resultater - Vestdanmark'!A415</f>
        <v>Slagteri</v>
      </c>
      <c r="B415" s="98" t="str">
        <f>'Resultater - Vestdanmark'!B415</f>
        <v/>
      </c>
      <c r="C415" s="98" t="str">
        <f>'Resultater - Vestdanmark'!C415</f>
        <v/>
      </c>
      <c r="D415" s="98" t="str">
        <f>'Resultater - Vestdanmark'!D415</f>
        <v>Slagtekøer</v>
      </c>
      <c r="E415" s="98" t="str">
        <f>'Resultater - Vestdanmark'!E415</f>
        <v>Antal</v>
      </c>
      <c r="F415" s="98" t="str">
        <f>'Resultater - Vestdanmark'!F415</f>
        <v>Slagteriaffald til andet</v>
      </c>
      <c r="G415" s="98" t="str">
        <f>'Resultater - Vestdanmark'!G415</f>
        <v>Ton</v>
      </c>
      <c r="H415" s="280" t="e">
        <f>'Resultater - Vestdanmark'!H415+'Resultater - Østdanmark'!H415</f>
        <v>#REF!</v>
      </c>
      <c r="I415" s="281" t="e">
        <f>'Resultater - Vestdanmark'!I415+'Resultater - Østdanmark'!I415</f>
        <v>#REF!</v>
      </c>
      <c r="J415" s="282" t="e">
        <f>'Resultater - Vestdanmark'!J415+'Resultater - Østdanmark'!J415</f>
        <v>#REF!</v>
      </c>
    </row>
    <row r="416" spans="1:10" x14ac:dyDescent="0.25">
      <c r="A416" s="98" t="str">
        <f>'Resultater - Vestdanmark'!A416</f>
        <v>Slagteri</v>
      </c>
      <c r="B416" s="98" t="str">
        <f>'Resultater - Vestdanmark'!B416</f>
        <v/>
      </c>
      <c r="C416" s="98" t="str">
        <f>'Resultater - Vestdanmark'!C416</f>
        <v/>
      </c>
      <c r="D416" s="98" t="str">
        <f>'Resultater - Vestdanmark'!D416</f>
        <v>Slagtefjerkræ</v>
      </c>
      <c r="E416" s="98" t="str">
        <f>'Resultater - Vestdanmark'!E416</f>
        <v>Antal</v>
      </c>
      <c r="F416" s="98" t="str">
        <f>'Resultater - Vestdanmark'!F416</f>
        <v>Fjerkrækød</v>
      </c>
      <c r="G416" s="98" t="str">
        <f>'Resultater - Vestdanmark'!G416</f>
        <v>Ton</v>
      </c>
      <c r="H416" s="280" t="e">
        <f>'Resultater - Vestdanmark'!H416+'Resultater - Østdanmark'!H416</f>
        <v>#REF!</v>
      </c>
      <c r="I416" s="281" t="e">
        <f>'Resultater - Vestdanmark'!I416+'Resultater - Østdanmark'!I416</f>
        <v>#REF!</v>
      </c>
      <c r="J416" s="282" t="e">
        <f>'Resultater - Vestdanmark'!J416+'Resultater - Østdanmark'!J416</f>
        <v>#REF!</v>
      </c>
    </row>
    <row r="417" spans="1:10" ht="15.75" thickBot="1" x14ac:dyDescent="0.3">
      <c r="A417" s="98" t="str">
        <f>'Resultater - Vestdanmark'!A417</f>
        <v>Slagteri</v>
      </c>
      <c r="B417" s="98" t="str">
        <f>'Resultater - Vestdanmark'!B417</f>
        <v/>
      </c>
      <c r="C417" s="98" t="str">
        <f>'Resultater - Vestdanmark'!C417</f>
        <v/>
      </c>
      <c r="D417" s="98" t="str">
        <f>'Resultater - Vestdanmark'!D417</f>
        <v>Slagtefjerkræ</v>
      </c>
      <c r="E417" s="98" t="str">
        <f>'Resultater - Vestdanmark'!E417</f>
        <v>Antal</v>
      </c>
      <c r="F417" s="98" t="str">
        <f>'Resultater - Vestdanmark'!F417</f>
        <v>Industriaffald</v>
      </c>
      <c r="G417" s="98" t="str">
        <f>'Resultater - Vestdanmark'!G417</f>
        <v>Ton</v>
      </c>
      <c r="H417" s="283" t="e">
        <f>'Resultater - Vestdanmark'!H417+'Resultater - Østdanmark'!H417</f>
        <v>#REF!</v>
      </c>
      <c r="I417" s="284" t="e">
        <f>'Resultater - Vestdanmark'!I417+'Resultater - Østdanmark'!I417</f>
        <v>#REF!</v>
      </c>
      <c r="J417" s="285" t="e">
        <f>'Resultater - Vestdanmark'!J417+'Resultater - Østdanmark'!J417</f>
        <v>#REF!</v>
      </c>
    </row>
    <row r="418" spans="1:10" x14ac:dyDescent="0.25">
      <c r="A418" s="98" t="str">
        <f>'Resultater - Vestdanmark'!A418</f>
        <v>Foderproduktion</v>
      </c>
      <c r="B418" s="98" t="str">
        <f>'Resultater - Vestdanmark'!B418</f>
        <v/>
      </c>
      <c r="C418" s="98" t="str">
        <f>'Resultater - Vestdanmark'!C418</f>
        <v/>
      </c>
      <c r="D418" s="98" t="str">
        <f>'Resultater - Vestdanmark'!D418</f>
        <v>Korn</v>
      </c>
      <c r="E418" s="98" t="str">
        <f>'Resultater - Vestdanmark'!E418</f>
        <v>Ton</v>
      </c>
      <c r="F418" s="98" t="str">
        <f>'Resultater - Vestdanmark'!F418</f>
        <v>Foder</v>
      </c>
      <c r="G418" s="98" t="str">
        <f>'Resultater - Vestdanmark'!G418</f>
        <v>FE</v>
      </c>
      <c r="H418" s="277" t="e">
        <f>'Resultater - Vestdanmark'!H418+'Resultater - Østdanmark'!H418</f>
        <v>#REF!</v>
      </c>
      <c r="I418" s="278" t="e">
        <f>'Resultater - Vestdanmark'!I418+'Resultater - Østdanmark'!I418</f>
        <v>#REF!</v>
      </c>
      <c r="J418" s="279" t="e">
        <f>'Resultater - Vestdanmark'!J418+'Resultater - Østdanmark'!J418</f>
        <v>#REF!</v>
      </c>
    </row>
    <row r="419" spans="1:10" x14ac:dyDescent="0.25">
      <c r="A419" s="98" t="str">
        <f>'Resultater - Vestdanmark'!A419</f>
        <v>Foderproduktion</v>
      </c>
      <c r="B419" s="98" t="str">
        <f>'Resultater - Vestdanmark'!B419</f>
        <v/>
      </c>
      <c r="C419" s="98" t="str">
        <f>'Resultater - Vestdanmark'!C419</f>
        <v/>
      </c>
      <c r="D419" s="98" t="str">
        <f>'Resultater - Vestdanmark'!D419</f>
        <v>Halm</v>
      </c>
      <c r="E419" s="98" t="str">
        <f>'Resultater - Vestdanmark'!E419</f>
        <v>Ton</v>
      </c>
      <c r="F419" s="98" t="str">
        <f>'Resultater - Vestdanmark'!F419</f>
        <v>Foder</v>
      </c>
      <c r="G419" s="98" t="str">
        <f>'Resultater - Vestdanmark'!G419</f>
        <v>FE</v>
      </c>
      <c r="H419" s="280" t="e">
        <f>'Resultater - Vestdanmark'!H419+'Resultater - Østdanmark'!H419</f>
        <v>#REF!</v>
      </c>
      <c r="I419" s="281" t="e">
        <f>'Resultater - Vestdanmark'!I419+'Resultater - Østdanmark'!I419</f>
        <v>#REF!</v>
      </c>
      <c r="J419" s="282" t="e">
        <f>'Resultater - Vestdanmark'!J419+'Resultater - Østdanmark'!J419</f>
        <v>#REF!</v>
      </c>
    </row>
    <row r="420" spans="1:10" x14ac:dyDescent="0.25">
      <c r="A420" s="98" t="str">
        <f>'Resultater - Vestdanmark'!A420</f>
        <v>Foderproduktion</v>
      </c>
      <c r="B420" s="98" t="str">
        <f>'Resultater - Vestdanmark'!B420</f>
        <v/>
      </c>
      <c r="C420" s="98" t="str">
        <f>'Resultater - Vestdanmark'!C420</f>
        <v/>
      </c>
      <c r="D420" s="98" t="str">
        <f>'Resultater - Vestdanmark'!D420</f>
        <v>Kartofler</v>
      </c>
      <c r="E420" s="98" t="str">
        <f>'Resultater - Vestdanmark'!E420</f>
        <v>Ton</v>
      </c>
      <c r="F420" s="98" t="str">
        <f>'Resultater - Vestdanmark'!F420</f>
        <v>Foder</v>
      </c>
      <c r="G420" s="98" t="str">
        <f>'Resultater - Vestdanmark'!G420</f>
        <v>FE</v>
      </c>
      <c r="H420" s="280" t="e">
        <f>'Resultater - Vestdanmark'!H420+'Resultater - Østdanmark'!H420</f>
        <v>#REF!</v>
      </c>
      <c r="I420" s="281" t="e">
        <f>'Resultater - Vestdanmark'!I420+'Resultater - Østdanmark'!I420</f>
        <v>#REF!</v>
      </c>
      <c r="J420" s="282" t="e">
        <f>'Resultater - Vestdanmark'!J420+'Resultater - Østdanmark'!J420</f>
        <v>#REF!</v>
      </c>
    </row>
    <row r="421" spans="1:10" x14ac:dyDescent="0.25">
      <c r="A421" s="98" t="str">
        <f>'Resultater - Vestdanmark'!A421</f>
        <v>Foderproduktion</v>
      </c>
      <c r="B421" s="98" t="str">
        <f>'Resultater - Vestdanmark'!B421</f>
        <v/>
      </c>
      <c r="C421" s="98" t="str">
        <f>'Resultater - Vestdanmark'!C421</f>
        <v/>
      </c>
      <c r="D421" s="98" t="str">
        <f>'Resultater - Vestdanmark'!D421</f>
        <v>Bælgsæd</v>
      </c>
      <c r="E421" s="98" t="str">
        <f>'Resultater - Vestdanmark'!E421</f>
        <v>Ton</v>
      </c>
      <c r="F421" s="98" t="str">
        <f>'Resultater - Vestdanmark'!F421</f>
        <v>Foder</v>
      </c>
      <c r="G421" s="98" t="str">
        <f>'Resultater - Vestdanmark'!G421</f>
        <v>FE</v>
      </c>
      <c r="H421" s="280" t="e">
        <f>'Resultater - Vestdanmark'!H421+'Resultater - Østdanmark'!H421</f>
        <v>#REF!</v>
      </c>
      <c r="I421" s="281" t="e">
        <f>'Resultater - Vestdanmark'!I421+'Resultater - Østdanmark'!I421</f>
        <v>#REF!</v>
      </c>
      <c r="J421" s="282" t="e">
        <f>'Resultater - Vestdanmark'!J421+'Resultater - Østdanmark'!J421</f>
        <v>#REF!</v>
      </c>
    </row>
    <row r="422" spans="1:10" x14ac:dyDescent="0.25">
      <c r="A422" s="98" t="str">
        <f>'Resultater - Vestdanmark'!A422</f>
        <v>Foderproduktion</v>
      </c>
      <c r="B422" s="98" t="str">
        <f>'Resultater - Vestdanmark'!B422</f>
        <v/>
      </c>
      <c r="C422" s="98" t="str">
        <f>'Resultater - Vestdanmark'!C422</f>
        <v/>
      </c>
      <c r="D422" s="98" t="str">
        <f>'Resultater - Vestdanmark'!D422</f>
        <v>Roer</v>
      </c>
      <c r="E422" s="98" t="str">
        <f>'Resultater - Vestdanmark'!E422</f>
        <v>Ton</v>
      </c>
      <c r="F422" s="98" t="str">
        <f>'Resultater - Vestdanmark'!F422</f>
        <v>Foder</v>
      </c>
      <c r="G422" s="98" t="str">
        <f>'Resultater - Vestdanmark'!G422</f>
        <v>FE</v>
      </c>
      <c r="H422" s="280" t="e">
        <f>'Resultater - Vestdanmark'!H422+'Resultater - Østdanmark'!H422</f>
        <v>#REF!</v>
      </c>
      <c r="I422" s="281" t="e">
        <f>'Resultater - Vestdanmark'!I422+'Resultater - Østdanmark'!I422</f>
        <v>#REF!</v>
      </c>
      <c r="J422" s="282" t="e">
        <f>'Resultater - Vestdanmark'!J422+'Resultater - Østdanmark'!J422</f>
        <v>#REF!</v>
      </c>
    </row>
    <row r="423" spans="1:10" x14ac:dyDescent="0.25">
      <c r="A423" s="98" t="str">
        <f>'Resultater - Vestdanmark'!A423</f>
        <v>Foderproduktion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Majs</v>
      </c>
      <c r="E423" s="98" t="str">
        <f>'Resultater - Vestdanmark'!E423</f>
        <v>Ton</v>
      </c>
      <c r="F423" s="98" t="str">
        <f>'Resultater - Vestdanmark'!F423</f>
        <v>Foder</v>
      </c>
      <c r="G423" s="98" t="str">
        <f>'Resultater - Vestdanmark'!G423</f>
        <v>FE</v>
      </c>
      <c r="H423" s="280" t="e">
        <f>'Resultater - Vestdanmark'!H423+'Resultater - Østdanmark'!H423</f>
        <v>#REF!</v>
      </c>
      <c r="I423" s="281" t="e">
        <f>'Resultater - Vestdanmark'!I423+'Resultater - Østdanmark'!I423</f>
        <v>#REF!</v>
      </c>
      <c r="J423" s="282" t="e">
        <f>'Resultater - Vestdanmark'!J423+'Resultater - Østdanmark'!J423</f>
        <v>#REF!</v>
      </c>
    </row>
    <row r="424" spans="1:10" x14ac:dyDescent="0.25">
      <c r="A424" s="98" t="str">
        <f>'Resultater - Vestdanmark'!A424</f>
        <v>Foderproduktion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Rapskage</v>
      </c>
      <c r="E424" s="98" t="str">
        <f>'Resultater - Vestdanmark'!E424</f>
        <v>Ton</v>
      </c>
      <c r="F424" s="98" t="str">
        <f>'Resultater - Vestdanmark'!F424</f>
        <v>Foder</v>
      </c>
      <c r="G424" s="98" t="str">
        <f>'Resultater - Vestdanmark'!G424</f>
        <v>FE</v>
      </c>
      <c r="H424" s="280" t="e">
        <f>'Resultater - Vestdanmark'!H424+'Resultater - Østdanmark'!H424</f>
        <v>#REF!</v>
      </c>
      <c r="I424" s="281" t="e">
        <f>'Resultater - Vestdanmark'!I424+'Resultater - Østdanmark'!I424</f>
        <v>#REF!</v>
      </c>
      <c r="J424" s="282" t="e">
        <f>'Resultater - Vestdanmark'!J424+'Resultater - Østdanmark'!J424</f>
        <v>#REF!</v>
      </c>
    </row>
    <row r="425" spans="1:10" x14ac:dyDescent="0.25">
      <c r="A425" s="98" t="str">
        <f>'Resultater - Vestdanmark'!A425</f>
        <v>Foderproduktion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Tang</v>
      </c>
      <c r="E425" s="98" t="str">
        <f>'Resultater - Vestdanmark'!E425</f>
        <v>Ton</v>
      </c>
      <c r="F425" s="98" t="str">
        <f>'Resultater - Vestdanmark'!F425</f>
        <v>Foder</v>
      </c>
      <c r="G425" s="98" t="str">
        <f>'Resultater - Vestdanmark'!G425</f>
        <v>FE</v>
      </c>
      <c r="H425" s="280" t="e">
        <f>'Resultater - Vestdanmark'!H425+'Resultater - Østdanmark'!H425</f>
        <v>#REF!</v>
      </c>
      <c r="I425" s="281" t="e">
        <f>'Resultater - Vestdanmark'!I425+'Resultater - Østdanmark'!I425</f>
        <v>#REF!</v>
      </c>
      <c r="J425" s="282" t="e">
        <f>'Resultater - Vestdanmark'!J425+'Resultater - Østdanmark'!J425</f>
        <v>#REF!</v>
      </c>
    </row>
    <row r="426" spans="1:10" x14ac:dyDescent="0.25">
      <c r="A426" s="98" t="str">
        <f>'Resultater - Vestdanmark'!A426</f>
        <v>Foderproduktion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Muslinger</v>
      </c>
      <c r="E426" s="98" t="str">
        <f>'Resultater - Vestdanmark'!E426</f>
        <v>Ton</v>
      </c>
      <c r="F426" s="98" t="str">
        <f>'Resultater - Vestdanmark'!F426</f>
        <v>Foder</v>
      </c>
      <c r="G426" s="98" t="str">
        <f>'Resultater - Vestdanmark'!G426</f>
        <v>FE</v>
      </c>
      <c r="H426" s="280" t="e">
        <f>'Resultater - Vestdanmark'!H426+'Resultater - Østdanmark'!H426</f>
        <v>#REF!</v>
      </c>
      <c r="I426" s="281" t="e">
        <f>'Resultater - Vestdanmark'!I426+'Resultater - Østdanmark'!I426</f>
        <v>#REF!</v>
      </c>
      <c r="J426" s="282" t="e">
        <f>'Resultater - Vestdanmark'!J426+'Resultater - Østdanmark'!J426</f>
        <v>#REF!</v>
      </c>
    </row>
    <row r="427" spans="1:10" x14ac:dyDescent="0.25">
      <c r="A427" s="98" t="str">
        <f>'Resultater - Vestdanmark'!A427</f>
        <v>Foderproduktion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Græs</v>
      </c>
      <c r="E427" s="98" t="str">
        <f>'Resultater - Vestdanmark'!E427</f>
        <v>Ton</v>
      </c>
      <c r="F427" s="98" t="str">
        <f>'Resultater - Vestdanmark'!F427</f>
        <v>Foder</v>
      </c>
      <c r="G427" s="98" t="str">
        <f>'Resultater - Vestdanmark'!G427</f>
        <v>FE</v>
      </c>
      <c r="H427" s="280" t="e">
        <f>'Resultater - Vestdanmark'!H427+'Resultater - Østdanmark'!H427</f>
        <v>#REF!</v>
      </c>
      <c r="I427" s="281" t="e">
        <f>'Resultater - Vestdanmark'!I427+'Resultater - Østdanmark'!I427</f>
        <v>#REF!</v>
      </c>
      <c r="J427" s="282" t="e">
        <f>'Resultater - Vestdanmark'!J427+'Resultater - Østdanmark'!J427</f>
        <v>#REF!</v>
      </c>
    </row>
    <row r="428" spans="1:10" x14ac:dyDescent="0.25">
      <c r="A428" s="98" t="str">
        <f>'Resultater - Vestdanmark'!A428</f>
        <v>Foderproduktion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Mælk til foder</v>
      </c>
      <c r="E428" s="98" t="str">
        <f>'Resultater - Vestdanmark'!E428</f>
        <v>Ton</v>
      </c>
      <c r="F428" s="98" t="str">
        <f>'Resultater - Vestdanmark'!F428</f>
        <v>Foder</v>
      </c>
      <c r="G428" s="98" t="str">
        <f>'Resultater - Vestdanmark'!G428</f>
        <v>FE</v>
      </c>
      <c r="H428" s="280" t="e">
        <f>'Resultater - Vestdanmark'!H428+'Resultater - Østdanmark'!H428</f>
        <v>#REF!</v>
      </c>
      <c r="I428" s="281" t="e">
        <f>'Resultater - Vestdanmark'!I428+'Resultater - Østdanmark'!I428</f>
        <v>#REF!</v>
      </c>
      <c r="J428" s="282" t="e">
        <f>'Resultater - Vestdanmark'!J428+'Resultater - Østdanmark'!J428</f>
        <v>#REF!</v>
      </c>
    </row>
    <row r="429" spans="1:10" x14ac:dyDescent="0.25">
      <c r="A429" s="98" t="str">
        <f>'Resultater - Vestdanmark'!A429</f>
        <v>Foderproduktion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Fiberfraktion</v>
      </c>
      <c r="E429" s="98" t="str">
        <f>'Resultater - Vestdanmark'!E429</f>
        <v>Ton</v>
      </c>
      <c r="F429" s="98" t="str">
        <f>'Resultater - Vestdanmark'!F429</f>
        <v>Foder</v>
      </c>
      <c r="G429" s="98" t="str">
        <f>'Resultater - Vestdanmark'!G429</f>
        <v>FE</v>
      </c>
      <c r="H429" s="280" t="e">
        <f>'Resultater - Vestdanmark'!H429+'Resultater - Østdanmark'!H429</f>
        <v>#REF!</v>
      </c>
      <c r="I429" s="281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2" t="e">
        <f>'Resultater - Vestdanmark'!J429+'Resultater - Østdanmark'!J429</f>
        <v>#REF!</v>
      </c>
    </row>
    <row r="430" spans="1:10" x14ac:dyDescent="0.25">
      <c r="A430" s="98" t="str">
        <f>'Resultater - Vestdanmark'!A430</f>
        <v>Foderproduktion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Græsprotein</v>
      </c>
      <c r="E430" s="98" t="str">
        <f>'Resultater - Vestdanmark'!E430</f>
        <v>Ton</v>
      </c>
      <c r="F430" s="98" t="str">
        <f>'Resultater - Vestdanmark'!F430</f>
        <v>Foder</v>
      </c>
      <c r="G430" s="98" t="str">
        <f>'Resultater - Vestdanmark'!G430</f>
        <v>FE</v>
      </c>
      <c r="H430" s="280" t="e">
        <f>'Resultater - Vestdanmark'!H430+'Resultater - Østdanmark'!H430</f>
        <v>#REF!</v>
      </c>
      <c r="I430" s="281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2" t="e">
        <f>'Resultater - Vestdanmark'!J430+'Resultater - Østdanmark'!J430</f>
        <v>#REF!</v>
      </c>
    </row>
    <row r="431" spans="1:10" x14ac:dyDescent="0.25">
      <c r="A431" s="98" t="str">
        <f>'Resultater - Vestdanmark'!A431</f>
        <v>Foderproduktion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Slagteriaffald til foder</v>
      </c>
      <c r="E431" s="98" t="str">
        <f>'Resultater - Vestdanmark'!E431</f>
        <v>Ton</v>
      </c>
      <c r="F431" s="98" t="str">
        <f>'Resultater - Vestdanmark'!F431</f>
        <v>Foder</v>
      </c>
      <c r="G431" s="98" t="str">
        <f>'Resultater - Vestdanmark'!G431</f>
        <v>FE</v>
      </c>
      <c r="H431" s="280" t="e">
        <f>'Resultater - Vestdanmark'!H431+'Resultater - Østdanmark'!H431</f>
        <v>#REF!</v>
      </c>
      <c r="I431" s="281" t="e">
        <f>'Resultater - Vestdanmark'!I431+'Resultater - Østdanmark'!I431</f>
        <v>#REF!</v>
      </c>
      <c r="J431" s="282" t="e">
        <f>'Resultater - Vestdanmark'!J431+'Resultater - Østdanmark'!J431</f>
        <v>#REF!</v>
      </c>
    </row>
    <row r="432" spans="1:10" x14ac:dyDescent="0.25">
      <c r="A432" s="98" t="str">
        <f>'Resultater - Vestdanmark'!A432</f>
        <v>Foderproduktion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Import af foder</v>
      </c>
      <c r="E432" s="98" t="str">
        <f>'Resultater - Vestdanmark'!E432</f>
        <v>Ton</v>
      </c>
      <c r="F432" s="98" t="str">
        <f>'Resultater - Vestdanmark'!F432</f>
        <v>Foder</v>
      </c>
      <c r="G432" s="98" t="str">
        <f>'Resultater - Vestdanmark'!G432</f>
        <v>FE</v>
      </c>
      <c r="H432" s="280" t="e">
        <f>'Resultater - Vestdanmark'!H432+'Resultater - Østdanmark'!H432</f>
        <v>#REF!</v>
      </c>
      <c r="I432" s="281" t="e">
        <f>'Resultater - Vestdanmark'!I432+'Resultater - Østdanmark'!I432</f>
        <v>#REF!</v>
      </c>
      <c r="J432" s="282" t="e">
        <f>'Resultater - Vestdanmark'!J432+'Resultater - Østdanmark'!J432</f>
        <v>#REF!</v>
      </c>
    </row>
    <row r="433" spans="1:10" x14ac:dyDescent="0.25">
      <c r="A433" s="98" t="str">
        <f>'Resultater - Vestdanmark'!A433</f>
        <v>Biogasanlæg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Halm</v>
      </c>
      <c r="E433" s="98" t="str">
        <f>'Resultater - Vestdanmark'!E433</f>
        <v>Ton</v>
      </c>
      <c r="F433" s="98" t="str">
        <f>'Resultater - Vestdanmark'!F433</f>
        <v>Biogas</v>
      </c>
      <c r="G433" s="98" t="str">
        <f>'Resultater - Vestdanmark'!G433</f>
        <v>Nm3 CH4</v>
      </c>
      <c r="H433" s="280" t="e">
        <f>'Resultater - Vestdanmark'!H433+'Resultater - Østdanmark'!H433</f>
        <v>#REF!</v>
      </c>
      <c r="I433" s="281" t="e">
        <f>'Resultater - Vestdanmark'!I433+'Resultater - Østdanmark'!I433</f>
        <v>#REF!</v>
      </c>
      <c r="J433" s="282" t="e">
        <f>'Resultater - Vestdanmark'!J433+'Resultater - Østdanmark'!J433</f>
        <v>#REF!</v>
      </c>
    </row>
    <row r="434" spans="1:10" x14ac:dyDescent="0.25">
      <c r="A434" s="98" t="str">
        <f>'Resultater - Vestdanmark'!A434</f>
        <v>Biogasanlæg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Korn</v>
      </c>
      <c r="E434" s="98" t="str">
        <f>'Resultater - Vestdanmark'!E434</f>
        <v>Ton</v>
      </c>
      <c r="F434" s="98" t="str">
        <f>'Resultater - Vestdanmark'!F434</f>
        <v>Biogas</v>
      </c>
      <c r="G434" s="98" t="str">
        <f>'Resultater - Vestdanmark'!G434</f>
        <v>Nm3 CH4</v>
      </c>
      <c r="H434" s="280" t="e">
        <f>'Resultater - Vestdanmark'!H434+'Resultater - Østdanmark'!H434</f>
        <v>#REF!</v>
      </c>
      <c r="I434" s="281" t="e">
        <f>'Resultater - Vestdanmark'!I434+'Resultater - Østdanmark'!I434</f>
        <v>#REF!</v>
      </c>
      <c r="J434" s="282" t="e">
        <f>'Resultater - Vestdanmark'!J434+'Resultater - Østdanmark'!J434</f>
        <v>#REF!</v>
      </c>
    </row>
    <row r="435" spans="1:10" x14ac:dyDescent="0.25">
      <c r="A435" s="98" t="str">
        <f>'Resultater - Vestdanmark'!A435</f>
        <v>Biogasanlæg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Græs</v>
      </c>
      <c r="E435" s="98" t="str">
        <f>'Resultater - Vestdanmark'!E435</f>
        <v>Ton</v>
      </c>
      <c r="F435" s="98" t="str">
        <f>'Resultater - Vestdanmark'!F435</f>
        <v>Biogas</v>
      </c>
      <c r="G435" s="98" t="str">
        <f>'Resultater - Vestdanmark'!G435</f>
        <v>Nm3 CH4</v>
      </c>
      <c r="H435" s="280" t="e">
        <f>'Resultater - Vestdanmark'!H435+'Resultater - Østdanmark'!H435</f>
        <v>#REF!</v>
      </c>
      <c r="I435" s="281" t="e">
        <f>'Resultater - Vestdanmark'!I435+'Resultater - Østdanmark'!I435</f>
        <v>#REF!</v>
      </c>
      <c r="J435" s="282" t="e">
        <f>'Resultater - Vestdanmark'!J435+'Resultater - Østdanmark'!J435</f>
        <v>#REF!</v>
      </c>
    </row>
    <row r="436" spans="1:10" x14ac:dyDescent="0.25">
      <c r="A436" s="98" t="str">
        <f>'Resultater - Vestdanmark'!A436</f>
        <v>Biogasanlæg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Svinegylle</v>
      </c>
      <c r="E436" s="98" t="str">
        <f>'Resultater - Vestdanmark'!E436</f>
        <v>Ton</v>
      </c>
      <c r="F436" s="98" t="str">
        <f>'Resultater - Vestdanmark'!F436</f>
        <v>Biogas</v>
      </c>
      <c r="G436" s="98" t="str">
        <f>'Resultater - Vestdanmark'!G436</f>
        <v>Nm3 CH4</v>
      </c>
      <c r="H436" s="280" t="e">
        <f>'Resultater - Vestdanmark'!H436+'Resultater - Østdanmark'!H436</f>
        <v>#REF!</v>
      </c>
      <c r="I436" s="281" t="e">
        <f>'Resultater - Vestdanmark'!I436+'Resultater - Østdanmark'!I436</f>
        <v>#REF!</v>
      </c>
      <c r="J436" s="282" t="e">
        <f>'Resultater - Vestdanmark'!J436+'Resultater - Østdanmark'!J436</f>
        <v>#REF!</v>
      </c>
    </row>
    <row r="437" spans="1:10" s="171" customFormat="1" x14ac:dyDescent="0.25">
      <c r="A437" s="98" t="str">
        <f>'Resultater - Vestdanmark'!A437</f>
        <v>Biogasanlæg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Svinegylle</v>
      </c>
      <c r="E437" s="98" t="str">
        <f>'Resultater - Vestdanmark'!E437</f>
        <v>Ton</v>
      </c>
      <c r="F437" s="98" t="str">
        <f>'Resultater - Vestdanmark'!F437</f>
        <v>CO2 - atmosfære</v>
      </c>
      <c r="G437" s="98" t="str">
        <f>'Resultater - Vestdanmark'!G437</f>
        <v>t CO2-ækvivalenter</v>
      </c>
      <c r="H437" s="286" t="e">
        <f>'Resultater - Vestdanmark'!H437+'Resultater - Østdanmark'!H437</f>
        <v>#REF!</v>
      </c>
      <c r="I437" s="287" t="e">
        <f>'Resultater - Vestdanmark'!I437+'Resultater - Østdanmark'!I437</f>
        <v>#REF!</v>
      </c>
      <c r="J437" s="288" t="e">
        <f>'Resultater - Vestdanmark'!J437+'Resultater - Østdanmark'!J437</f>
        <v>#REF!</v>
      </c>
    </row>
    <row r="438" spans="1:10" x14ac:dyDescent="0.25">
      <c r="A438" s="98" t="str">
        <f>'Resultater - Vestdanmark'!A438</f>
        <v>Biogasanlæg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Kvæggylle</v>
      </c>
      <c r="E438" s="98" t="str">
        <f>'Resultater - Vestdanmark'!E438</f>
        <v>Ton</v>
      </c>
      <c r="F438" s="98" t="str">
        <f>'Resultater - Vestdanmark'!F438</f>
        <v>Biogas</v>
      </c>
      <c r="G438" s="98" t="str">
        <f>'Resultater - Vestdanmark'!G438</f>
        <v>Nm3 CH4</v>
      </c>
      <c r="H438" s="280" t="e">
        <f>'Resultater - Vestdanmark'!H438+'Resultater - Østdanmark'!H438</f>
        <v>#REF!</v>
      </c>
      <c r="I438" s="281" t="e">
        <f>'Resultater - Vestdanmark'!I438+'Resultater - Østdanmark'!I438</f>
        <v>#REF!</v>
      </c>
      <c r="J438" s="282" t="e">
        <f>'Resultater - Vestdanmark'!J438+'Resultater - Østdanmark'!J438</f>
        <v>#REF!</v>
      </c>
    </row>
    <row r="439" spans="1:10" s="171" customFormat="1" x14ac:dyDescent="0.25">
      <c r="A439" s="98" t="str">
        <f>'Resultater - Vestdanmark'!A439</f>
        <v>Biogasanlæg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Kvæggylle</v>
      </c>
      <c r="E439" s="98" t="str">
        <f>'Resultater - Vestdanmark'!E439</f>
        <v>Ton</v>
      </c>
      <c r="F439" s="98" t="str">
        <f>'Resultater - Vestdanmark'!F439</f>
        <v>CO2 - atmosfære</v>
      </c>
      <c r="G439" s="98" t="str">
        <f>'Resultater - Vestdanmark'!G439</f>
        <v>t CO2-ækvivalenter</v>
      </c>
      <c r="H439" s="286" t="e">
        <f>'Resultater - Vestdanmark'!H439+'Resultater - Østdanmark'!H439</f>
        <v>#REF!</v>
      </c>
      <c r="I439" s="287" t="e">
        <f>'Resultater - Vestdanmark'!I439+'Resultater - Østdanmark'!I439</f>
        <v>#REF!</v>
      </c>
      <c r="J439" s="288" t="e">
        <f>'Resultater - Vestdanmark'!J439+'Resultater - Østdanmark'!J439</f>
        <v>#REF!</v>
      </c>
    </row>
    <row r="440" spans="1:10" x14ac:dyDescent="0.25">
      <c r="A440" s="98" t="str">
        <f>'Resultater - Vestdanmark'!A440</f>
        <v>Biogasanlæg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Fjerkrægylle</v>
      </c>
      <c r="E440" s="98" t="str">
        <f>'Resultater - Vestdanmark'!E440</f>
        <v>Ton</v>
      </c>
      <c r="F440" s="98" t="str">
        <f>'Resultater - Vestdanmark'!F440</f>
        <v>Biogas</v>
      </c>
      <c r="G440" s="98" t="str">
        <f>'Resultater - Vestdanmark'!G440</f>
        <v>Nm3 CH4</v>
      </c>
      <c r="H440" s="280" t="e">
        <f>'Resultater - Vestdanmark'!H440+'Resultater - Østdanmark'!H440</f>
        <v>#REF!</v>
      </c>
      <c r="I440" s="281" t="e">
        <f>'Resultater - Vestdanmark'!I440+'Resultater - Østdanmark'!I440</f>
        <v>#REF!</v>
      </c>
      <c r="J440" s="282" t="e">
        <f>'Resultater - Vestdanmark'!J440+'Resultater - Østdanmark'!J440</f>
        <v>#REF!</v>
      </c>
    </row>
    <row r="441" spans="1:10" x14ac:dyDescent="0.25">
      <c r="A441" s="98" t="str">
        <f>'Resultater - Vestdanmark'!A441</f>
        <v>Biogasanlæg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Dybstrøelse</v>
      </c>
      <c r="E441" s="98" t="str">
        <f>'Resultater - Vestdanmark'!E441</f>
        <v>Ton</v>
      </c>
      <c r="F441" s="98" t="str">
        <f>'Resultater - Vestdanmark'!F441</f>
        <v>Biogas</v>
      </c>
      <c r="G441" s="98" t="str">
        <f>'Resultater - Vestdanmark'!G441</f>
        <v>Nm3 CH4</v>
      </c>
      <c r="H441" s="280" t="e">
        <f>'Resultater - Vestdanmark'!H441+'Resultater - Østdanmark'!H441</f>
        <v>#REF!</v>
      </c>
      <c r="I441" s="281" t="e">
        <f>'Resultater - Vestdanmark'!I441+'Resultater - Østdanmark'!I441</f>
        <v>#REF!</v>
      </c>
      <c r="J441" s="282" t="e">
        <f>'Resultater - Vestdanmark'!J441+'Resultater - Østdanmark'!J441</f>
        <v>#REF!</v>
      </c>
    </row>
    <row r="442" spans="1:10" x14ac:dyDescent="0.25">
      <c r="A442" s="98" t="str">
        <f>'Resultater - Vestdanmark'!A442</f>
        <v>Biogasanlæg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Majs</v>
      </c>
      <c r="E442" s="98" t="str">
        <f>'Resultater - Vestdanmark'!E442</f>
        <v>Ton</v>
      </c>
      <c r="F442" s="98" t="str">
        <f>'Resultater - Vestdanmark'!F442</f>
        <v>Biogas</v>
      </c>
      <c r="G442" s="98" t="str">
        <f>'Resultater - Vestdanmark'!G442</f>
        <v>Nm3 CH4</v>
      </c>
      <c r="H442" s="280" t="e">
        <f>'Resultater - Vestdanmark'!H442+'Resultater - Østdanmark'!H442</f>
        <v>#REF!</v>
      </c>
      <c r="I442" s="281" t="e">
        <f>'Resultater - Vestdanmark'!I442+'Resultater - Østdanmark'!I442</f>
        <v>#REF!</v>
      </c>
      <c r="J442" s="282" t="e">
        <f>'Resultater - Vestdanmark'!J442+'Resultater - Østdanmark'!J442</f>
        <v>#REF!</v>
      </c>
    </row>
    <row r="443" spans="1:10" x14ac:dyDescent="0.25">
      <c r="A443" s="98" t="str">
        <f>'Resultater - Vestdanmark'!A443</f>
        <v>Biogasanlæg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Roer</v>
      </c>
      <c r="E443" s="98" t="str">
        <f>'Resultater - Vestdanmark'!E443</f>
        <v>Ton</v>
      </c>
      <c r="F443" s="98" t="str">
        <f>'Resultater - Vestdanmark'!F443</f>
        <v>Biogas</v>
      </c>
      <c r="G443" s="98" t="str">
        <f>'Resultater - Vestdanmark'!G443</f>
        <v>Nm3 CH4</v>
      </c>
      <c r="H443" s="280" t="e">
        <f>'Resultater - Vestdanmark'!H443+'Resultater - Østdanmark'!H443</f>
        <v>#REF!</v>
      </c>
      <c r="I443" s="281" t="e">
        <f>'Resultater - Vestdanmark'!I443+'Resultater - Østdanmark'!I443</f>
        <v>#REF!</v>
      </c>
      <c r="J443" s="282" t="e">
        <f>'Resultater - Vestdanmark'!J443+'Resultater - Østdanmark'!J443</f>
        <v>#REF!</v>
      </c>
    </row>
    <row r="444" spans="1:10" x14ac:dyDescent="0.25">
      <c r="A444" s="98" t="str">
        <f>'Resultater - Vestdanmark'!A444</f>
        <v>Biogasanlæg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Bioaffald</v>
      </c>
      <c r="E444" s="98" t="str">
        <f>'Resultater - Vestdanmark'!E444</f>
        <v>Ton</v>
      </c>
      <c r="F444" s="98" t="str">
        <f>'Resultater - Vestdanmark'!F444</f>
        <v>Biogas</v>
      </c>
      <c r="G444" s="98" t="str">
        <f>'Resultater - Vestdanmark'!G444</f>
        <v>Nm3 CH4</v>
      </c>
      <c r="H444" s="280" t="e">
        <f>'Resultater - Vestdanmark'!H444+'Resultater - Østdanmark'!H444</f>
        <v>#REF!</v>
      </c>
      <c r="I444" s="281" t="e">
        <f>'Resultater - Vestdanmark'!I444+'Resultater - Østdanmark'!I444</f>
        <v>#REF!</v>
      </c>
      <c r="J444" s="282" t="e">
        <f>'Resultater - Vestdanmark'!J444+'Resultater - Østdanmark'!J444</f>
        <v>#REF!</v>
      </c>
    </row>
    <row r="445" spans="1:10" x14ac:dyDescent="0.25">
      <c r="A445" s="98" t="str">
        <f>'Resultater - Vestdanmark'!A445</f>
        <v>Biogasanlæg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Industriaffald</v>
      </c>
      <c r="E445" s="98" t="str">
        <f>'Resultater - Vestdanmark'!E445</f>
        <v>Ton</v>
      </c>
      <c r="F445" s="98" t="str">
        <f>'Resultater - Vestdanmark'!F445</f>
        <v>Biogas</v>
      </c>
      <c r="G445" s="98" t="str">
        <f>'Resultater - Vestdanmark'!G445</f>
        <v>Nm3 CH4</v>
      </c>
      <c r="H445" s="280" t="e">
        <f>'Resultater - Vestdanmark'!H445+'Resultater - Østdanmark'!H445</f>
        <v>#REF!</v>
      </c>
      <c r="I445" s="281" t="e">
        <f>'Resultater - Vestdanmark'!I445+'Resultater - Østdanmark'!I445</f>
        <v>#REF!</v>
      </c>
      <c r="J445" s="282" t="e">
        <f>'Resultater - Vestdanmark'!J445+'Resultater - Østdanmark'!J445</f>
        <v>#REF!</v>
      </c>
    </row>
    <row r="446" spans="1:10" x14ac:dyDescent="0.25">
      <c r="A446" s="98" t="str">
        <f>'Resultater - Vestdanmark'!A446</f>
        <v>Biogasanlæg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Muslinger</v>
      </c>
      <c r="E446" s="98" t="str">
        <f>'Resultater - Vestdanmark'!E446</f>
        <v>Ton</v>
      </c>
      <c r="F446" s="98" t="str">
        <f>'Resultater - Vestdanmark'!F446</f>
        <v>Biogas</v>
      </c>
      <c r="G446" s="98" t="str">
        <f>'Resultater - Vestdanmark'!G446</f>
        <v>Nm3 CH4</v>
      </c>
      <c r="H446" s="280" t="e">
        <f>'Resultater - Vestdanmark'!H446+'Resultater - Østdanmark'!H446</f>
        <v>#REF!</v>
      </c>
      <c r="I446" s="281" t="e">
        <f>'Resultater - Vestdanmark'!I446+'Resultater - Østdanmark'!I446</f>
        <v>#REF!</v>
      </c>
      <c r="J446" s="282" t="e">
        <f>'Resultater - Vestdanmark'!J446+'Resultater - Østdanmark'!J446</f>
        <v>#REF!</v>
      </c>
    </row>
    <row r="447" spans="1:10" x14ac:dyDescent="0.25">
      <c r="A447" s="98" t="str">
        <f>'Resultater - Vestdanmark'!A447</f>
        <v>Biogasanlæg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Biogas</v>
      </c>
      <c r="G447" s="98" t="str">
        <f>'Resultater - Vestdanmark'!G447</f>
        <v>Nm3 CH4</v>
      </c>
      <c r="H447" s="280" t="e">
        <f>'Resultater - Vestdanmark'!H447+'Resultater - Østdanmark'!H447</f>
        <v>#REF!</v>
      </c>
      <c r="I447" s="281" t="e">
        <f>'Resultater - Vestdanmark'!I447+'Resultater - Østdanmark'!I447</f>
        <v>#REF!</v>
      </c>
      <c r="J447" s="282" t="e">
        <f>'Resultater - Vestdanmark'!J447+'Resultater - Østdanmark'!J447</f>
        <v>#REF!</v>
      </c>
    </row>
    <row r="448" spans="1:10" x14ac:dyDescent="0.25">
      <c r="A448" s="98" t="str">
        <f>'Resultater - Vestdanmark'!A448</f>
        <v>Biogasanlæg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Have/parkaffald</v>
      </c>
      <c r="E448" s="98" t="str">
        <f>'Resultater - Vestdanmark'!E448</f>
        <v>Ton</v>
      </c>
      <c r="F448" s="98" t="str">
        <f>'Resultater - Vestdanmark'!F448</f>
        <v>Biogas</v>
      </c>
      <c r="G448" s="98" t="str">
        <f>'Resultater - Vestdanmark'!G448</f>
        <v>Nm3 CH4</v>
      </c>
      <c r="H448" s="280" t="e">
        <f>'Resultater - Vestdanmark'!H448+'Resultater - Østdanmark'!H448</f>
        <v>#REF!</v>
      </c>
      <c r="I448" s="281" t="e">
        <f>'Resultater - Vestdanmark'!I448+'Resultater - Østdanmark'!I448</f>
        <v>#REF!</v>
      </c>
      <c r="J448" s="282" t="e">
        <f>'Resultater - Vestdanmark'!J448+'Resultater - Østdanmark'!J448</f>
        <v>#REF!</v>
      </c>
    </row>
    <row r="449" spans="1:13" x14ac:dyDescent="0.25">
      <c r="A449" s="98" t="str">
        <f>'Resultater - Vestdanmark'!A449</f>
        <v>Biogasanlæg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Brun saft</v>
      </c>
      <c r="E449" s="98" t="str">
        <f>'Resultater - Vestdanmark'!E449</f>
        <v>PJ</v>
      </c>
      <c r="F449" s="98" t="str">
        <f>'Resultater - Vestdanmark'!F449</f>
        <v>Biogas</v>
      </c>
      <c r="G449" s="98" t="str">
        <f>'Resultater - Vestdanmark'!G449</f>
        <v>Nm3 CH4</v>
      </c>
      <c r="H449" s="280" t="e">
        <f>'Resultater - Vestdanmark'!H449+'Resultater - Østdanmark'!H449</f>
        <v>#REF!</v>
      </c>
      <c r="I449" s="281" t="e">
        <f>'Resultater - Vestdanmark'!I449+'Resultater - Østdanmark'!I449</f>
        <v>#REF!</v>
      </c>
      <c r="J449" s="282" t="e">
        <f>'Resultater - Vestdanmark'!J449+'Resultater - Østdanmark'!J449</f>
        <v>#REF!</v>
      </c>
    </row>
    <row r="450" spans="1:13" x14ac:dyDescent="0.25">
      <c r="A450" s="98" t="str">
        <f>'Resultater - Vestdanmark'!A450</f>
        <v>Biogasanlæg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Glycerin</v>
      </c>
      <c r="E450" s="98" t="str">
        <f>'Resultater - Vestdanmark'!E450</f>
        <v>Ton</v>
      </c>
      <c r="F450" s="98" t="str">
        <f>'Resultater - Vestdanmark'!F450</f>
        <v>Biogas</v>
      </c>
      <c r="G450" s="98" t="str">
        <f>'Resultater - Vestdanmark'!G450</f>
        <v>Nm3 CH4</v>
      </c>
      <c r="H450" s="280">
        <f>'Resultater - Vestdanmark'!H450+'Resultater - Østdanmark'!H450</f>
        <v>60431253.120000005</v>
      </c>
      <c r="I450" s="281">
        <f>'Resultater - Vestdanmark'!I450+'Resultater - Østdanmark'!I450</f>
        <v>60431253.120000005</v>
      </c>
      <c r="J450" s="282">
        <f>'Resultater - Vestdanmark'!J450+'Resultater - Østdanmark'!J450</f>
        <v>60431253.120000005</v>
      </c>
    </row>
    <row r="451" spans="1:13" x14ac:dyDescent="0.25">
      <c r="A451" s="98" t="str">
        <f>'Resultater - Vestdanmark'!A451</f>
        <v>Biogasanlæg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Spildevandsslam</v>
      </c>
      <c r="E451" s="98" t="str">
        <f>'Resultater - Vestdanmark'!E451</f>
        <v>Ton</v>
      </c>
      <c r="F451" s="98" t="str">
        <f>'Resultater - Vestdanmark'!F451</f>
        <v>Biogas</v>
      </c>
      <c r="G451" s="98" t="str">
        <f>'Resultater - Vestdanmark'!G451</f>
        <v>Nm3 CH4</v>
      </c>
      <c r="H451" s="280" t="e">
        <f>'Resultater - Vestdanmark'!H451+'Resultater - Østdanmark'!H451</f>
        <v>#REF!</v>
      </c>
      <c r="I451" s="281" t="e">
        <f>'Resultater - Vestdanmark'!I451+'Resultater - Østdanmark'!I451</f>
        <v>#REF!</v>
      </c>
      <c r="J451" s="282" t="e">
        <f>'Resultater - Vestdanmark'!J451+'Resultater - Østdanmark'!J451</f>
        <v>#REF!</v>
      </c>
      <c r="L451" s="98"/>
    </row>
    <row r="452" spans="1:13" x14ac:dyDescent="0.25">
      <c r="A452" s="98" t="str">
        <f>'Resultater - Vestdanmark'!A452</f>
        <v>Biogasanlæg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Total til biogas</v>
      </c>
      <c r="E452" s="98" t="str">
        <f>'Resultater - Vestdanmark'!E452</f>
        <v>Ton</v>
      </c>
      <c r="F452" s="98" t="str">
        <f>'Resultater - Vestdanmark'!F452</f>
        <v>Biogasgylle</v>
      </c>
      <c r="G452" s="98" t="str">
        <f>'Resultater - Vestdanmark'!G452</f>
        <v>Ton</v>
      </c>
      <c r="H452" s="286" t="e">
        <f>'Resultater - Vestdanmark'!H452+'Resultater - Østdanmark'!H452</f>
        <v>#REF!</v>
      </c>
      <c r="I452" s="287" t="e">
        <f>'Resultater - Vestdanmark'!I452+'Resultater - Østdanmark'!I452</f>
        <v>#REF!</v>
      </c>
      <c r="J452" s="288" t="e">
        <f>'Resultater - Vestdanmark'!J452+'Resultater - Østdanmark'!J452</f>
        <v>#REF!</v>
      </c>
    </row>
    <row r="453" spans="1:13" x14ac:dyDescent="0.25">
      <c r="A453" s="98" t="str">
        <f>'Resultater - Vestdanmark'!A453</f>
        <v>Gødning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Svinegylle</v>
      </c>
      <c r="E453" s="98" t="str">
        <f>'Resultater - Vestdanmark'!E453</f>
        <v>Ton</v>
      </c>
      <c r="F453" s="98" t="str">
        <f>'Resultater - Vestdanmark'!F453</f>
        <v>Gødning</v>
      </c>
      <c r="G453" s="98" t="str">
        <f>'Resultater - Vestdanmark'!G453</f>
        <v>kg N</v>
      </c>
      <c r="H453" s="286" t="e">
        <f>'Resultater - Vestdanmark'!H453+'Resultater - Østdanmark'!H453</f>
        <v>#REF!</v>
      </c>
      <c r="I453" s="287" t="e">
        <f>'Resultater - Vestdanmark'!I453+'Resultater - Østdanmark'!I453</f>
        <v>#REF!</v>
      </c>
      <c r="J453" s="288" t="e">
        <f>'Resultater - Vestdanmark'!J453+'Resultater - Østdanmark'!J453</f>
        <v>#REF!</v>
      </c>
    </row>
    <row r="454" spans="1:13" x14ac:dyDescent="0.25">
      <c r="A454" s="98" t="str">
        <f>'Resultater - Vestdanmark'!A454</f>
        <v>Gødning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Kvæggylle</v>
      </c>
      <c r="E454" s="98" t="str">
        <f>'Resultater - Vestdanmark'!E454</f>
        <v>Ton</v>
      </c>
      <c r="F454" s="98" t="str">
        <f>'Resultater - Vestdanmark'!F454</f>
        <v>Gødning</v>
      </c>
      <c r="G454" s="98" t="str">
        <f>'Resultater - Vestdanmark'!G454</f>
        <v>kg N</v>
      </c>
      <c r="H454" s="286" t="e">
        <f>'Resultater - Vestdanmark'!H454+'Resultater - Østdanmark'!H454</f>
        <v>#REF!</v>
      </c>
      <c r="I454" s="287" t="e">
        <f>'Resultater - Vestdanmark'!I454+'Resultater - Østdanmark'!I454</f>
        <v>#REF!</v>
      </c>
      <c r="J454" s="288" t="e">
        <f>'Resultater - Vestdanmark'!J454+'Resultater - Østdanmark'!J454</f>
        <v>#REF!</v>
      </c>
    </row>
    <row r="455" spans="1:13" x14ac:dyDescent="0.25">
      <c r="A455" s="98" t="str">
        <f>'Resultater - Vestdanmark'!A455</f>
        <v>Gødning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Fjerkrægylle</v>
      </c>
      <c r="E455" s="98" t="str">
        <f>'Resultater - Vestdanmark'!E455</f>
        <v>Ton</v>
      </c>
      <c r="F455" s="98" t="str">
        <f>'Resultater - Vestdanmark'!F455</f>
        <v>Gødning</v>
      </c>
      <c r="G455" s="98" t="str">
        <f>'Resultater - Vestdanmark'!G455</f>
        <v>kg N</v>
      </c>
      <c r="H455" s="286" t="e">
        <f>'Resultater - Vestdanmark'!H455+'Resultater - Østdanmark'!H455</f>
        <v>#REF!</v>
      </c>
      <c r="I455" s="287" t="e">
        <f>'Resultater - Vestdanmark'!I455+'Resultater - Østdanmark'!I455</f>
        <v>#REF!</v>
      </c>
      <c r="J455" s="288" t="e">
        <f>'Resultater - Vestdanmark'!J455+'Resultater - Østdanmark'!J455</f>
        <v>#REF!</v>
      </c>
    </row>
    <row r="456" spans="1:13" x14ac:dyDescent="0.25">
      <c r="A456" s="98" t="str">
        <f>'Resultater - Vestdanmark'!A456</f>
        <v>Gødning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Dybstrøelse</v>
      </c>
      <c r="E456" s="98" t="str">
        <f>'Resultater - Vestdanmark'!E456</f>
        <v>Ton</v>
      </c>
      <c r="F456" s="98" t="str">
        <f>'Resultater - Vestdanmark'!F456</f>
        <v>Gødning</v>
      </c>
      <c r="G456" s="98" t="str">
        <f>'Resultater - Vestdanmark'!G456</f>
        <v>kg N</v>
      </c>
      <c r="H456" s="286" t="e">
        <f>'Resultater - Vestdanmark'!H456+'Resultater - Østdanmark'!H456</f>
        <v>#REF!</v>
      </c>
      <c r="I456" s="287" t="e">
        <f>'Resultater - Vestdanmark'!I456+'Resultater - Østdanmark'!I456</f>
        <v>#REF!</v>
      </c>
      <c r="J456" s="288" t="e">
        <f>'Resultater - Vestdanmark'!J456+'Resultater - Østdanmark'!J456</f>
        <v>#REF!</v>
      </c>
    </row>
    <row r="457" spans="1:13" x14ac:dyDescent="0.25">
      <c r="A457" s="98" t="str">
        <f>'Resultater - Vestdanmark'!A457</f>
        <v>Gødning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Biogasgylle</v>
      </c>
      <c r="E457" s="98" t="str">
        <f>'Resultater - Vestdanmark'!E457</f>
        <v>Ton</v>
      </c>
      <c r="F457" s="98" t="str">
        <f>'Resultater - Vestdanmark'!F457</f>
        <v>Gødning</v>
      </c>
      <c r="G457" s="98" t="str">
        <f>'Resultater - Vestdanmark'!G457</f>
        <v>kg N</v>
      </c>
      <c r="H457" s="286" t="e">
        <f>'Resultater - Vestdanmark'!H457+'Resultater - Østdanmark'!H457</f>
        <v>#REF!</v>
      </c>
      <c r="I457" s="287" t="e">
        <f>'Resultater - Vestdanmark'!I457+'Resultater - Østdanmark'!I457</f>
        <v>#REF!</v>
      </c>
      <c r="J457" s="288" t="e">
        <f>'Resultater - Vestdanmark'!J457+'Resultater - Østdanmark'!J457</f>
        <v>#REF!</v>
      </c>
    </row>
    <row r="458" spans="1:13" x14ac:dyDescent="0.25">
      <c r="A458" s="98" t="str">
        <f>'Resultater - Vestdanmark'!A458</f>
        <v>Gødning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Kunstgødning</v>
      </c>
      <c r="E458" s="98" t="str">
        <f>'Resultater - Vestdanmark'!E458</f>
        <v>Ton</v>
      </c>
      <c r="F458" s="98" t="str">
        <f>'Resultater - Vestdanmark'!F458</f>
        <v>Gødning</v>
      </c>
      <c r="G458" s="98" t="str">
        <f>'Resultater - Vestdanmark'!G458</f>
        <v>kg N</v>
      </c>
      <c r="H458" s="286" t="e">
        <f>'Resultater - Vestdanmark'!H458+'Resultater - Østdanmark'!H458</f>
        <v>#REF!</v>
      </c>
      <c r="I458" s="287" t="e">
        <f>'Resultater - Vestdanmark'!I458+'Resultater - Østdanmark'!I458</f>
        <v>#REF!</v>
      </c>
      <c r="J458" s="288" t="e">
        <f>'Resultater - Vestdanmark'!J458+'Resultater - Østdanmark'!J458</f>
        <v>#REF!</v>
      </c>
    </row>
    <row r="459" spans="1:13" x14ac:dyDescent="0.25">
      <c r="A459" s="98" t="str">
        <f>'Resultater - Vestdanmark'!A459</f>
        <v>Til energi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Halm</v>
      </c>
      <c r="E459" s="98" t="str">
        <f>'Resultater - Vestdanmark'!E459</f>
        <v>Ton</v>
      </c>
      <c r="F459" s="98" t="str">
        <f>'Resultater - Vestdanmark'!F459</f>
        <v>Energi</v>
      </c>
      <c r="G459" s="98" t="str">
        <f>'Resultater - Vestdanmark'!G459</f>
        <v>PJ</v>
      </c>
      <c r="H459" s="290" t="e">
        <f>'Resultater - Vestdanmark'!H459+'Resultater - Østdanmark'!H459</f>
        <v>#REF!</v>
      </c>
      <c r="I459" s="291" t="e">
        <f>'Resultater - Vestdanmark'!I459+'Resultater - Østdanmark'!I459</f>
        <v>#REF!</v>
      </c>
      <c r="J459" s="292" t="e">
        <f>'Resultater - Vestdanmark'!J459+'Resultater - Østdanmark'!J459</f>
        <v>#REF!</v>
      </c>
      <c r="L459" s="170" t="s">
        <v>217</v>
      </c>
      <c r="M459" s="168">
        <v>17963.28</v>
      </c>
    </row>
    <row r="460" spans="1:13" x14ac:dyDescent="0.25">
      <c r="A460" s="98" t="str">
        <f>'Resultater - Vestdanmark'!A460</f>
        <v>Til energi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Rapsolie</v>
      </c>
      <c r="E460" s="98" t="str">
        <f>'Resultater - Vestdanmark'!E460</f>
        <v>Ton</v>
      </c>
      <c r="F460" s="98" t="str">
        <f>'Resultater - Vestdanmark'!F460</f>
        <v>Energi</v>
      </c>
      <c r="G460" s="98" t="str">
        <f>'Resultater - Vestdanmark'!G460</f>
        <v>PJ</v>
      </c>
      <c r="H460" s="290" t="e">
        <f>'Resultater - Vestdanmark'!H460+'Resultater - Østdanmark'!H460</f>
        <v>#REF!</v>
      </c>
      <c r="I460" s="291" t="e">
        <f>'Resultater - Vestdanmark'!I460+'Resultater - Østdanmark'!I460</f>
        <v>#REF!</v>
      </c>
      <c r="J460" s="292" t="e">
        <f>'Resultater - Vestdanmark'!J460+'Resultater - Østdanmark'!J460</f>
        <v>#REF!</v>
      </c>
      <c r="L460" s="170" t="s">
        <v>221</v>
      </c>
      <c r="M460" s="168">
        <v>14758.1</v>
      </c>
    </row>
    <row r="461" spans="1:13" x14ac:dyDescent="0.25">
      <c r="A461" s="98" t="str">
        <f>'Resultater - Vestdanmark'!A461</f>
        <v>Til energi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Pil &amp; poppel</v>
      </c>
      <c r="E461" s="98" t="str">
        <f>'Resultater - Vestdanmark'!E461</f>
        <v>Ton</v>
      </c>
      <c r="F461" s="98" t="str">
        <f>'Resultater - Vestdanmark'!F461</f>
        <v>Energi</v>
      </c>
      <c r="G461" s="98" t="str">
        <f>'Resultater - Vestdanmark'!G461</f>
        <v>PJ</v>
      </c>
      <c r="H461" s="289" t="e">
        <f>'Resultater - Vestdanmark'!H461+'Resultater - Østdanmark'!H461</f>
        <v>#REF!</v>
      </c>
      <c r="I461" s="291" t="e">
        <f>'Resultater - Vestdanmark'!I461+'Resultater - Østdanmark'!I461</f>
        <v>#REF!</v>
      </c>
      <c r="J461" s="292" t="e">
        <f>'Resultater - Vestdanmark'!J461+'Resultater - Østdanmark'!J461</f>
        <v>#REF!</v>
      </c>
      <c r="L461" s="170" t="s">
        <v>218</v>
      </c>
      <c r="M461" s="168">
        <v>1988.19</v>
      </c>
    </row>
    <row r="462" spans="1:13" x14ac:dyDescent="0.25">
      <c r="A462" s="98" t="str">
        <f>'Resultater - Vestdanmark'!A462</f>
        <v>Til energi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Træ til energi</v>
      </c>
      <c r="E462" s="98" t="str">
        <f>'Resultater - Vestdanmark'!E462</f>
        <v>m3</v>
      </c>
      <c r="F462" s="98" t="str">
        <f>'Resultater - Vestdanmark'!F462</f>
        <v>Energi</v>
      </c>
      <c r="G462" s="98" t="str">
        <f>'Resultater - Vestdanmark'!G462</f>
        <v>PJ</v>
      </c>
      <c r="H462" s="289" t="e">
        <f>'Resultater - Vestdanmark'!H462+'Resultater - Østdanmark'!H462</f>
        <v>#REF!</v>
      </c>
      <c r="I462" s="291" t="e">
        <f>'Resultater - Vestdanmark'!I462+'Resultater - Østdanmark'!I462</f>
        <v>#REF!</v>
      </c>
      <c r="J462" s="292" t="e">
        <f>'Resultater - Vestdanmark'!J462+'Resultater - Østdanmark'!J462</f>
        <v>#REF!</v>
      </c>
      <c r="L462" s="170" t="s">
        <v>219</v>
      </c>
      <c r="M462" s="168">
        <v>8944.93</v>
      </c>
    </row>
    <row r="463" spans="1:13" x14ac:dyDescent="0.25">
      <c r="A463" s="98" t="str">
        <f>'Resultater - Vestdanmark'!A463</f>
        <v>Til energi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Have/parkaffald</v>
      </c>
      <c r="E463" s="98" t="str">
        <f>'Resultater - Vestdanmark'!E463</f>
        <v>Ton</v>
      </c>
      <c r="F463" s="98" t="str">
        <f>'Resultater - Vestdanmark'!F463</f>
        <v>Energi</v>
      </c>
      <c r="G463" s="98" t="str">
        <f>'Resultater - Vestdanmark'!G463</f>
        <v>PJ</v>
      </c>
      <c r="H463" s="289" t="e">
        <f>'Resultater - Vestdanmark'!H463+'Resultater - Østdanmark'!H463</f>
        <v>#REF!</v>
      </c>
      <c r="I463" s="291" t="e">
        <f>'Resultater - Vestdanmark'!I463+'Resultater - Østdanmark'!I463</f>
        <v>#REF!</v>
      </c>
      <c r="J463" s="292" t="e">
        <f>'Resultater - Vestdanmark'!J463+'Resultater - Østdanmark'!J463</f>
        <v>#REF!</v>
      </c>
      <c r="L463" s="170" t="s">
        <v>220</v>
      </c>
      <c r="M463" s="168">
        <v>18651.71</v>
      </c>
    </row>
    <row r="464" spans="1:13" x14ac:dyDescent="0.25">
      <c r="A464" s="98" t="str">
        <f>'Resultater - Vestdanmark'!A464</f>
        <v>Til energi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Bioaffald</v>
      </c>
      <c r="E464" s="98" t="str">
        <f>'Resultater - Vestdanmark'!E464</f>
        <v>Ton</v>
      </c>
      <c r="F464" s="98" t="str">
        <f>'Resultater - Vestdanmark'!F464</f>
        <v>Energi</v>
      </c>
      <c r="G464" s="98" t="str">
        <f>'Resultater - Vestdanmark'!G464</f>
        <v>PJ</v>
      </c>
      <c r="H464" s="289" t="e">
        <f>'Resultater - Vestdanmark'!H464+'Resultater - Østdanmark'!H464</f>
        <v>#REF!</v>
      </c>
      <c r="I464" s="291" t="e">
        <f>'Resultater - Vestdanmark'!I464+'Resultater - Østdanmark'!I464</f>
        <v>#REF!</v>
      </c>
      <c r="J464" s="292" t="e">
        <f>'Resultater - Vestdanmark'!J464+'Resultater - Østdanmark'!J464</f>
        <v>#REF!</v>
      </c>
      <c r="L464" s="169" t="s">
        <v>110</v>
      </c>
      <c r="M464" s="168">
        <v>16604.849999999999</v>
      </c>
    </row>
    <row r="465" spans="1:13" s="171" customFormat="1" x14ac:dyDescent="0.25">
      <c r="A465" s="98" t="str">
        <f>'Resultater - Vestdanmark'!A465</f>
        <v>Til energi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Pyrolyseolie</v>
      </c>
      <c r="E465" s="98" t="str">
        <f>'Resultater - Vestdanmark'!E465</f>
        <v>Ton</v>
      </c>
      <c r="F465" s="98" t="str">
        <f>'Resultater - Vestdanmark'!F465</f>
        <v>Energi</v>
      </c>
      <c r="G465" s="98" t="str">
        <f>'Resultater - Vestdanmark'!G465</f>
        <v>PJ</v>
      </c>
      <c r="H465" s="289" t="e">
        <f>'Resultater - Vestdanmark'!H465+'Resultater - Østdanmark'!H465</f>
        <v>#REF!</v>
      </c>
      <c r="I465" s="291" t="e">
        <f>'Resultater - Vestdanmark'!I465+'Resultater - Østdanmark'!I465</f>
        <v>#REF!</v>
      </c>
      <c r="J465" s="292" t="e">
        <f>'Resultater - Vestdanmark'!J465+'Resultater - Østdanmark'!J465</f>
        <v>#REF!</v>
      </c>
      <c r="L465" s="169"/>
      <c r="M465" s="168"/>
    </row>
    <row r="466" spans="1:13" s="171" customFormat="1" x14ac:dyDescent="0.25">
      <c r="A466" s="98" t="str">
        <f>'Resultater - Vestdanmark'!A466</f>
        <v>Til energi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Pyrolysegas</v>
      </c>
      <c r="E466" s="98" t="str">
        <f>'Resultater - Vestdanmark'!E466</f>
        <v>Ton</v>
      </c>
      <c r="F466" s="98" t="str">
        <f>'Resultater - Vestdanmark'!F466</f>
        <v>Energi</v>
      </c>
      <c r="G466" s="98" t="str">
        <f>'Resultater - Vestdanmark'!G466</f>
        <v>PJ</v>
      </c>
      <c r="H466" s="289" t="e">
        <f>'Resultater - Vestdanmark'!H466+'Resultater - Østdanmark'!H466</f>
        <v>#REF!</v>
      </c>
      <c r="I466" s="291" t="e">
        <f>'Resultater - Vestdanmark'!I466+'Resultater - Østdanmark'!I466</f>
        <v>#REF!</v>
      </c>
      <c r="J466" s="292" t="e">
        <f>'Resultater - Vestdanmark'!J466+'Resultater - Østdanmark'!J466</f>
        <v>#REF!</v>
      </c>
      <c r="L466" s="169"/>
      <c r="M466" s="168"/>
    </row>
    <row r="467" spans="1:13" x14ac:dyDescent="0.25">
      <c r="A467" s="98" t="str">
        <f>'Resultater - Vestdanmark'!A467</f>
        <v>Til energi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Biogas</v>
      </c>
      <c r="E467" s="98" t="str">
        <f>'Resultater - Vestdanmark'!E467</f>
        <v>Nm3 CH4</v>
      </c>
      <c r="F467" s="98" t="str">
        <f>'Resultater - Vestdanmark'!F467</f>
        <v>Energi</v>
      </c>
      <c r="G467" s="98" t="str">
        <f>'Resultater - Vestdanmark'!G467</f>
        <v>PJ</v>
      </c>
      <c r="H467" s="293" t="e">
        <f>'Resultater - Vestdanmark'!H467+'Resultater - Østdanmark'!H467</f>
        <v>#REF!</v>
      </c>
      <c r="I467" s="294" t="e">
        <f>'Resultater - Vestdanmark'!I467+'Resultater - Østdanmark'!I467</f>
        <v>#REF!</v>
      </c>
      <c r="J467" s="295" t="e">
        <f>'Resultater - Vestdanmark'!J467+'Resultater - Østdanmark'!J467</f>
        <v>#REF!</v>
      </c>
    </row>
    <row r="468" spans="1:13" x14ac:dyDescent="0.25">
      <c r="A468" s="157" t="str">
        <f>'Resultater - Vestdanmark'!A468</f>
        <v>Proteinproces</v>
      </c>
      <c r="B468" s="157" t="str">
        <f>'Resultater - Vestdanmark'!B468</f>
        <v/>
      </c>
      <c r="C468" s="157" t="str">
        <f>'Resultater - Vestdanmark'!C468</f>
        <v/>
      </c>
      <c r="D468" s="157" t="str">
        <f>'Resultater - Vestdanmark'!D468</f>
        <v>Græs</v>
      </c>
      <c r="E468" s="157" t="str">
        <f>'Resultater - Vestdanmark'!E468</f>
        <v>Ton</v>
      </c>
      <c r="F468" s="157" t="str">
        <f>'Resultater - Vestdanmark'!F468</f>
        <v>Græsprotein</v>
      </c>
      <c r="G468" s="157" t="str">
        <f>'Resultater - Vestdanmark'!G468</f>
        <v>Ton</v>
      </c>
      <c r="H468" s="296" t="e">
        <f>'Resultater - Vestdanmark'!H468+'Resultater - Østdanmark'!H468</f>
        <v>#REF!</v>
      </c>
      <c r="I468" s="297" t="e">
        <f>'Resultater - Vestdanmark'!I468+'Resultater - Østdanmark'!I468</f>
        <v>#REF!</v>
      </c>
      <c r="J468" s="298" t="e">
        <f>'Resultater - Vestdanmark'!J468+'Resultater - Østdanmark'!J468</f>
        <v>#REF!</v>
      </c>
    </row>
    <row r="469" spans="1:13" x14ac:dyDescent="0.25">
      <c r="A469" s="157" t="str">
        <f>'Resultater - Vestdanmark'!A469</f>
        <v>Proteinproces</v>
      </c>
      <c r="B469" s="157" t="str">
        <f>'Resultater - Vestdanmark'!B469</f>
        <v/>
      </c>
      <c r="C469" s="157" t="str">
        <f>'Resultater - Vestdanmark'!C469</f>
        <v/>
      </c>
      <c r="D469" s="157" t="str">
        <f>'Resultater - Vestdanmark'!D469</f>
        <v>Græs</v>
      </c>
      <c r="E469" s="157" t="str">
        <f>'Resultater - Vestdanmark'!E469</f>
        <v>Ton</v>
      </c>
      <c r="F469" s="157" t="str">
        <f>'Resultater - Vestdanmark'!F469</f>
        <v>Fiberfraktion</v>
      </c>
      <c r="G469" s="157" t="str">
        <f>'Resultater - Vestdanmark'!G469</f>
        <v>Ton</v>
      </c>
      <c r="H469" s="296" t="e">
        <f>'Resultater - Vestdanmark'!H469+'Resultater - Østdanmark'!H469</f>
        <v>#REF!</v>
      </c>
      <c r="I469" s="297" t="e">
        <f>'Resultater - Vestdanmark'!I469+'Resultater - Østdanmark'!I469</f>
        <v>#REF!</v>
      </c>
      <c r="J469" s="298" t="e">
        <f>'Resultater - Vestdanmark'!J469+'Resultater - Østdanmark'!J469</f>
        <v>#REF!</v>
      </c>
    </row>
    <row r="470" spans="1:13" x14ac:dyDescent="0.25">
      <c r="A470" s="157" t="str">
        <f>'Resultater - Vestdanmark'!A470</f>
        <v>Proteinproces</v>
      </c>
      <c r="B470" s="157" t="str">
        <f>'Resultater - Vestdanmark'!B470</f>
        <v/>
      </c>
      <c r="C470" s="157" t="str">
        <f>'Resultater - Vestdanmark'!C470</f>
        <v/>
      </c>
      <c r="D470" s="157" t="str">
        <f>'Resultater - Vestdanmark'!D470</f>
        <v>Græs</v>
      </c>
      <c r="E470" s="157" t="str">
        <f>'Resultater - Vestdanmark'!E470</f>
        <v>Ton</v>
      </c>
      <c r="F470" s="157" t="str">
        <f>'Resultater - Vestdanmark'!F470</f>
        <v>Brun saft</v>
      </c>
      <c r="G470" s="157" t="str">
        <f>'Resultater - Vestdanmark'!G470</f>
        <v>PJ</v>
      </c>
      <c r="H470" s="296" t="e">
        <f>'Resultater - Vestdanmark'!H470+'Resultater - Østdanmark'!H470</f>
        <v>#REF!</v>
      </c>
      <c r="I470" s="297" t="e">
        <f>'Resultater - Vestdanmark'!I470+'Resultater - Østdanmark'!I470</f>
        <v>#REF!</v>
      </c>
      <c r="J470" s="298" t="e">
        <f>'Resultater - Vestdanmark'!J470+'Resultater - Østdanmark'!J470</f>
        <v>#REF!</v>
      </c>
    </row>
    <row r="471" spans="1:13" x14ac:dyDescent="0.25">
      <c r="A471" s="157" t="str">
        <f>'Resultater - Vestdanmark'!A471</f>
        <v>Rapskageproduktion</v>
      </c>
      <c r="B471" s="157" t="str">
        <f>'Resultater - Vestdanmark'!B471</f>
        <v/>
      </c>
      <c r="C471" s="157" t="str">
        <f>'Resultater - Vestdanmark'!C471</f>
        <v/>
      </c>
      <c r="D471" s="157" t="str">
        <f>'Resultater - Vestdanmark'!D471</f>
        <v>Raps</v>
      </c>
      <c r="E471" s="157" t="str">
        <f>'Resultater - Vestdanmark'!E471</f>
        <v>Ton</v>
      </c>
      <c r="F471" s="157" t="str">
        <f>'Resultater - Vestdanmark'!F471</f>
        <v>Rapskage</v>
      </c>
      <c r="G471" s="157" t="str">
        <f>'Resultater - Vestdanmark'!G471</f>
        <v>Ton</v>
      </c>
      <c r="H471" s="296" t="e">
        <f>'Resultater - Vestdanmark'!H471+'Resultater - Østdanmark'!H471</f>
        <v>#REF!</v>
      </c>
      <c r="I471" s="297" t="e">
        <f>'Resultater - Vestdanmark'!I471+'Resultater - Østdanmark'!I471</f>
        <v>#REF!</v>
      </c>
      <c r="J471" s="298" t="e">
        <f>'Resultater - Vestdanmark'!J471+'Resultater - Østdanmark'!J471</f>
        <v>#REF!</v>
      </c>
    </row>
    <row r="472" spans="1:13" x14ac:dyDescent="0.25">
      <c r="A472" s="157" t="str">
        <f>'Resultater - Vestdanmark'!A472</f>
        <v>Rapskageproduktion</v>
      </c>
      <c r="B472" s="157" t="str">
        <f>'Resultater - Vestdanmark'!B472</f>
        <v/>
      </c>
      <c r="C472" s="157" t="str">
        <f>'Resultater - Vestdanmark'!C472</f>
        <v/>
      </c>
      <c r="D472" s="157" t="str">
        <f>'Resultater - Vestdanmark'!D472</f>
        <v>Raps</v>
      </c>
      <c r="E472" s="157" t="str">
        <f>'Resultater - Vestdanmark'!E472</f>
        <v>Ton</v>
      </c>
      <c r="F472" s="157" t="str">
        <f>'Resultater - Vestdanmark'!F472</f>
        <v>Rapsolie</v>
      </c>
      <c r="G472" s="157" t="str">
        <f>'Resultater - Vestdanmark'!G472</f>
        <v>Ton</v>
      </c>
      <c r="H472" s="296" t="e">
        <f>'Resultater - Vestdanmark'!H472+'Resultater - Østdanmark'!H472</f>
        <v>#REF!</v>
      </c>
      <c r="I472" s="297" t="e">
        <f>'Resultater - Vestdanmark'!I472+'Resultater - Østdanmark'!I472</f>
        <v>#REF!</v>
      </c>
      <c r="J472" s="298" t="e">
        <f>'Resultater - Vestdanmark'!J472+'Resultater - Østdanmark'!J472</f>
        <v>#REF!</v>
      </c>
    </row>
    <row r="473" spans="1:13" x14ac:dyDescent="0.25">
      <c r="A473" s="157" t="str">
        <f>'Resultater - Vestdanmark'!A473</f>
        <v>Pyrolyseproces</v>
      </c>
      <c r="B473" s="157" t="str">
        <f>'Resultater - Vestdanmark'!B473</f>
        <v/>
      </c>
      <c r="C473" s="157" t="str">
        <f>'Resultater - Vestdanmark'!C473</f>
        <v/>
      </c>
      <c r="D473" s="157" t="str">
        <f>'Resultater - Vestdanmark'!D473</f>
        <v>Halm</v>
      </c>
      <c r="E473" s="157" t="str">
        <f>'Resultater - Vestdanmark'!E473</f>
        <v>Ton</v>
      </c>
      <c r="F473" s="157" t="str">
        <f>'Resultater - Vestdanmark'!F473</f>
        <v>CO2 - atmosfære</v>
      </c>
      <c r="G473" s="157" t="str">
        <f>'Resultater - Vestdanmark'!G473</f>
        <v>t CO2-ækvivalenter</v>
      </c>
      <c r="H473" s="296" t="e">
        <f>'Resultater - Vestdanmark'!H473+'Resultater - Østdanmark'!H473</f>
        <v>#REF!</v>
      </c>
      <c r="I473" s="297" t="e">
        <f>'Resultater - Vestdanmark'!I473+'Resultater - Østdanmark'!I473</f>
        <v>#REF!</v>
      </c>
      <c r="J473" s="298" t="e">
        <f>'Resultater - Vestdanmark'!J473+'Resultater - Østdanmark'!J473</f>
        <v>#REF!</v>
      </c>
    </row>
    <row r="474" spans="1:13" x14ac:dyDescent="0.25">
      <c r="A474" s="157" t="str">
        <f>'Resultater - Vestdanmark'!A474</f>
        <v>Pyrolyseproces</v>
      </c>
      <c r="B474" s="157" t="str">
        <f>'Resultater - Vestdanmark'!B474</f>
        <v/>
      </c>
      <c r="C474" s="157" t="str">
        <f>'Resultater - Vestdanmark'!C474</f>
        <v/>
      </c>
      <c r="D474" s="157" t="str">
        <f>'Resultater - Vestdanmark'!D474</f>
        <v>Halm</v>
      </c>
      <c r="E474" s="157" t="str">
        <f>'Resultater - Vestdanmark'!E474</f>
        <v>Ton</v>
      </c>
      <c r="F474" s="157" t="str">
        <f>'Resultater - Vestdanmark'!F474</f>
        <v>Pyrolyseolie</v>
      </c>
      <c r="G474" s="157" t="str">
        <f>'Resultater - Vestdanmark'!G474</f>
        <v>Ton</v>
      </c>
      <c r="H474" s="296" t="e">
        <f>'Resultater - Vestdanmark'!H474+'Resultater - Østdanmark'!H474</f>
        <v>#REF!</v>
      </c>
      <c r="I474" s="297" t="e">
        <f>'Resultater - Vestdanmark'!I474+'Resultater - Østdanmark'!I474</f>
        <v>#REF!</v>
      </c>
      <c r="J474" s="298" t="e">
        <f>'Resultater - Vestdanmark'!J474+'Resultater - Østdanmark'!J474</f>
        <v>#REF!</v>
      </c>
    </row>
    <row r="475" spans="1:13" ht="15.75" thickBot="1" x14ac:dyDescent="0.3">
      <c r="A475" s="157" t="str">
        <f>'Resultater - Vestdanmark'!A475</f>
        <v>Pyrolyseproces</v>
      </c>
      <c r="B475" s="157" t="str">
        <f>'Resultater - Vestdanmark'!B475</f>
        <v/>
      </c>
      <c r="C475" s="157" t="str">
        <f>'Resultater - Vestdanmark'!C475</f>
        <v/>
      </c>
      <c r="D475" s="157" t="str">
        <f>'Resultater - Vestdanmark'!D475</f>
        <v>Halm</v>
      </c>
      <c r="E475" s="157" t="str">
        <f>'Resultater - Vestdanmark'!E475</f>
        <v>Ton</v>
      </c>
      <c r="F475" s="157" t="str">
        <f>'Resultater - Vestdanmark'!F475</f>
        <v>Pyrolysegas</v>
      </c>
      <c r="G475" s="157" t="str">
        <f>'Resultater - Vestdanmark'!G475</f>
        <v>Ton</v>
      </c>
      <c r="H475" s="299" t="e">
        <f>'Resultater - Vestdanmark'!H475+'Resultater - Østdanmark'!H475</f>
        <v>#REF!</v>
      </c>
      <c r="I475" s="300" t="e">
        <f>'Resultater - Vestdanmark'!I475+'Resultater - Østdanmark'!I475</f>
        <v>#REF!</v>
      </c>
      <c r="J475" s="301" t="e">
        <f>'Resultater - Vestdanmark'!J475+'Resultater - Østdanmark'!J475</f>
        <v>#REF!</v>
      </c>
    </row>
    <row r="476" spans="1:13" x14ac:dyDescent="0.25">
      <c r="A476" s="98"/>
      <c r="B476" s="98"/>
      <c r="C476" s="98"/>
      <c r="D476" s="98"/>
      <c r="E476" s="98"/>
      <c r="F476" s="98"/>
      <c r="G476" s="98"/>
      <c r="H476" s="97"/>
      <c r="I476" s="97"/>
      <c r="J476" s="97"/>
    </row>
    <row r="477" spans="1:13" x14ac:dyDescent="0.25">
      <c r="A477" s="98"/>
      <c r="B477" s="98"/>
      <c r="C477" s="98"/>
      <c r="D477" s="98"/>
      <c r="E477" s="98"/>
      <c r="F477" s="98"/>
      <c r="G477" s="98"/>
      <c r="H477" s="97"/>
      <c r="I477" s="97"/>
      <c r="J477" s="97"/>
    </row>
    <row r="478" spans="1:13" x14ac:dyDescent="0.25">
      <c r="A478" s="98"/>
      <c r="B478" s="98"/>
      <c r="C478" s="98"/>
      <c r="D478" s="98"/>
      <c r="E478" s="98"/>
      <c r="F478" s="98"/>
      <c r="G478" s="98"/>
      <c r="H478" s="97"/>
      <c r="I478" s="97"/>
      <c r="J478" s="97"/>
    </row>
    <row r="479" spans="1:13" x14ac:dyDescent="0.25">
      <c r="A479" s="98"/>
      <c r="B479" s="98"/>
      <c r="C479" s="98"/>
      <c r="D479" s="98"/>
      <c r="E479" s="98"/>
      <c r="F479" s="98"/>
      <c r="G479" s="98"/>
      <c r="H479" s="97"/>
      <c r="I479" s="97"/>
      <c r="J479" s="97"/>
    </row>
    <row r="480" spans="1:13" x14ac:dyDescent="0.25">
      <c r="A480" s="98"/>
      <c r="B480" s="98"/>
      <c r="C480" s="98"/>
      <c r="D480" s="98"/>
      <c r="E480" s="98"/>
      <c r="F480" s="98"/>
      <c r="G480" s="98"/>
      <c r="H480" s="97"/>
      <c r="I480" s="97"/>
      <c r="J480" s="97"/>
    </row>
    <row r="481" spans="1:10" x14ac:dyDescent="0.25">
      <c r="A481" s="98"/>
      <c r="B481" s="98"/>
      <c r="C481" s="98"/>
      <c r="D481" s="98"/>
      <c r="E481" s="98"/>
      <c r="F481" s="98"/>
      <c r="G481" s="98"/>
      <c r="H481" s="97"/>
      <c r="I481" s="97"/>
      <c r="J481" s="97"/>
    </row>
    <row r="482" spans="1:10" x14ac:dyDescent="0.25">
      <c r="A482" s="98"/>
      <c r="B482" s="98"/>
      <c r="C482" s="98"/>
      <c r="D482" s="98"/>
      <c r="E482" s="98"/>
      <c r="F482" s="98"/>
      <c r="G482" s="98"/>
      <c r="H482" s="97"/>
      <c r="I482" s="97"/>
      <c r="J482" s="97"/>
    </row>
    <row r="483" spans="1:10" x14ac:dyDescent="0.25">
      <c r="A483" s="98"/>
      <c r="B483" s="98"/>
      <c r="C483" s="98"/>
      <c r="D483" s="98"/>
      <c r="E483" s="98"/>
      <c r="F483" s="98"/>
      <c r="G483" s="98"/>
      <c r="H483" s="97"/>
      <c r="I483" s="97"/>
      <c r="J483" s="97"/>
    </row>
    <row r="484" spans="1:10" x14ac:dyDescent="0.25">
      <c r="A484" s="98"/>
      <c r="B484" s="98"/>
      <c r="C484" s="98"/>
      <c r="D484" s="98"/>
      <c r="E484" s="98"/>
      <c r="F484" s="98"/>
      <c r="G484" s="98"/>
      <c r="H484" s="97"/>
      <c r="I484" s="97"/>
      <c r="J484" s="97"/>
    </row>
    <row r="485" spans="1:10" x14ac:dyDescent="0.25">
      <c r="A485" s="98"/>
      <c r="B485" s="98"/>
      <c r="C485" s="98"/>
      <c r="D485" s="98"/>
      <c r="E485" s="98"/>
      <c r="F485" s="98"/>
      <c r="G485" s="98"/>
      <c r="H485" s="97"/>
      <c r="I485" s="97"/>
      <c r="J485" s="97"/>
    </row>
    <row r="486" spans="1:10" x14ac:dyDescent="0.25">
      <c r="A486" s="98"/>
      <c r="B486" s="98"/>
      <c r="C486" s="98"/>
      <c r="D486" s="98"/>
      <c r="E486" s="98"/>
      <c r="F486" s="98"/>
      <c r="G486" s="98"/>
      <c r="H486" s="97"/>
      <c r="I486" s="97"/>
      <c r="J486" s="97"/>
    </row>
    <row r="487" spans="1:10" x14ac:dyDescent="0.25">
      <c r="A487" s="98"/>
      <c r="B487" s="98"/>
      <c r="C487" s="98"/>
      <c r="D487" s="98"/>
      <c r="E487" s="98"/>
      <c r="F487" s="98"/>
      <c r="G487" s="98"/>
      <c r="H487" s="97"/>
      <c r="I487" s="97"/>
      <c r="J487" s="97"/>
    </row>
    <row r="488" spans="1:10" x14ac:dyDescent="0.25">
      <c r="H488" s="97"/>
      <c r="I488" s="97"/>
      <c r="J488" s="97"/>
    </row>
    <row r="489" spans="1:10" x14ac:dyDescent="0.25">
      <c r="H489" s="97"/>
      <c r="I489" s="97"/>
      <c r="J489" s="97"/>
    </row>
  </sheetData>
  <autoFilter ref="A2:O475" xr:uid="{0BA69478-A184-4362-901E-6AC334CD2ACE}"/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Q3" activePane="bottomRight" state="frozen"/>
      <selection pane="topRight" activeCell="F1" sqref="F1"/>
      <selection pane="bottomLeft" activeCell="A3" sqref="A3"/>
      <selection pane="bottomRight" activeCell="G183" activeCellId="1" sqref="G39 G183"/>
    </sheetView>
  </sheetViews>
  <sheetFormatPr defaultColWidth="18" defaultRowHeight="15" x14ac:dyDescent="0.25"/>
  <cols>
    <col min="1" max="2" width="18.140625" style="192" bestFit="1" customWidth="1"/>
    <col min="3" max="3" width="8.140625" style="192" bestFit="1" customWidth="1"/>
    <col min="4" max="4" width="7.85546875" style="192" customWidth="1"/>
    <col min="5" max="5" width="11.140625" style="192" bestFit="1" customWidth="1"/>
    <col min="6" max="6" width="14.28515625" style="192" bestFit="1" customWidth="1"/>
    <col min="7" max="7" width="10.7109375" style="192" bestFit="1" customWidth="1"/>
    <col min="8" max="8" width="11.7109375" style="192" bestFit="1" customWidth="1"/>
    <col min="9" max="9" width="9" style="192" bestFit="1" customWidth="1"/>
    <col min="10" max="11" width="9.5703125" style="192" bestFit="1" customWidth="1"/>
    <col min="12" max="12" width="10.5703125" style="192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356" t="s">
        <v>254</v>
      </c>
      <c r="B1" s="356"/>
      <c r="C1" s="356"/>
      <c r="F1" s="357" t="s">
        <v>256</v>
      </c>
      <c r="G1" s="357"/>
      <c r="H1" s="357"/>
      <c r="I1" s="357"/>
      <c r="J1" s="357"/>
      <c r="K1" s="357"/>
      <c r="L1" s="357"/>
      <c r="M1" s="358"/>
      <c r="N1" s="359" t="s">
        <v>257</v>
      </c>
      <c r="O1" s="360"/>
      <c r="P1" s="361"/>
      <c r="Q1" s="353" t="s">
        <v>123</v>
      </c>
      <c r="R1" s="353"/>
      <c r="S1" s="353"/>
      <c r="T1" s="354"/>
      <c r="U1" s="355" t="s">
        <v>231</v>
      </c>
      <c r="V1" s="353"/>
      <c r="W1" s="353"/>
      <c r="X1" s="354"/>
    </row>
    <row r="2" spans="1:26" x14ac:dyDescent="0.25">
      <c r="A2" s="199" t="s">
        <v>129</v>
      </c>
      <c r="B2" s="199" t="s">
        <v>321</v>
      </c>
      <c r="C2" s="199" t="s">
        <v>130</v>
      </c>
      <c r="D2" s="199" t="s">
        <v>58</v>
      </c>
      <c r="E2" s="199" t="s">
        <v>64</v>
      </c>
      <c r="F2" s="199" t="s">
        <v>133</v>
      </c>
      <c r="G2" s="199" t="s">
        <v>113</v>
      </c>
      <c r="H2" s="199" t="s">
        <v>125</v>
      </c>
      <c r="I2" s="199" t="s">
        <v>128</v>
      </c>
      <c r="J2" s="199" t="s">
        <v>110</v>
      </c>
      <c r="K2" s="199" t="s">
        <v>115</v>
      </c>
      <c r="L2" s="199" t="s">
        <v>121</v>
      </c>
      <c r="M2" s="190" t="s">
        <v>225</v>
      </c>
      <c r="N2" s="202" t="s">
        <v>255</v>
      </c>
      <c r="O2" s="199" t="s">
        <v>131</v>
      </c>
      <c r="P2" s="203" t="s">
        <v>192</v>
      </c>
      <c r="Q2" s="199" t="s">
        <v>132</v>
      </c>
      <c r="R2" s="199" t="s">
        <v>234</v>
      </c>
      <c r="S2" s="199" t="s">
        <v>235</v>
      </c>
      <c r="T2" s="201" t="s">
        <v>294</v>
      </c>
      <c r="U2" s="200" t="s">
        <v>237</v>
      </c>
      <c r="V2" s="199" t="s">
        <v>236</v>
      </c>
      <c r="W2" s="199" t="s">
        <v>238</v>
      </c>
      <c r="X2" s="201" t="s">
        <v>293</v>
      </c>
      <c r="Y2" s="95" t="s">
        <v>288</v>
      </c>
      <c r="Z2" s="199" t="s">
        <v>310</v>
      </c>
    </row>
    <row r="3" spans="1:26" x14ac:dyDescent="0.25">
      <c r="A3" s="194" t="s">
        <v>15</v>
      </c>
      <c r="B3" s="194"/>
      <c r="C3" s="194">
        <f>IF(COUNTIFS('Resultater - Danmark'!$D$3:$D$482,'Resultat-Produktion &amp; forbrug'!A3,'Resultater - Danmark'!$A$3:$A$482,"Til energi")+COUNTIFS('Resultater - Danmark'!$D$3:$D$482,'Resultat-Produktion &amp; forbrug'!A3,'Resultater - Danmark'!$A$3:$A$482,"Biogasanlæg")&gt;0,1,0)</f>
        <v>0</v>
      </c>
      <c r="D3" s="194">
        <f t="shared" ref="D3:D15" si="0">År1</f>
        <v>2019</v>
      </c>
      <c r="E3" s="192" t="s">
        <v>23</v>
      </c>
      <c r="F3" s="195">
        <f>IF(E3="Vestdanmark",SUMIFS(IF(D3=År1,'Resultater - Vestdanmark'!H$3:H$482,IF(D3=År2,'Resultater - Vestdanmark'!I$3:I$482,'Resultater - Vestdanmark'!J$3:J$482)),'Resultater - Vestdanmark'!$F$3:$F$482,$A3,IF(D3=År1,'Resultater - Vestdanmark'!H$3:H$482,IF(D3=År2,'Resultater - Vestdanmark'!I$3:I$482,'Resultater - Vestdanmark'!J$3:J$482)),"&gt;0"),SUMIFS(IF(D3=År1,'Resultater - Østdanmark'!H$3:H$482,IF(D3=År2,'Resultater - Østdanmark'!I$3:I$482,'Resultater - Østdanmark'!J$3:J$482)),'Resultater - Østdanmark'!$F$3:$F$482,$A3,IF(D3=År1,'Resultater - Østdanmark'!H$3:H$482,IF(D3=År2,'Resultater - Østdanmark'!I$3:I$482,'Resultater - Østdanmark'!J$3:J$482)),"&gt;0"))</f>
        <v>0</v>
      </c>
      <c r="G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92">
        <f>IF(E3="Vestdanmark",-IF(A3="Halm",SUMIFS(IF(D3=År1,'Resultater - Vestdanmark'!H$3:H$482,IF(D3=År2,'Resultater - Vestdanmark'!I$3:I$482,'Resultater - Vestdanmark'!J$3:J$482)),'Resultater - Vestdanmark'!$F$3:$F$482,$A3,'Resultater - Vestdanmark'!H$3:H$482,"&lt;0"),0),-IF(A3="Halm",SUMIFS(IF(D3=År1,'Resultater - Østdanmark'!H$3:H$482,IF(D3=År2,'Resultater - Østdanmark'!I$3:I$482,'Resultater - Østdanmark'!J$3:J$482)),'Resultater - Østdanmark'!$F$3:$F$482,$A3,'Resultater - Østdanmark'!H$3:H$482,"&lt;0"),0))</f>
        <v>0</v>
      </c>
      <c r="I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5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7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204">
        <f>F3-SUM(G3:M3)</f>
        <v>-31522.55833067331</v>
      </c>
      <c r="O3" s="195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5">
        <f>SUM(J3,L3)</f>
        <v>0</v>
      </c>
      <c r="Q3" s="192">
        <f>IFERROR(VLOOKUP(A3,[1]Energiindhold!$A$2:$C$11,3,FALSE),IFERROR(VLOOKUP(A3,[1]Biogasudbytte!$A$2:$B$18,2,FALSE)*[1]Energiindhold!$C$10,0))*O3</f>
        <v>0</v>
      </c>
      <c r="R3" s="192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92">
        <f>IFERROR(VLOOKUP(A3,[1]Biogasudbytte!$A$2:$B$18,2,FALSE)*[1]Energiindhold!$C$10,0)*J3*IFERROR(VLOOKUP(A3,Biogasanlæg!$F$3:$G$8,2,FALSE),1)</f>
        <v>0</v>
      </c>
      <c r="T3" s="193">
        <f>R3-S3</f>
        <v>0</v>
      </c>
      <c r="U3" s="191">
        <f>O3*IFERROR(VLOOKUP(A3,[1]Tørstofindhold!A$2:B$24,2,FALSE),0)</f>
        <v>0</v>
      </c>
      <c r="V3" s="192">
        <f>IF(D3=År1,P3,SUM(O3,P3))*IFERROR(VLOOKUP(A3,[1]Tørstofindhold!A$2:B$24,2,FALSE),0)</f>
        <v>0</v>
      </c>
      <c r="W3" s="192">
        <f>J3*IFERROR(VLOOKUP(A3,[1]Tørstofindhold!A$2:B$24,2,FALSE),0)</f>
        <v>0</v>
      </c>
      <c r="X3" s="193">
        <f>V3-W3</f>
        <v>0</v>
      </c>
      <c r="Y3" s="171">
        <f t="shared" ref="Y3:Y66" si="2">IF(SUMIFS($N$3:$N$290,$A$3:$A$290,A3,$D$3:$D$290,D3)&lt;0,1,0)</f>
        <v>1</v>
      </c>
      <c r="Z3" s="103">
        <f t="shared" ref="Z3:Z66" si="3">IF(SUMIFS($N$3:$N$290,$A$3:$A$290,A3,$D$3:$D$290,D3)&gt;0,1,0)</f>
        <v>0</v>
      </c>
    </row>
    <row r="4" spans="1:26" x14ac:dyDescent="0.25">
      <c r="A4" s="194" t="s">
        <v>49</v>
      </c>
      <c r="B4" s="194"/>
      <c r="C4" s="194">
        <f>IF(COUNTIFS('Resultater - Danmark'!$D$3:$D$482,'Resultat-Produktion &amp; forbrug'!A4,'Resultater - Danmark'!$A$3:$A$482,"Til energi")+COUNTIFS('Resultater - Danmark'!$D$3:$D$482,'Resultat-Produktion &amp; forbrug'!A4,'Resultater - Danmark'!$A$3:$A$482,"Biogasanlæg")&gt;0,1,0)</f>
        <v>0</v>
      </c>
      <c r="D4" s="194">
        <f t="shared" si="0"/>
        <v>2019</v>
      </c>
      <c r="E4" s="192" t="s">
        <v>23</v>
      </c>
      <c r="F4" s="195">
        <f>IF(E4="Vestdanmark",SUMIFS(IF(D4=År1,'Resultater - Vestdanmark'!H$3:H$482,IF(D4=År2,'Resultater - Vestdanmark'!I$3:I$482,'Resultater - Vestdanmark'!J$3:J$482)),'Resultater - Vestdanmark'!$F$3:$F$482,$A4,IF(D4=År1,'Resultater - Vestdanmark'!H$3:H$482,IF(D4=År2,'Resultater - Vestdanmark'!I$3:I$482,'Resultater - Vestdanmark'!J$3:J$482)),"&gt;0"),SUMIFS(IF(D4=År1,'Resultater - Østdanmark'!H$3:H$482,IF(D4=År2,'Resultater - Østdanmark'!I$3:I$482,'Resultater - Østdanmark'!J$3:J$482)),'Resultater - Østdanmark'!$F$3:$F$482,$A4,IF(D4=År1,'Resultater - Østdanmark'!H$3:H$482,IF(D4=År2,'Resultater - Østdanmark'!I$3:I$482,'Resultater - Østdanmark'!J$3:J$482)),"&gt;0"))</f>
        <v>0</v>
      </c>
      <c r="G4" s="195" t="e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#REF!</v>
      </c>
      <c r="H4" s="192">
        <f>IF(E4="Vestdanmark",-IF(A4="Halm",SUMIFS(IF(D4=År1,'Resultater - Vestdanmark'!H$3:H$482,IF(D4=År2,'Resultater - Vestdanmark'!I$3:I$482,'Resultater - Vestdanmark'!J$3:J$482)),'Resultater - Vestdanmark'!$F$3:$F$482,$A4,'Resultater - Vestdanmark'!H$3:H$482,"&lt;0"),0),-IF(A4="Halm",SUMIFS(IF(D4=År1,'Resultater - Østdanmark'!H$3:H$482,IF(D4=År2,'Resultater - Østdanmark'!I$3:I$482,'Resultater - Østdanmark'!J$3:J$482)),'Resultater - Østdanmark'!$F$3:$F$482,$A4,'Resultater - Østdanmark'!H$3:H$482,"&lt;0"),0))</f>
        <v>0</v>
      </c>
      <c r="I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5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7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204" t="e">
        <f t="shared" ref="N4:N15" si="4">F4-SUM(G4:M4)</f>
        <v>#REF!</v>
      </c>
      <c r="O4" s="195">
        <f t="shared" si="1"/>
        <v>0</v>
      </c>
      <c r="P4" s="205">
        <f t="shared" ref="P4:P15" si="5">SUM(J4,L4)</f>
        <v>0</v>
      </c>
      <c r="Q4" s="192">
        <f>IFERROR(VLOOKUP(A4,[1]Energiindhold!$A$2:$C$11,3,FALSE),IFERROR(VLOOKUP(A4,[1]Biogasudbytte!$A$2:$B$18,2,FALSE)*[1]Energiindhold!$C$10,0))*O4</f>
        <v>0</v>
      </c>
      <c r="R4" s="192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92">
        <f>IFERROR(VLOOKUP(A4,[1]Biogasudbytte!$A$2:$B$18,2,FALSE)*[1]Energiindhold!$C$10,0)*J4*IFERROR(VLOOKUP(A4,Biogasanlæg!$F$3:$G$8,2,FALSE),1)</f>
        <v>0</v>
      </c>
      <c r="T4" s="193">
        <f t="shared" ref="T4:T15" si="6">R4-S4</f>
        <v>0</v>
      </c>
      <c r="U4" s="191">
        <f>O4*IFERROR(VLOOKUP(A4,[1]Tørstofindhold!A$2:B$24,2,FALSE),0)</f>
        <v>0</v>
      </c>
      <c r="V4" s="192">
        <f>IF(D4=År1,P4,SUM(O4,P4))*IFERROR(VLOOKUP(A4,[1]Tørstofindhold!A$2:B$24,2,FALSE),0)</f>
        <v>0</v>
      </c>
      <c r="W4" s="192">
        <f>J4*IFERROR(VLOOKUP(A4,[1]Tørstofindhold!A$2:B$24,2,FALSE),0)</f>
        <v>0</v>
      </c>
      <c r="X4" s="193">
        <f t="shared" ref="X4:X15" si="7">V4-W4</f>
        <v>0</v>
      </c>
      <c r="Y4" s="171" t="e">
        <f t="shared" si="2"/>
        <v>#REF!</v>
      </c>
      <c r="Z4" s="103" t="e">
        <f t="shared" si="3"/>
        <v>#REF!</v>
      </c>
    </row>
    <row r="5" spans="1:26" x14ac:dyDescent="0.25">
      <c r="A5" s="194" t="s">
        <v>103</v>
      </c>
      <c r="B5" s="194" t="s">
        <v>232</v>
      </c>
      <c r="C5" s="194">
        <f>IF(COUNTIFS('Resultater - Danmark'!$D$3:$D$482,'Resultat-Produktion &amp; forbrug'!A5,'Resultater - Danmark'!$A$3:$A$482,"Til energi")+COUNTIFS('Resultater - Danmark'!$D$3:$D$482,'Resultat-Produktion &amp; forbrug'!A5,'Resultater - Danmark'!$A$3:$A$482,"Biogasanlæg")&gt;0,1,0)</f>
        <v>1</v>
      </c>
      <c r="D5" s="194">
        <f t="shared" si="0"/>
        <v>2019</v>
      </c>
      <c r="E5" s="192" t="s">
        <v>23</v>
      </c>
      <c r="F5" s="195">
        <f>IF(E5="Vestdanmark",SUMIFS(IF(D5=År1,'Resultater - Vestdanmark'!H$3:H$482,IF(D5=År2,'Resultater - Vestdanmark'!I$3:I$482,'Resultater - Vestdanmark'!J$3:J$482)),'Resultater - Vestdanmark'!$F$3:$F$482,$A5,IF(D5=År1,'Resultater - Vestdanmark'!H$3:H$482,IF(D5=År2,'Resultater - Vestdanmark'!I$3:I$482,'Resultater - Vestdanmark'!J$3:J$482)),"&gt;0"),SUMIFS(IF(D5=År1,'Resultater - Østdanmark'!H$3:H$482,IF(D5=År2,'Resultater - Østdanmark'!I$3:I$482,'Resultater - Østdanmark'!J$3:J$482)),'Resultater - Østdanmark'!$F$3:$F$482,$A5,IF(D5=År1,'Resultater - Østdanmark'!H$3:H$482,IF(D5=År2,'Resultater - Østdanmark'!I$3:I$482,'Resultater - Østdanmark'!J$3:J$482)),"&gt;0"))</f>
        <v>0</v>
      </c>
      <c r="G5" s="195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92">
        <f>IF(E5="Vestdanmark",-IF(A5="Halm",SUMIFS(IF(D5=År1,'Resultater - Vestdanmark'!H$3:H$482,IF(D5=År2,'Resultater - Vestdanmark'!I$3:I$482,'Resultater - Vestdanmark'!J$3:J$482)),'Resultater - Vestdanmark'!$F$3:$F$482,$A5,'Resultater - Vestdanmark'!H$3:H$482,"&lt;0"),0),-IF(A5="Halm",SUMIFS(IF(D5=År1,'Resultater - Østdanmark'!H$3:H$482,IF(D5=År2,'Resultater - Østdanmark'!I$3:I$482,'Resultater - Østdanmark'!J$3:J$482)),'Resultater - Østdanmark'!$F$3:$F$482,$A5,'Resultater - Østdanmark'!H$3:H$482,"&lt;0"),0))</f>
        <v>0</v>
      </c>
      <c r="I5" s="195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5" t="e">
        <f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#REF!</v>
      </c>
      <c r="K5" s="195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5" t="e">
        <f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#REF!</v>
      </c>
      <c r="M5" s="157" t="e">
        <f>SUMIFS('Forbrug af biomasse'!E:E,'Forbrug af biomasse'!C:C,'Resultat-Produktion &amp; forbrug'!$A5,'Forbrug af biomasse'!D:D,'Resultat-Produktion &amp; forbrug'!$D5,'Forbrug af biomasse'!G:G,1,'Forbrug af biomasse'!B:B,$E5)</f>
        <v>#REF!</v>
      </c>
      <c r="N5" s="204" t="e">
        <f t="shared" si="4"/>
        <v>#REF!</v>
      </c>
      <c r="O5" s="195" t="e">
        <f t="shared" si="1"/>
        <v>#REF!</v>
      </c>
      <c r="P5" s="205" t="e">
        <f t="shared" si="5"/>
        <v>#REF!</v>
      </c>
      <c r="Q5" s="192" t="e">
        <f>IFERROR(VLOOKUP(A5,[1]Energiindhold!$A$2:$C$11,3,FALSE),IFERROR(VLOOKUP(A5,[1]Biogasudbytte!$A$2:$B$18,2,FALSE)*[1]Energiindhold!$C$10,0))*O5</f>
        <v>#REF!</v>
      </c>
      <c r="R5" s="192" t="e">
        <f>IF(A5&lt;&gt;"Biogas",IFERROR(VLOOKUP(A5,[1]Biogasudbytte!$A$2:$B$18,2,FALSE)*[1]Energiindhold!$C$10,0)*J5*IFERROR(VLOOKUP(A5,Biogasanlæg!$F$3:$G$8,2,FALSE),1)+IFERROR(VLOOKUP(A5,[1]Energiindhold!$A$2:$C$11,3,FALSE),0)*L5+IF(D5&lt;&gt;År1,Q5,0),0)</f>
        <v>#REF!</v>
      </c>
      <c r="S5" s="192" t="e">
        <f>IFERROR(VLOOKUP(A5,[1]Biogasudbytte!$A$2:$B$18,2,FALSE)*[1]Energiindhold!$C$10,0)*J5*IFERROR(VLOOKUP(A5,Biogasanlæg!$F$3:$G$8,2,FALSE),1)</f>
        <v>#REF!</v>
      </c>
      <c r="T5" s="193" t="e">
        <f t="shared" si="6"/>
        <v>#REF!</v>
      </c>
      <c r="U5" s="191" t="e">
        <f>O5*IFERROR(VLOOKUP(A5,[1]Tørstofindhold!A$2:B$24,2,FALSE),0)</f>
        <v>#REF!</v>
      </c>
      <c r="V5" s="192" t="e">
        <f>IF(D5=År1,P5,SUM(O5,P5))*IFERROR(VLOOKUP(A5,[1]Tørstofindhold!A$2:B$24,2,FALSE),0)</f>
        <v>#REF!</v>
      </c>
      <c r="W5" s="192" t="e">
        <f>J5*IFERROR(VLOOKUP(A5,[1]Tørstofindhold!A$2:B$24,2,FALSE),0)</f>
        <v>#REF!</v>
      </c>
      <c r="X5" s="193" t="e">
        <f t="shared" si="7"/>
        <v>#REF!</v>
      </c>
      <c r="Y5" s="171" t="e">
        <f t="shared" si="2"/>
        <v>#REF!</v>
      </c>
      <c r="Z5" s="103" t="e">
        <f t="shared" si="3"/>
        <v>#REF!</v>
      </c>
    </row>
    <row r="6" spans="1:26" x14ac:dyDescent="0.25">
      <c r="A6" s="194" t="s">
        <v>110</v>
      </c>
      <c r="B6" s="194"/>
      <c r="C6" s="194">
        <f>IF(COUNTIFS('Resultater - Danmark'!$D$3:$D$482,'Resultat-Produktion &amp; forbrug'!A6,'Resultater - Danmark'!$A$3:$A$482,"Til energi")+COUNTIFS('Resultater - Danmark'!$D$3:$D$482,'Resultat-Produktion &amp; forbrug'!A6,'Resultater - Danmark'!$A$3:$A$482,"Biogasanlæg")&gt;0,1,0)</f>
        <v>1</v>
      </c>
      <c r="D6" s="194">
        <f t="shared" si="0"/>
        <v>2019</v>
      </c>
      <c r="E6" s="192" t="s">
        <v>23</v>
      </c>
      <c r="F6" s="195">
        <f>IF(E6="Vestdanmark",SUMIFS(IF(D6=År1,'Resultater - Vestdanmark'!H$3:H$482,IF(D6=År2,'Resultater - Vestdanmark'!I$3:I$482,'Resultater - Vestdanmark'!J$3:J$482)),'Resultater - Vestdanmark'!$F$3:$F$482,$A6,IF(D6=År1,'Resultater - Vestdanmark'!H$3:H$482,IF(D6=År2,'Resultater - Vestdanmark'!I$3:I$482,'Resultater - Vestdanmark'!J$3:J$482)),"&gt;0"),SUMIFS(IF(D6=År1,'Resultater - Østdanmark'!H$3:H$482,IF(D6=År2,'Resultater - Østdanmark'!I$3:I$482,'Resultater - Østdanmark'!J$3:J$482)),'Resultater - Østdanmark'!$F$3:$F$482,$A6,IF(D6=År1,'Resultater - Østdanmark'!H$3:H$482,IF(D6=År2,'Resultater - Østdanmark'!I$3:I$482,'Resultater - Østdanmark'!J$3:J$482)),"&gt;0"))</f>
        <v>48345002.496000007</v>
      </c>
      <c r="G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92">
        <f>IF(E6="Vestdanmark",-IF(A6="Halm",SUMIFS(IF(D6=År1,'Resultater - Vestdanmark'!H$3:H$482,IF(D6=År2,'Resultater - Vestdanmark'!I$3:I$482,'Resultater - Vestdanmark'!J$3:J$482)),'Resultater - Vestdanmark'!$F$3:$F$482,$A6,'Resultater - Vestdanmark'!H$3:H$482,"&lt;0"),0),-IF(A6="Halm",SUMIFS(IF(D6=År1,'Resultater - Østdanmark'!H$3:H$482,IF(D6=År2,'Resultater - Østdanmark'!I$3:I$482,'Resultater - Østdanmark'!J$3:J$482)),'Resultater - Østdanmark'!$F$3:$F$482,$A6,'Resultater - Østdanmark'!H$3:H$482,"&lt;0"),0))</f>
        <v>0</v>
      </c>
      <c r="I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5">
        <f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48345002.496000007</v>
      </c>
      <c r="M6" s="157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204">
        <f t="shared" si="4"/>
        <v>0</v>
      </c>
      <c r="O6" s="195">
        <f t="shared" si="1"/>
        <v>0</v>
      </c>
      <c r="P6" s="205">
        <f t="shared" si="5"/>
        <v>48345002.496000007</v>
      </c>
      <c r="Q6" s="192">
        <f>IFERROR(VLOOKUP(A6,[1]Energiindhold!$A$2:$C$11,3,FALSE),IFERROR(VLOOKUP(A6,[1]Biogasudbytte!$A$2:$B$18,2,FALSE)*[1]Energiindhold!$C$10,0))*O6</f>
        <v>0</v>
      </c>
      <c r="R6" s="192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92">
        <f>IFERROR(VLOOKUP(A6,[1]Biogasudbytte!$A$2:$B$18,2,FALSE)*[1]Energiindhold!$C$10,0)*J6*IFERROR(VLOOKUP(A6,Biogasanlæg!$F$3:$G$8,2,FALSE),1)</f>
        <v>0</v>
      </c>
      <c r="T6" s="193">
        <f t="shared" si="6"/>
        <v>0</v>
      </c>
      <c r="U6" s="191">
        <f>O6*IFERROR(VLOOKUP(A6,[1]Tørstofindhold!A$2:B$24,2,FALSE),0)</f>
        <v>0</v>
      </c>
      <c r="V6" s="192">
        <f>IF(D6=År1,P6,SUM(O6,P6))*IFERROR(VLOOKUP(A6,[1]Tørstofindhold!A$2:B$24,2,FALSE),0)</f>
        <v>0</v>
      </c>
      <c r="W6" s="192">
        <f>J6*IFERROR(VLOOKUP(A6,[1]Tørstofindhold!A$2:B$24,2,FALSE),0)</f>
        <v>0</v>
      </c>
      <c r="X6" s="193">
        <f t="shared" si="7"/>
        <v>0</v>
      </c>
      <c r="Y6" s="171">
        <f t="shared" si="2"/>
        <v>0</v>
      </c>
      <c r="Z6" s="103">
        <f t="shared" si="3"/>
        <v>0</v>
      </c>
    </row>
    <row r="7" spans="1:26" x14ac:dyDescent="0.25">
      <c r="A7" s="194" t="s">
        <v>111</v>
      </c>
      <c r="B7" s="194"/>
      <c r="C7" s="194">
        <f>IF(COUNTIFS('Resultater - Danmark'!$D$3:$D$482,'Resultat-Produktion &amp; forbrug'!A7,'Resultater - Danmark'!$A$3:$A$482,"Til energi")+COUNTIFS('Resultater - Danmark'!$D$3:$D$482,'Resultat-Produktion &amp; forbrug'!A7,'Resultater - Danmark'!$A$3:$A$482,"Biogasanlæg")&gt;0,1,0)</f>
        <v>0</v>
      </c>
      <c r="D7" s="194">
        <f t="shared" si="0"/>
        <v>2019</v>
      </c>
      <c r="E7" s="192" t="s">
        <v>23</v>
      </c>
      <c r="F7" s="195">
        <f>IF(E7="Vestdanmark",SUMIFS(IF(D7=År1,'Resultater - Vestdanmark'!H$3:H$482,IF(D7=År2,'Resultater - Vestdanmark'!I$3:I$482,'Resultater - Vestdanmark'!J$3:J$482)),'Resultater - Vestdanmark'!$F$3:$F$482,$A7,IF(D7=År1,'Resultater - Vestdanmark'!H$3:H$482,IF(D7=År2,'Resultater - Vestdanmark'!I$3:I$482,'Resultater - Vestdanmark'!J$3:J$482)),"&gt;0"),SUMIFS(IF(D7=År1,'Resultater - Østdanmark'!H$3:H$482,IF(D7=År2,'Resultater - Østdanmark'!I$3:I$482,'Resultater - Østdanmark'!J$3:J$482)),'Resultater - Østdanmark'!$F$3:$F$482,$A7,IF(D7=År1,'Resultater - Østdanmark'!H$3:H$482,IF(D7=År2,'Resultater - Østdanmark'!I$3:I$482,'Resultater - Østdanmark'!J$3:J$482)),"&gt;0"))</f>
        <v>0</v>
      </c>
      <c r="G7" s="195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92">
        <f>IF(E7="Vestdanmark",-IF(A7="Halm",SUMIFS(IF(D7=År1,'Resultater - Vestdanmark'!H$3:H$482,IF(D7=År2,'Resultater - Vestdanmark'!I$3:I$482,'Resultater - Vestdanmark'!J$3:J$482)),'Resultater - Vestdanmark'!$F$3:$F$482,$A7,'Resultater - Vestdanmark'!H$3:H$482,"&lt;0"),0),-IF(A7="Halm",SUMIFS(IF(D7=År1,'Resultater - Østdanmark'!H$3:H$482,IF(D7=År2,'Resultater - Østdanmark'!I$3:I$482,'Resultater - Østdanmark'!J$3:J$482)),'Resultater - Østdanmark'!$F$3:$F$482,$A7,'Resultater - Østdanmark'!H$3:H$482,"&lt;0"),0))</f>
        <v>0</v>
      </c>
      <c r="I7" s="195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5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5" t="e">
        <f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#REF!</v>
      </c>
      <c r="L7" s="195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7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204" t="e">
        <f t="shared" si="4"/>
        <v>#REF!</v>
      </c>
      <c r="O7" s="195">
        <f t="shared" si="1"/>
        <v>0</v>
      </c>
      <c r="P7" s="205">
        <f t="shared" si="5"/>
        <v>0</v>
      </c>
      <c r="Q7" s="192">
        <f>IFERROR(VLOOKUP(A7,[1]Energiindhold!$A$2:$C$11,3,FALSE),IFERROR(VLOOKUP(A7,[1]Biogasudbytte!$A$2:$B$18,2,FALSE)*[1]Energiindhold!$C$10,0))*O7</f>
        <v>0</v>
      </c>
      <c r="R7" s="192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92">
        <f>IFERROR(VLOOKUP(A7,[1]Biogasudbytte!$A$2:$B$18,2,FALSE)*[1]Energiindhold!$C$10,0)*J7*IFERROR(VLOOKUP(A7,Biogasanlæg!$F$3:$G$8,2,FALSE),1)</f>
        <v>0</v>
      </c>
      <c r="T7" s="193">
        <f t="shared" si="6"/>
        <v>0</v>
      </c>
      <c r="U7" s="191">
        <f>O7*IFERROR(VLOOKUP(A7,[1]Tørstofindhold!A$2:B$24,2,FALSE),0)</f>
        <v>0</v>
      </c>
      <c r="V7" s="192">
        <f>IF(D7=År1,P7,SUM(O7,P7))*IFERROR(VLOOKUP(A7,[1]Tørstofindhold!A$2:B$24,2,FALSE),0)</f>
        <v>0</v>
      </c>
      <c r="W7" s="192">
        <f>J7*IFERROR(VLOOKUP(A7,[1]Tørstofindhold!A$2:B$24,2,FALSE),0)</f>
        <v>0</v>
      </c>
      <c r="X7" s="193">
        <f t="shared" si="7"/>
        <v>0</v>
      </c>
      <c r="Y7" s="171" t="e">
        <f t="shared" si="2"/>
        <v>#REF!</v>
      </c>
      <c r="Z7" s="103" t="e">
        <f t="shared" si="3"/>
        <v>#REF!</v>
      </c>
    </row>
    <row r="8" spans="1:26" x14ac:dyDescent="0.25">
      <c r="A8" s="194" t="s">
        <v>210</v>
      </c>
      <c r="B8" s="194" t="s">
        <v>232</v>
      </c>
      <c r="C8" s="194">
        <f>IF(COUNTIFS('Resultater - Danmark'!$D$3:$D$482,'Resultat-Produktion &amp; forbrug'!A8,'Resultater - Danmark'!$A$3:$A$482,"Til energi")+COUNTIFS('Resultater - Danmark'!$D$3:$D$482,'Resultat-Produktion &amp; forbrug'!A8,'Resultater - Danmark'!$A$3:$A$482,"Biogasanlæg")&gt;0,1,0)</f>
        <v>1</v>
      </c>
      <c r="D8" s="194">
        <f t="shared" si="0"/>
        <v>2019</v>
      </c>
      <c r="E8" s="192" t="s">
        <v>23</v>
      </c>
      <c r="F8" s="195">
        <f>IF(E8="Vestdanmark",SUMIFS(IF(D8=År1,'Resultater - Vestdanmark'!H$3:H$482,IF(D8=År2,'Resultater - Vestdanmark'!I$3:I$482,'Resultater - Vestdanmark'!J$3:J$482)),'Resultater - Vestdanmark'!$F$3:$F$482,$A8,IF(D8=År1,'Resultater - Vestdanmark'!H$3:H$482,IF(D8=År2,'Resultater - Vestdanmark'!I$3:I$482,'Resultater - Vestdanmark'!J$3:J$482)),"&gt;0"),SUMIFS(IF(D8=År1,'Resultater - Østdanmark'!H$3:H$482,IF(D8=År2,'Resultater - Østdanmark'!I$3:I$482,'Resultater - Østdanmark'!J$3:J$482)),'Resultater - Østdanmark'!$F$3:$F$482,$A8,IF(D8=År1,'Resultater - Østdanmark'!H$3:H$482,IF(D8=År2,'Resultater - Østdanmark'!I$3:I$482,'Resultater - Østdanmark'!J$3:J$482)),"&gt;0"))</f>
        <v>0</v>
      </c>
      <c r="G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92">
        <f>IF(E8="Vestdanmark",-IF(A8="Halm",SUMIFS(IF(D8=År1,'Resultater - Vestdanmark'!H$3:H$482,IF(D8=År2,'Resultater - Vestdanmark'!I$3:I$482,'Resultater - Vestdanmark'!J$3:J$482)),'Resultater - Vestdanmark'!$F$3:$F$482,$A8,'Resultater - Vestdanmark'!H$3:H$482,"&lt;0"),0),-IF(A8="Halm",SUMIFS(IF(D8=År1,'Resultater - Østdanmark'!H$3:H$482,IF(D8=År2,'Resultater - Østdanmark'!I$3:I$482,'Resultater - Østdanmark'!J$3:J$482)),'Resultater - Østdanmark'!$F$3:$F$482,$A8,'Resultater - Østdanmark'!H$3:H$482,"&lt;0"),0))</f>
        <v>0</v>
      </c>
      <c r="I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5" t="e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#REF!</v>
      </c>
      <c r="K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5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7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204" t="e">
        <f t="shared" si="4"/>
        <v>#REF!</v>
      </c>
      <c r="O8" s="195" t="e">
        <f t="shared" si="1"/>
        <v>#REF!</v>
      </c>
      <c r="P8" s="205" t="e">
        <f t="shared" si="5"/>
        <v>#REF!</v>
      </c>
      <c r="Q8" s="192" t="e">
        <f>IFERROR(VLOOKUP(A8,[1]Energiindhold!$A$2:$C$11,3,FALSE),IFERROR(VLOOKUP(A8,[1]Biogasudbytte!$A$2:$B$18,2,FALSE)*[1]Energiindhold!$C$10,0))*O8</f>
        <v>#REF!</v>
      </c>
      <c r="R8" s="192" t="e">
        <f>IF(A8&lt;&gt;"Biogas",IFERROR(VLOOKUP(A8,[1]Biogasudbytte!$A$2:$B$18,2,FALSE)*[1]Energiindhold!$C$10,0)*J8*IFERROR(VLOOKUP(A8,Biogasanlæg!$F$3:$G$8,2,FALSE),1)+IFERROR(VLOOKUP(A8,[1]Energiindhold!$A$2:$C$11,3,FALSE),0)*L8+IF(D8&lt;&gt;År1,Q8,0),0)</f>
        <v>#REF!</v>
      </c>
      <c r="S8" s="192" t="e">
        <f>IFERROR(VLOOKUP(A8,[1]Biogasudbytte!$A$2:$B$18,2,FALSE)*[1]Energiindhold!$C$10,0)*J8*IFERROR(VLOOKUP(A8,Biogasanlæg!$F$3:$G$8,2,FALSE),1)</f>
        <v>#REF!</v>
      </c>
      <c r="T8" s="193" t="e">
        <f t="shared" si="6"/>
        <v>#REF!</v>
      </c>
      <c r="U8" s="191" t="e">
        <f>O8*IFERROR(VLOOKUP(A8,[1]Tørstofindhold!A$2:B$24,2,FALSE),0)</f>
        <v>#REF!</v>
      </c>
      <c r="V8" s="192" t="e">
        <f>IF(D8=År1,P8,SUM(O8,P8))*IFERROR(VLOOKUP(A8,[1]Tørstofindhold!A$2:B$24,2,FALSE),0)</f>
        <v>#REF!</v>
      </c>
      <c r="W8" s="192" t="e">
        <f>J8*IFERROR(VLOOKUP(A8,[1]Tørstofindhold!A$2:B$24,2,FALSE),0)</f>
        <v>#REF!</v>
      </c>
      <c r="X8" s="193" t="e">
        <f t="shared" si="7"/>
        <v>#REF!</v>
      </c>
      <c r="Y8" s="171" t="e">
        <f t="shared" si="2"/>
        <v>#REF!</v>
      </c>
      <c r="Z8" s="103" t="e">
        <f t="shared" si="3"/>
        <v>#REF!</v>
      </c>
    </row>
    <row r="9" spans="1:26" x14ac:dyDescent="0.25">
      <c r="A9" s="192" t="s">
        <v>102</v>
      </c>
      <c r="B9" s="194" t="s">
        <v>224</v>
      </c>
      <c r="C9" s="194">
        <f>IF(COUNTIFS('Resultater - Danmark'!$D$3:$D$482,'Resultat-Produktion &amp; forbrug'!A9,'Resultater - Danmark'!$A$3:$A$482,"Til energi")+COUNTIFS('Resultater - Danmark'!$D$3:$D$482,'Resultat-Produktion &amp; forbrug'!A9,'Resultater - Danmark'!$A$3:$A$482,"Biogasanlæg")&gt;0,1,0)</f>
        <v>1</v>
      </c>
      <c r="D9" s="194">
        <f t="shared" si="0"/>
        <v>2019</v>
      </c>
      <c r="E9" s="192" t="s">
        <v>23</v>
      </c>
      <c r="F9" s="195">
        <f>IF(E9="Vestdanmark",SUMIFS(IF(D9=År1,'Resultater - Vestdanmark'!H$3:H$482,IF(D9=År2,'Resultater - Vestdanmark'!I$3:I$482,'Resultater - Vestdanmark'!J$3:J$482)),'Resultater - Vestdanmark'!$F$3:$F$482,$A9,IF(D9=År1,'Resultater - Vestdanmark'!H$3:H$482,IF(D9=År2,'Resultater - Vestdanmark'!I$3:I$482,'Resultater - Vestdanmark'!J$3:J$482)),"&gt;0"),SUMIFS(IF(D9=År1,'Resultater - Østdanmark'!H$3:H$482,IF(D9=År2,'Resultater - Østdanmark'!I$3:I$482,'Resultater - Østdanmark'!J$3:J$482)),'Resultater - Østdanmark'!$F$3:$F$482,$A9,IF(D9=År1,'Resultater - Østdanmark'!H$3:H$482,IF(D9=År2,'Resultater - Østdanmark'!I$3:I$482,'Resultater - Østdanmark'!J$3:J$482)),"&gt;0"))</f>
        <v>0</v>
      </c>
      <c r="G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92">
        <f>IF(E9="Vestdanmark",-IF(A9="Halm",SUMIFS(IF(D9=År1,'Resultater - Vestdanmark'!H$3:H$482,IF(D9=År2,'Resultater - Vestdanmark'!I$3:I$482,'Resultater - Vestdanmark'!J$3:J$482)),'Resultater - Vestdanmark'!$F$3:$F$482,$A9,'Resultater - Vestdanmark'!H$3:H$482,"&lt;0"),0),-IF(A9="Halm",SUMIFS(IF(D9=År1,'Resultater - Østdanmark'!H$3:H$482,IF(D9=År2,'Resultater - Østdanmark'!I$3:I$482,'Resultater - Østdanmark'!J$3:J$482)),'Resultater - Østdanmark'!$F$3:$F$482,$A9,'Resultater - Østdanmark'!H$3:H$482,"&lt;0"),0))</f>
        <v>0</v>
      </c>
      <c r="I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5" t="e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#REF!</v>
      </c>
      <c r="K9" s="195" t="e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#REF!</v>
      </c>
      <c r="L9" s="195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7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204" t="e">
        <f t="shared" si="4"/>
        <v>#REF!</v>
      </c>
      <c r="O9" s="195" t="e">
        <f t="shared" si="1"/>
        <v>#REF!</v>
      </c>
      <c r="P9" s="205" t="e">
        <f>SUM(J9,L9)</f>
        <v>#REF!</v>
      </c>
      <c r="Q9" s="192" t="e">
        <f>IFERROR(VLOOKUP(A9,[1]Energiindhold!$A$2:$C$11,3,FALSE),IFERROR(VLOOKUP(A9,[1]Biogasudbytte!$A$2:$B$18,2,FALSE)*[1]Energiindhold!$C$10,0))*O9</f>
        <v>#REF!</v>
      </c>
      <c r="R9" s="192" t="e">
        <f>IF(A9&lt;&gt;"Biogas",IFERROR(VLOOKUP(A9,[1]Biogasudbytte!$A$2:$B$18,2,FALSE)*[1]Energiindhold!$C$10,0)*J9*IFERROR(VLOOKUP(A9,Biogasanlæg!$F$3:$G$8,2,FALSE),1)+IFERROR(VLOOKUP(A9,[1]Energiindhold!$A$2:$C$11,3,FALSE),0)*L9+IF(D9&lt;&gt;År1,Q9,0),0)</f>
        <v>#REF!</v>
      </c>
      <c r="S9" s="192" t="e">
        <f>IFERROR(VLOOKUP(A9,[1]Biogasudbytte!$A$2:$B$18,2,FALSE)*[1]Energiindhold!$C$10,0)*J9*IFERROR(VLOOKUP(A9,Biogasanlæg!$F$3:$G$8,2,FALSE),1)</f>
        <v>#REF!</v>
      </c>
      <c r="T9" s="193" t="e">
        <f t="shared" si="6"/>
        <v>#REF!</v>
      </c>
      <c r="U9" s="191" t="e">
        <f>O9*IFERROR(VLOOKUP(A9,[1]Tørstofindhold!A$2:B$24,2,FALSE),0)</f>
        <v>#REF!</v>
      </c>
      <c r="V9" s="192" t="e">
        <f>IF(D9=År1,P9,SUM(O9,P9))*IFERROR(VLOOKUP(A9,[1]Tørstofindhold!A$2:B$24,2,FALSE),0)</f>
        <v>#REF!</v>
      </c>
      <c r="W9" s="192" t="e">
        <f>J9*IFERROR(VLOOKUP(A9,[1]Tørstofindhold!A$2:B$24,2,FALSE),0)</f>
        <v>#REF!</v>
      </c>
      <c r="X9" s="193" t="e">
        <f t="shared" si="7"/>
        <v>#REF!</v>
      </c>
      <c r="Y9" s="171" t="e">
        <f t="shared" si="2"/>
        <v>#REF!</v>
      </c>
      <c r="Z9" s="103" t="e">
        <f t="shared" si="3"/>
        <v>#REF!</v>
      </c>
    </row>
    <row r="10" spans="1:26" x14ac:dyDescent="0.25">
      <c r="A10" s="192" t="s">
        <v>206</v>
      </c>
      <c r="B10" s="194"/>
      <c r="C10" s="194">
        <f>IF(COUNTIFS('Resultater - Danmark'!$D$3:$D$482,'Resultat-Produktion &amp; forbrug'!A10,'Resultater - Danmark'!$A$3:$A$482,"Til energi")+COUNTIFS('Resultater - Danmark'!$D$3:$D$482,'Resultat-Produktion &amp; forbrug'!A10,'Resultater - Danmark'!$A$3:$A$482,"Biogasanlæg")&gt;0,1,0)</f>
        <v>0</v>
      </c>
      <c r="D10" s="194">
        <f t="shared" si="0"/>
        <v>2019</v>
      </c>
      <c r="E10" s="192" t="s">
        <v>23</v>
      </c>
      <c r="F10" s="195">
        <f>IF(E10="Vestdanmark",SUMIFS(IF(D10=År1,'Resultater - Vestdanmark'!H$3:H$482,IF(D10=År2,'Resultater - Vestdanmark'!I$3:I$482,'Resultater - Vestdanmark'!J$3:J$482)),'Resultater - Vestdanmark'!$F$3:$F$482,$A10,IF(D10=År1,'Resultater - Vestdanmark'!H$3:H$482,IF(D10=År2,'Resultater - Vestdanmark'!I$3:I$482,'Resultater - Vestdanmark'!J$3:J$482)),"&gt;0"),SUMIFS(IF(D10=År1,'Resultater - Østdanmark'!H$3:H$482,IF(D10=År2,'Resultater - Østdanmark'!I$3:I$482,'Resultater - Østdanmark'!J$3:J$482)),'Resultater - Østdanmark'!$F$3:$F$482,$A10,IF(D10=År1,'Resultater - Østdanmark'!H$3:H$482,IF(D10=År2,'Resultater - Østdanmark'!I$3:I$482,'Resultater - Østdanmark'!J$3:J$482)),"&gt;0"))</f>
        <v>0</v>
      </c>
      <c r="G10" s="195" t="e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#REF!</v>
      </c>
      <c r="H10" s="192">
        <f>IF(E10="Vestdanmark",-IF(A10="Halm",SUMIFS(IF(D10=År1,'Resultater - Vestdanmark'!H$3:H$482,IF(D10=År2,'Resultater - Vestdanmark'!I$3:I$482,'Resultater - Vestdanmark'!J$3:J$482)),'Resultater - Vestdanmark'!$F$3:$F$482,$A10,'Resultater - Vestdanmark'!H$3:H$482,"&lt;0"),0),-IF(A10="Halm",SUMIFS(IF(D10=År1,'Resultater - Østdanmark'!H$3:H$482,IF(D10=År2,'Resultater - Østdanmark'!I$3:I$482,'Resultater - Østdanmark'!J$3:J$482)),'Resultater - Østdanmark'!$F$3:$F$482,$A10,'Resultater - Østdanmark'!H$3:H$482,"&lt;0"),0))</f>
        <v>0</v>
      </c>
      <c r="I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5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7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204" t="e">
        <f t="shared" si="4"/>
        <v>#REF!</v>
      </c>
      <c r="O10" s="195">
        <f t="shared" si="1"/>
        <v>0</v>
      </c>
      <c r="P10" s="205">
        <f t="shared" si="5"/>
        <v>0</v>
      </c>
      <c r="Q10" s="192">
        <f>IFERROR(VLOOKUP(A10,[1]Energiindhold!$A$2:$C$11,3,FALSE),IFERROR(VLOOKUP(A10,[1]Biogasudbytte!$A$2:$B$18,2,FALSE)*[1]Energiindhold!$C$10,0))*O10</f>
        <v>0</v>
      </c>
      <c r="R10" s="192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92">
        <f>IFERROR(VLOOKUP(A10,[1]Biogasudbytte!$A$2:$B$18,2,FALSE)*[1]Energiindhold!$C$10,0)*J10*IFERROR(VLOOKUP(A10,Biogasanlæg!$F$3:$G$8,2,FALSE),1)</f>
        <v>0</v>
      </c>
      <c r="T10" s="193">
        <f t="shared" si="6"/>
        <v>0</v>
      </c>
      <c r="U10" s="191">
        <f>O10*IFERROR(VLOOKUP(A10,[1]Tørstofindhold!A$2:B$24,2,FALSE),0)</f>
        <v>0</v>
      </c>
      <c r="V10" s="192">
        <f>IF(D10=År1,P10,SUM(O10,P10))*IFERROR(VLOOKUP(A10,[1]Tørstofindhold!A$2:B$24,2,FALSE),0)</f>
        <v>0</v>
      </c>
      <c r="W10" s="192">
        <f>J10*IFERROR(VLOOKUP(A10,[1]Tørstofindhold!A$2:B$24,2,FALSE),0)</f>
        <v>0</v>
      </c>
      <c r="X10" s="193">
        <f t="shared" si="7"/>
        <v>0</v>
      </c>
      <c r="Y10" s="171" t="e">
        <f t="shared" si="2"/>
        <v>#REF!</v>
      </c>
      <c r="Z10" s="103" t="e">
        <f t="shared" si="3"/>
        <v>#REF!</v>
      </c>
    </row>
    <row r="11" spans="1:26" x14ac:dyDescent="0.25">
      <c r="A11" s="192" t="s">
        <v>138</v>
      </c>
      <c r="B11" s="194" t="s">
        <v>224</v>
      </c>
      <c r="C11" s="194">
        <f>IF(COUNTIFS('Resultater - Danmark'!$D$3:$D$482,'Resultat-Produktion &amp; forbrug'!A11,'Resultater - Danmark'!$A$3:$A$482,"Til energi")+COUNTIFS('Resultater - Danmark'!$D$3:$D$482,'Resultat-Produktion &amp; forbrug'!A11,'Resultater - Danmark'!$A$3:$A$482,"Biogasanlæg")&gt;0,1,0)</f>
        <v>1</v>
      </c>
      <c r="D11" s="194">
        <f t="shared" si="0"/>
        <v>2019</v>
      </c>
      <c r="E11" s="192" t="s">
        <v>23</v>
      </c>
      <c r="F11" s="195">
        <f>IF(E11="Vestdanmark",SUMIFS(IF(D11=År1,'Resultater - Vestdanmark'!H$3:H$482,IF(D11=År2,'Resultater - Vestdanmark'!I$3:I$482,'Resultater - Vestdanmark'!J$3:J$482)),'Resultater - Vestdanmark'!$F$3:$F$482,$A11,IF(D11=År1,'Resultater - Vestdanmark'!H$3:H$482,IF(D11=År2,'Resultater - Vestdanmark'!I$3:I$482,'Resultater - Vestdanmark'!J$3:J$482)),"&gt;0"),SUMIFS(IF(D11=År1,'Resultater - Østdanmark'!H$3:H$482,IF(D11=År2,'Resultater - Østdanmark'!I$3:I$482,'Resultater - Østdanmark'!J$3:J$482)),'Resultater - Østdanmark'!$F$3:$F$482,$A11,IF(D11=År1,'Resultater - Østdanmark'!H$3:H$482,IF(D11=År2,'Resultater - Østdanmark'!I$3:I$482,'Resultater - Østdanmark'!J$3:J$482)),"&gt;0"))</f>
        <v>0</v>
      </c>
      <c r="G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92">
        <f>IF(E11="Vestdanmark",-IF(A11="Halm",SUMIFS(IF(D11=År1,'Resultater - Vestdanmark'!H$3:H$482,IF(D11=År2,'Resultater - Vestdanmark'!I$3:I$482,'Resultater - Vestdanmark'!J$3:J$482)),'Resultater - Vestdanmark'!$F$3:$F$482,$A11,'Resultater - Vestdanmark'!H$3:H$482,"&lt;0"),0),-IF(A11="Halm",SUMIFS(IF(D11=År1,'Resultater - Østdanmark'!H$3:H$482,IF(D11=År2,'Resultater - Østdanmark'!I$3:I$482,'Resultater - Østdanmark'!J$3:J$482)),'Resultater - Østdanmark'!$F$3:$F$482,$A11,'Resultater - Østdanmark'!H$3:H$482,"&lt;0"),0))</f>
        <v>0</v>
      </c>
      <c r="I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5" t="e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#REF!</v>
      </c>
      <c r="K11" s="195" t="e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#REF!</v>
      </c>
      <c r="L11" s="195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7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204" t="e">
        <f t="shared" si="4"/>
        <v>#REF!</v>
      </c>
      <c r="O11" s="195" t="e">
        <f t="shared" si="1"/>
        <v>#REF!</v>
      </c>
      <c r="P11" s="205" t="e">
        <f t="shared" si="5"/>
        <v>#REF!</v>
      </c>
      <c r="Q11" s="192" t="e">
        <f>IFERROR(VLOOKUP(A11,[1]Energiindhold!$A$2:$C$11,3,FALSE),IFERROR(VLOOKUP(A11,[1]Biogasudbytte!$A$2:$B$18,2,FALSE)*[1]Energiindhold!$C$10,0))*O11</f>
        <v>#REF!</v>
      </c>
      <c r="R11" s="192" t="e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#REF!</v>
      </c>
      <c r="S11" s="192" t="e">
        <f>IFERROR(VLOOKUP(A11,[1]Biogasudbytte!$A$2:$B$18,2,FALSE)*[1]Energiindhold!$C$10,0)*J11*IFERROR(VLOOKUP(A11,Biogasanlæg!$F$3:$G$8,2,FALSE),1)</f>
        <v>#REF!</v>
      </c>
      <c r="T11" s="193" t="e">
        <f t="shared" si="6"/>
        <v>#REF!</v>
      </c>
      <c r="U11" s="191" t="e">
        <f>O11*IFERROR(VLOOKUP(A11,[1]Tørstofindhold!A$2:B$24,2,FALSE),0)</f>
        <v>#REF!</v>
      </c>
      <c r="V11" s="192" t="e">
        <f>IF(D11=År1,P11,SUM(O11,P11))*IFERROR(VLOOKUP(A11,[1]Tørstofindhold!A$2:B$24,2,FALSE),0)</f>
        <v>#REF!</v>
      </c>
      <c r="W11" s="192" t="e">
        <f>J11*IFERROR(VLOOKUP(A11,[1]Tørstofindhold!A$2:B$24,2,FALSE),0)</f>
        <v>#REF!</v>
      </c>
      <c r="X11" s="193" t="e">
        <f t="shared" si="7"/>
        <v>#REF!</v>
      </c>
      <c r="Y11" s="171" t="e">
        <f t="shared" si="2"/>
        <v>#REF!</v>
      </c>
      <c r="Z11" s="103" t="e">
        <f t="shared" si="3"/>
        <v>#REF!</v>
      </c>
    </row>
    <row r="12" spans="1:26" x14ac:dyDescent="0.25">
      <c r="A12" s="192" t="s">
        <v>97</v>
      </c>
      <c r="B12" s="194"/>
      <c r="C12" s="194">
        <f>IF(COUNTIFS('Resultater - Danmark'!$D$3:$D$482,'Resultat-Produktion &amp; forbrug'!A12,'Resultater - Danmark'!$A$3:$A$482,"Til energi")+COUNTIFS('Resultater - Danmark'!$D$3:$D$482,'Resultat-Produktion &amp; forbrug'!A12,'Resultater - Danmark'!$A$3:$A$482,"Biogasanlæg")&gt;0,1,0)</f>
        <v>0</v>
      </c>
      <c r="D12" s="194">
        <f t="shared" si="0"/>
        <v>2019</v>
      </c>
      <c r="E12" s="192" t="s">
        <v>23</v>
      </c>
      <c r="F12" s="195">
        <f>IF(E12="Vestdanmark",SUMIFS(IF(D12=År1,'Resultater - Vestdanmark'!H$3:H$482,IF(D12=År2,'Resultater - Vestdanmark'!I$3:I$482,'Resultater - Vestdanmark'!J$3:J$482)),'Resultater - Vestdanmark'!$F$3:$F$482,$A12,IF(D12=År1,'Resultater - Vestdanmark'!H$3:H$482,IF(D12=År2,'Resultater - Vestdanmark'!I$3:I$482,'Resultater - Vestdanmark'!J$3:J$482)),"&gt;0"),SUMIFS(IF(D12=År1,'Resultater - Østdanmark'!H$3:H$482,IF(D12=År2,'Resultater - Østdanmark'!I$3:I$482,'Resultater - Østdanmark'!J$3:J$482)),'Resultater - Østdanmark'!$F$3:$F$482,$A12,IF(D12=År1,'Resultater - Østdanmark'!H$3:H$482,IF(D12=År2,'Resultater - Østdanmark'!I$3:I$482,'Resultater - Østdanmark'!J$3:J$482)),"&gt;0"))</f>
        <v>0</v>
      </c>
      <c r="G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92">
        <f>IF(E12="Vestdanmark",-IF(A12="Halm",SUMIFS(IF(D12=År1,'Resultater - Vestdanmark'!H$3:H$482,IF(D12=År2,'Resultater - Vestdanmark'!I$3:I$482,'Resultater - Vestdanmark'!J$3:J$482)),'Resultater - Vestdanmark'!$F$3:$F$482,$A12,'Resultater - Vestdanmark'!H$3:H$482,"&lt;0"),0),-IF(A12="Halm",SUMIFS(IF(D12=År1,'Resultater - Østdanmark'!H$3:H$482,IF(D12=År2,'Resultater - Østdanmark'!I$3:I$482,'Resultater - Østdanmark'!J$3:J$482)),'Resultater - Østdanmark'!$F$3:$F$482,$A12,'Resultater - Østdanmark'!H$3:H$482,"&lt;0"),0))</f>
        <v>0</v>
      </c>
      <c r="I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5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7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204">
        <f t="shared" si="4"/>
        <v>-34149.438191562753</v>
      </c>
      <c r="O12" s="195">
        <f t="shared" si="1"/>
        <v>0</v>
      </c>
      <c r="P12" s="205">
        <f t="shared" si="5"/>
        <v>0</v>
      </c>
      <c r="Q12" s="192">
        <f>IFERROR(VLOOKUP(A12,[1]Energiindhold!$A$2:$C$11,3,FALSE),IFERROR(VLOOKUP(A12,[1]Biogasudbytte!$A$2:$B$18,2,FALSE)*[1]Energiindhold!$C$10,0))*O12</f>
        <v>0</v>
      </c>
      <c r="R12" s="192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92">
        <f>IFERROR(VLOOKUP(A12,[1]Biogasudbytte!$A$2:$B$18,2,FALSE)*[1]Energiindhold!$C$10,0)*J12*IFERROR(VLOOKUP(A12,Biogasanlæg!$F$3:$G$8,2,FALSE),1)</f>
        <v>0</v>
      </c>
      <c r="T12" s="193">
        <f t="shared" si="6"/>
        <v>0</v>
      </c>
      <c r="U12" s="191">
        <f>O12*IFERROR(VLOOKUP(A12,[1]Tørstofindhold!A$2:B$24,2,FALSE),0)</f>
        <v>0</v>
      </c>
      <c r="V12" s="192">
        <f>IF(D12=År1,P12,SUM(O12,P12))*IFERROR(VLOOKUP(A12,[1]Tørstofindhold!A$2:B$24,2,FALSE),0)</f>
        <v>0</v>
      </c>
      <c r="W12" s="192">
        <f>J12*IFERROR(VLOOKUP(A12,[1]Tørstofindhold!A$2:B$24,2,FALSE),0)</f>
        <v>0</v>
      </c>
      <c r="X12" s="193">
        <f t="shared" si="7"/>
        <v>0</v>
      </c>
      <c r="Y12" s="171">
        <f t="shared" si="2"/>
        <v>1</v>
      </c>
      <c r="Z12" s="103">
        <f t="shared" si="3"/>
        <v>0</v>
      </c>
    </row>
    <row r="13" spans="1:26" x14ac:dyDescent="0.25">
      <c r="A13" s="192" t="s">
        <v>114</v>
      </c>
      <c r="B13" s="194"/>
      <c r="C13" s="194">
        <f>IF(COUNTIFS('Resultater - Danmark'!$D$3:$D$482,'Resultat-Produktion &amp; forbrug'!A13,'Resultater - Danmark'!$A$3:$A$482,"Til energi")+COUNTIFS('Resultater - Danmark'!$D$3:$D$482,'Resultat-Produktion &amp; forbrug'!A13,'Resultater - Danmark'!$A$3:$A$482,"Biogasanlæg")&gt;0,1,0)</f>
        <v>0</v>
      </c>
      <c r="D13" s="194">
        <f t="shared" si="0"/>
        <v>2019</v>
      </c>
      <c r="E13" s="192" t="s">
        <v>23</v>
      </c>
      <c r="F13" s="195">
        <f>IF(E13="Vestdanmark",SUMIFS(IF(D13=År1,'Resultater - Vestdanmark'!H$3:H$482,IF(D13=År2,'Resultater - Vestdanmark'!I$3:I$482,'Resultater - Vestdanmark'!J$3:J$482)),'Resultater - Vestdanmark'!$F$3:$F$482,$A13,IF(D13=År1,'Resultater - Vestdanmark'!H$3:H$482,IF(D13=År2,'Resultater - Vestdanmark'!I$3:I$482,'Resultater - Vestdanmark'!J$3:J$482)),"&gt;0"),SUMIFS(IF(D13=År1,'Resultater - Østdanmark'!H$3:H$482,IF(D13=År2,'Resultater - Østdanmark'!I$3:I$482,'Resultater - Østdanmark'!J$3:J$482)),'Resultater - Østdanmark'!$F$3:$F$482,$A13,IF(D13=År1,'Resultater - Østdanmark'!H$3:H$482,IF(D13=År2,'Resultater - Østdanmark'!I$3:I$482,'Resultater - Østdanmark'!J$3:J$482)),"&gt;0"))</f>
        <v>0</v>
      </c>
      <c r="G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92">
        <f>IF(E13="Vestdanmark",-IF(A13="Halm",SUMIFS(IF(D13=År1,'Resultater - Vestdanmark'!H$3:H$482,IF(D13=År2,'Resultater - Vestdanmark'!I$3:I$482,'Resultater - Vestdanmark'!J$3:J$482)),'Resultater - Vestdanmark'!$F$3:$F$482,$A13,'Resultater - Vestdanmark'!H$3:H$482,"&lt;0"),0),-IF(A13="Halm",SUMIFS(IF(D13=År1,'Resultater - Østdanmark'!H$3:H$482,IF(D13=År2,'Resultater - Østdanmark'!I$3:I$482,'Resultater - Østdanmark'!J$3:J$482)),'Resultater - Østdanmark'!$F$3:$F$482,$A13,'Resultater - Østdanmark'!H$3:H$482,"&lt;0"),0))</f>
        <v>0</v>
      </c>
      <c r="I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5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7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204">
        <f t="shared" si="4"/>
        <v>0</v>
      </c>
      <c r="O13" s="195">
        <f t="shared" si="1"/>
        <v>0</v>
      </c>
      <c r="P13" s="205">
        <f t="shared" si="5"/>
        <v>0</v>
      </c>
      <c r="Q13" s="192">
        <f>IFERROR(VLOOKUP(A13,[1]Energiindhold!$A$2:$C$11,3,FALSE),IFERROR(VLOOKUP(A13,[1]Biogasudbytte!$A$2:$B$18,2,FALSE)*[1]Energiindhold!$C$10,0))*O13</f>
        <v>0</v>
      </c>
      <c r="R13" s="192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92">
        <f>IFERROR(VLOOKUP(A13,[1]Biogasudbytte!$A$2:$B$18,2,FALSE)*[1]Energiindhold!$C$10,0)*J13*IFERROR(VLOOKUP(A13,Biogasanlæg!$F$3:$G$8,2,FALSE),1)</f>
        <v>0</v>
      </c>
      <c r="T13" s="193">
        <f t="shared" si="6"/>
        <v>0</v>
      </c>
      <c r="U13" s="191">
        <f>O13*IFERROR(VLOOKUP(A13,[1]Tørstofindhold!A$2:B$24,2,FALSE),0)</f>
        <v>0</v>
      </c>
      <c r="V13" s="192">
        <f>IF(D13=År1,P13,SUM(O13,P13))*IFERROR(VLOOKUP(A13,[1]Tørstofindhold!A$2:B$24,2,FALSE),0)</f>
        <v>0</v>
      </c>
      <c r="W13" s="192">
        <f>J13*IFERROR(VLOOKUP(A13,[1]Tørstofindhold!A$2:B$24,2,FALSE),0)</f>
        <v>0</v>
      </c>
      <c r="X13" s="193">
        <f t="shared" si="7"/>
        <v>0</v>
      </c>
      <c r="Y13" s="171">
        <f t="shared" si="2"/>
        <v>0</v>
      </c>
      <c r="Z13" s="103">
        <f t="shared" si="3"/>
        <v>0</v>
      </c>
    </row>
    <row r="14" spans="1:26" x14ac:dyDescent="0.25">
      <c r="A14" s="192" t="s">
        <v>54</v>
      </c>
      <c r="B14" s="194"/>
      <c r="C14" s="194">
        <f>IF(COUNTIFS('Resultater - Danmark'!$D$3:$D$482,'Resultat-Produktion &amp; forbrug'!A14,'Resultater - Danmark'!$A$3:$A$482,"Til energi")+COUNTIFS('Resultater - Danmark'!$D$3:$D$482,'Resultat-Produktion &amp; forbrug'!A14,'Resultater - Danmark'!$A$3:$A$482,"Biogasanlæg")&gt;0,1,0)</f>
        <v>0</v>
      </c>
      <c r="D14" s="194">
        <f t="shared" si="0"/>
        <v>2019</v>
      </c>
      <c r="E14" s="192" t="s">
        <v>23</v>
      </c>
      <c r="F14" s="195">
        <f>IF(E14="Vestdanmark",SUMIFS(IF(D14=År1,'Resultater - Vestdanmark'!H$3:H$482,IF(D14=År2,'Resultater - Vestdanmark'!I$3:I$482,'Resultater - Vestdanmark'!J$3:J$482)),'Resultater - Vestdanmark'!$F$3:$F$482,$A14,IF(D14=År1,'Resultater - Vestdanmark'!H$3:H$482,IF(D14=År2,'Resultater - Vestdanmark'!I$3:I$482,'Resultater - Vestdanmark'!J$3:J$482)),"&gt;0"),SUMIFS(IF(D14=År1,'Resultater - Østdanmark'!H$3:H$482,IF(D14=År2,'Resultater - Østdanmark'!I$3:I$482,'Resultater - Østdanmark'!J$3:J$482)),'Resultater - Østdanmark'!$F$3:$F$482,$A14,IF(D14=År1,'Resultater - Østdanmark'!H$3:H$482,IF(D14=År2,'Resultater - Østdanmark'!I$3:I$482,'Resultater - Østdanmark'!J$3:J$482)),"&gt;0"))</f>
        <v>0</v>
      </c>
      <c r="G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92">
        <f>IF(E14="Vestdanmark",-IF(A14="Halm",SUMIFS(IF(D14=År1,'Resultater - Vestdanmark'!H$3:H$482,IF(D14=År2,'Resultater - Vestdanmark'!I$3:I$482,'Resultater - Vestdanmark'!J$3:J$482)),'Resultater - Vestdanmark'!$F$3:$F$482,$A14,'Resultater - Vestdanmark'!H$3:H$482,"&lt;0"),0),-IF(A14="Halm",SUMIFS(IF(D14=År1,'Resultater - Østdanmark'!H$3:H$482,IF(D14=År2,'Resultater - Østdanmark'!I$3:I$482,'Resultater - Østdanmark'!J$3:J$482)),'Resultater - Østdanmark'!$F$3:$F$482,$A14,'Resultater - Østdanmark'!H$3:H$482,"&lt;0"),0))</f>
        <v>0</v>
      </c>
      <c r="I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5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7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204">
        <f t="shared" si="4"/>
        <v>-249553.58678449702</v>
      </c>
      <c r="O14" s="195">
        <f t="shared" si="1"/>
        <v>0</v>
      </c>
      <c r="P14" s="205">
        <f t="shared" si="5"/>
        <v>0</v>
      </c>
      <c r="Q14" s="192">
        <f>IFERROR(VLOOKUP(A14,[1]Energiindhold!$A$2:$C$11,3,FALSE),IFERROR(VLOOKUP(A14,[1]Biogasudbytte!$A$2:$B$18,2,FALSE)*[1]Energiindhold!$C$10,0))*O14</f>
        <v>0</v>
      </c>
      <c r="R14" s="192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92">
        <f>IFERROR(VLOOKUP(A14,[1]Biogasudbytte!$A$2:$B$18,2,FALSE)*[1]Energiindhold!$C$10,0)*J14*IFERROR(VLOOKUP(A14,Biogasanlæg!$F$3:$G$8,2,FALSE),1)</f>
        <v>0</v>
      </c>
      <c r="T14" s="193">
        <f t="shared" si="6"/>
        <v>0</v>
      </c>
      <c r="U14" s="191">
        <f>O14*IFERROR(VLOOKUP(A14,[1]Tørstofindhold!A$2:B$24,2,FALSE),0)</f>
        <v>0</v>
      </c>
      <c r="V14" s="192">
        <f>IF(D14=År1,P14,SUM(O14,P14))*IFERROR(VLOOKUP(A14,[1]Tørstofindhold!A$2:B$24,2,FALSE),0)</f>
        <v>0</v>
      </c>
      <c r="W14" s="192">
        <f>J14*IFERROR(VLOOKUP(A14,[1]Tørstofindhold!A$2:B$24,2,FALSE),0)</f>
        <v>0</v>
      </c>
      <c r="X14" s="193">
        <f t="shared" si="7"/>
        <v>0</v>
      </c>
      <c r="Y14" s="171">
        <f t="shared" si="2"/>
        <v>1</v>
      </c>
      <c r="Z14" s="103">
        <f t="shared" si="3"/>
        <v>0</v>
      </c>
    </row>
    <row r="15" spans="1:26" x14ac:dyDescent="0.25">
      <c r="A15" s="194" t="s">
        <v>159</v>
      </c>
      <c r="B15" s="194" t="s">
        <v>159</v>
      </c>
      <c r="C15" s="194">
        <f>IF(COUNTIFS('Resultater - Danmark'!$D$3:$D$482,'Resultat-Produktion &amp; forbrug'!A15,'Resultater - Danmark'!$A$3:$A$482,"Til energi")+COUNTIFS('Resultater - Danmark'!$D$3:$D$482,'Resultat-Produktion &amp; forbrug'!A15,'Resultater - Danmark'!$A$3:$A$482,"Biogasanlæg")&gt;0,1,0)</f>
        <v>1</v>
      </c>
      <c r="D15" s="194">
        <f t="shared" si="0"/>
        <v>2019</v>
      </c>
      <c r="E15" s="192" t="s">
        <v>23</v>
      </c>
      <c r="F15" s="195">
        <f>IF(E15="Vestdanmark",SUMIFS(IF(D15=År1,'Resultater - Vestdanmark'!H$3:H$482,IF(D15=År2,'Resultater - Vestdanmark'!I$3:I$482,'Resultater - Vestdanmark'!J$3:J$482)),'Resultater - Vestdanmark'!$F$3:$F$482,$A15,IF(D15=År1,'Resultater - Vestdanmark'!H$3:H$482,IF(D15=År2,'Resultater - Vestdanmark'!I$3:I$482,'Resultater - Vestdanmark'!J$3:J$482)),"&gt;0"),SUMIFS(IF(D15=År1,'Resultater - Østdanmark'!H$3:H$482,IF(D15=År2,'Resultater - Østdanmark'!I$3:I$482,'Resultater - Østdanmark'!J$3:J$482)),'Resultater - Østdanmark'!$F$3:$F$482,$A15,IF(D15=År1,'Resultater - Østdanmark'!H$3:H$482,IF(D15=År2,'Resultater - Østdanmark'!I$3:I$482,'Resultater - Østdanmark'!J$3:J$482)),"&gt;0"))</f>
        <v>0</v>
      </c>
      <c r="G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92">
        <f>IF(E15="Vestdanmark",-IF(A15="Halm",SUMIFS(IF(D15=År1,'Resultater - Vestdanmark'!H$3:H$482,IF(D15=År2,'Resultater - Vestdanmark'!I$3:I$482,'Resultater - Vestdanmark'!J$3:J$482)),'Resultater - Vestdanmark'!$F$3:$F$482,$A15,'Resultater - Vestdanmark'!H$3:H$482,"&lt;0"),0),-IF(A15="Halm",SUMIFS(IF(D15=År1,'Resultater - Østdanmark'!H$3:H$482,IF(D15=År2,'Resultater - Østdanmark'!I$3:I$482,'Resultater - Østdanmark'!J$3:J$482)),'Resultater - Østdanmark'!$F$3:$F$482,$A15,'Resultater - Østdanmark'!H$3:H$482,"&lt;0"),0))</f>
        <v>0</v>
      </c>
      <c r="I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5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7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204">
        <f t="shared" si="4"/>
        <v>-114193.60000000001</v>
      </c>
      <c r="O15" s="195">
        <f t="shared" si="1"/>
        <v>0</v>
      </c>
      <c r="P15" s="205">
        <f t="shared" si="5"/>
        <v>114193.60000000001</v>
      </c>
      <c r="Q15" s="192">
        <f>IFERROR(VLOOKUP(A15,[1]Energiindhold!$A$2:$C$11,3,FALSE),IFERROR(VLOOKUP(A15,[1]Biogasudbytte!$A$2:$B$18,2,FALSE)*[1]Energiindhold!$C$10,0))*O15</f>
        <v>0</v>
      </c>
      <c r="R15" s="192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92">
        <f>IFERROR(VLOOKUP(A15,[1]Biogasudbytte!$A$2:$B$18,2,FALSE)*[1]Energiindhold!$C$10,0)*J15*IFERROR(VLOOKUP(A15,Biogasanlæg!$F$3:$G$8,2,FALSE),1)</f>
        <v>1.7355855896064003</v>
      </c>
      <c r="T15" s="193">
        <f t="shared" si="6"/>
        <v>0</v>
      </c>
      <c r="U15" s="191">
        <f>O15*IFERROR(VLOOKUP(A15,[1]Tørstofindhold!A$2:B$24,2,FALSE),0)</f>
        <v>0</v>
      </c>
      <c r="V15" s="192">
        <f>IF(D15=År1,P15,SUM(O15,P15))*IFERROR(VLOOKUP(A15,[1]Tørstofindhold!A$2:B$24,2,FALSE),0)</f>
        <v>102774.24</v>
      </c>
      <c r="W15" s="192">
        <f>J15*IFERROR(VLOOKUP(A15,[1]Tørstofindhold!A$2:B$24,2,FALSE),0)</f>
        <v>102774.24</v>
      </c>
      <c r="X15" s="193">
        <f t="shared" si="7"/>
        <v>0</v>
      </c>
      <c r="Y15" s="171">
        <f t="shared" si="2"/>
        <v>1</v>
      </c>
      <c r="Z15" s="103">
        <f t="shared" si="3"/>
        <v>0</v>
      </c>
    </row>
    <row r="16" spans="1:26" x14ac:dyDescent="0.25">
      <c r="A16" s="194" t="s">
        <v>51</v>
      </c>
      <c r="B16" s="194" t="s">
        <v>226</v>
      </c>
      <c r="C16" s="194">
        <f>IF(COUNTIFS('Resultater - Danmark'!$D$3:$D$482,'Resultat-Produktion &amp; forbrug'!A16,'Resultater - Danmark'!$A$3:$A$482,"Til energi")+COUNTIFS('Resultater - Danmark'!$D$3:$D$482,'Resultat-Produktion &amp; forbrug'!A16,'Resultater - Danmark'!$A$3:$A$482,"Biogasanlæg")&gt;0,1,0)</f>
        <v>1</v>
      </c>
      <c r="D16" s="194">
        <f t="shared" ref="D16:D50" si="8">År1</f>
        <v>2019</v>
      </c>
      <c r="E16" s="192" t="s">
        <v>23</v>
      </c>
      <c r="F16" s="195">
        <f>IF(E16="Vestdanmark",SUMIFS(IF(D16=År1,'Resultater - Vestdanmark'!H$3:H$482,IF(D16=År2,'Resultater - Vestdanmark'!I$3:I$482,'Resultater - Vestdanmark'!J$3:J$482)),'Resultater - Vestdanmark'!$F$3:$F$482,$A16,IF(D16=År1,'Resultater - Vestdanmark'!H$3:H$482,IF(D16=År2,'Resultater - Vestdanmark'!I$3:I$482,'Resultater - Vestdanmark'!J$3:J$482)),"&gt;0"),SUMIFS(IF(D16=År1,'Resultater - Østdanmark'!H$3:H$482,IF(D16=År2,'Resultater - Østdanmark'!I$3:I$482,'Resultater - Østdanmark'!J$3:J$482)),'Resultater - Østdanmark'!$F$3:$F$482,$A16,IF(D16=År1,'Resultater - Østdanmark'!H$3:H$482,IF(D16=År2,'Resultater - Østdanmark'!I$3:I$482,'Resultater - Østdanmark'!J$3:J$482)),"&gt;0"))</f>
        <v>0</v>
      </c>
      <c r="G16" s="195" t="e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#REF!</v>
      </c>
      <c r="H16" s="192">
        <f>IF(E16="Vestdanmark",-IF(A16="Halm",SUMIFS(IF(D16=År1,'Resultater - Vestdanmark'!H$3:H$482,IF(D16=År2,'Resultater - Vestdanmark'!I$3:I$482,'Resultater - Vestdanmark'!J$3:J$482)),'Resultater - Vestdanmark'!$F$3:$F$482,$A16,'Resultater - Vestdanmark'!H$3:H$482,"&lt;0"),0),-IF(A16="Halm",SUMIFS(IF(D16=År1,'Resultater - Østdanmark'!H$3:H$482,IF(D16=År2,'Resultater - Østdanmark'!I$3:I$482,'Resultater - Østdanmark'!J$3:J$482)),'Resultater - Østdanmark'!$F$3:$F$482,$A16,'Resultater - Østdanmark'!H$3:H$482,"&lt;0"),0))</f>
        <v>0</v>
      </c>
      <c r="I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5" t="e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#REF!</v>
      </c>
      <c r="K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5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7" t="e">
        <f>SUMIFS('Forbrug af biomasse'!E:E,'Forbrug af biomasse'!C:C,'Resultat-Produktion &amp; forbrug'!$A16,'Forbrug af biomasse'!D:D,'Resultat-Produktion &amp; forbrug'!$D16,'Forbrug af biomasse'!G:G,1,'Forbrug af biomasse'!B:B,$E16)</f>
        <v>#REF!</v>
      </c>
      <c r="N16" s="204" t="e">
        <f t="shared" ref="N16:N81" si="9">F16-SUM(G16:M16)</f>
        <v>#REF!</v>
      </c>
      <c r="O16" s="195" t="e">
        <f t="shared" si="1"/>
        <v>#REF!</v>
      </c>
      <c r="P16" s="205" t="e">
        <f t="shared" ref="P16:P81" si="10">SUM(J16,L16)</f>
        <v>#REF!</v>
      </c>
      <c r="Q16" s="192" t="e">
        <f>IFERROR(VLOOKUP(A16,[1]Energiindhold!$A$2:$C$11,3,FALSE),IFERROR(VLOOKUP(A16,[1]Biogasudbytte!$A$2:$B$18,2,FALSE)*[1]Energiindhold!$C$10,0))*O16</f>
        <v>#REF!</v>
      </c>
      <c r="R16" s="192" t="e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#REF!</v>
      </c>
      <c r="S16" s="192" t="e">
        <f>IFERROR(VLOOKUP(A16,[1]Biogasudbytte!$A$2:$B$18,2,FALSE)*[1]Energiindhold!$C$10,0)*J16*IFERROR(VLOOKUP(A16,Biogasanlæg!$F$3:$G$8,2,FALSE),1)</f>
        <v>#REF!</v>
      </c>
      <c r="T16" s="193" t="e">
        <f t="shared" ref="T16:T81" si="11">R16-S16</f>
        <v>#REF!</v>
      </c>
      <c r="U16" s="191" t="e">
        <f>O16*IFERROR(VLOOKUP(A16,[1]Tørstofindhold!A$2:B$24,2,FALSE),0)</f>
        <v>#REF!</v>
      </c>
      <c r="V16" s="192" t="e">
        <f>IF(D16=År1,P16,SUM(O16,P16))*IFERROR(VLOOKUP(A16,[1]Tørstofindhold!A$2:B$24,2,FALSE),0)</f>
        <v>#REF!</v>
      </c>
      <c r="W16" s="192" t="e">
        <f>J16*IFERROR(VLOOKUP(A16,[1]Tørstofindhold!A$2:B$24,2,FALSE),0)</f>
        <v>#REF!</v>
      </c>
      <c r="X16" s="193" t="e">
        <f t="shared" ref="X16:X81" si="12">V16-W16</f>
        <v>#REF!</v>
      </c>
      <c r="Y16" s="171" t="e">
        <f t="shared" si="2"/>
        <v>#REF!</v>
      </c>
      <c r="Z16" s="103" t="e">
        <f t="shared" si="3"/>
        <v>#REF!</v>
      </c>
    </row>
    <row r="17" spans="1:26" x14ac:dyDescent="0.25">
      <c r="A17" s="194" t="s">
        <v>205</v>
      </c>
      <c r="B17" s="194"/>
      <c r="C17" s="194">
        <f>IF(COUNTIFS('Resultater - Danmark'!$D$3:$D$482,'Resultat-Produktion &amp; forbrug'!A17,'Resultater - Danmark'!$A$3:$A$482,"Til energi")+COUNTIFS('Resultater - Danmark'!$D$3:$D$482,'Resultat-Produktion &amp; forbrug'!A17,'Resultater - Danmark'!$A$3:$A$482,"Biogasanlæg")&gt;0,1,0)</f>
        <v>0</v>
      </c>
      <c r="D17" s="194">
        <f t="shared" si="8"/>
        <v>2019</v>
      </c>
      <c r="E17" s="192" t="s">
        <v>23</v>
      </c>
      <c r="F17" s="195">
        <f>IF(E17="Vestdanmark",SUMIFS(IF(D17=År1,'Resultater - Vestdanmark'!H$3:H$482,IF(D17=År2,'Resultater - Vestdanmark'!I$3:I$482,'Resultater - Vestdanmark'!J$3:J$482)),'Resultater - Vestdanmark'!$F$3:$F$482,$A17,IF(D17=År1,'Resultater - Vestdanmark'!H$3:H$482,IF(D17=År2,'Resultater - Vestdanmark'!I$3:I$482,'Resultater - Vestdanmark'!J$3:J$482)),"&gt;0"),SUMIFS(IF(D17=År1,'Resultater - Østdanmark'!H$3:H$482,IF(D17=År2,'Resultater - Østdanmark'!I$3:I$482,'Resultater - Østdanmark'!J$3:J$482)),'Resultater - Østdanmark'!$F$3:$F$482,$A17,IF(D17=År1,'Resultater - Østdanmark'!H$3:H$482,IF(D17=År2,'Resultater - Østdanmark'!I$3:I$482,'Resultater - Østdanmark'!J$3:J$482)),"&gt;0"))</f>
        <v>0</v>
      </c>
      <c r="G17" s="195" t="e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#REF!</v>
      </c>
      <c r="H17" s="192">
        <f>IF(E17="Vestdanmark",-IF(A17="Halm",SUMIFS(IF(D17=År1,'Resultater - Vestdanmark'!H$3:H$482,IF(D17=År2,'Resultater - Vestdanmark'!I$3:I$482,'Resultater - Vestdanmark'!J$3:J$482)),'Resultater - Vestdanmark'!$F$3:$F$482,$A17,'Resultater - Vestdanmark'!H$3:H$482,"&lt;0"),0),-IF(A17="Halm",SUMIFS(IF(D17=År1,'Resultater - Østdanmark'!H$3:H$482,IF(D17=År2,'Resultater - Østdanmark'!I$3:I$482,'Resultater - Østdanmark'!J$3:J$482)),'Resultater - Østdanmark'!$F$3:$F$482,$A17,'Resultater - Østdanmark'!H$3:H$482,"&lt;0"),0))</f>
        <v>0</v>
      </c>
      <c r="I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5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7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204" t="e">
        <f t="shared" si="9"/>
        <v>#REF!</v>
      </c>
      <c r="O17" s="195">
        <f t="shared" si="1"/>
        <v>0</v>
      </c>
      <c r="P17" s="205">
        <f t="shared" si="10"/>
        <v>0</v>
      </c>
      <c r="Q17" s="192">
        <f>IFERROR(VLOOKUP(A17,[1]Energiindhold!$A$2:$C$11,3,FALSE),IFERROR(VLOOKUP(A17,[1]Biogasudbytte!$A$2:$B$18,2,FALSE)*[1]Energiindhold!$C$10,0))*O17</f>
        <v>0</v>
      </c>
      <c r="R17" s="192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92">
        <f>IFERROR(VLOOKUP(A17,[1]Biogasudbytte!$A$2:$B$18,2,FALSE)*[1]Energiindhold!$C$10,0)*J17*IFERROR(VLOOKUP(A17,Biogasanlæg!$F$3:$G$8,2,FALSE),1)</f>
        <v>0</v>
      </c>
      <c r="T17" s="193">
        <f t="shared" si="11"/>
        <v>0</v>
      </c>
      <c r="U17" s="191">
        <f>O17*IFERROR(VLOOKUP(A17,[1]Tørstofindhold!A$2:B$24,2,FALSE),0)</f>
        <v>0</v>
      </c>
      <c r="V17" s="192">
        <f>IF(D17=År1,P17,SUM(O17,P17))*IFERROR(VLOOKUP(A17,[1]Tørstofindhold!A$2:B$24,2,FALSE),0)</f>
        <v>0</v>
      </c>
      <c r="W17" s="192">
        <f>J17*IFERROR(VLOOKUP(A17,[1]Tørstofindhold!A$2:B$24,2,FALSE),0)</f>
        <v>0</v>
      </c>
      <c r="X17" s="193">
        <f t="shared" si="12"/>
        <v>0</v>
      </c>
      <c r="Y17" s="171" t="e">
        <f t="shared" si="2"/>
        <v>#REF!</v>
      </c>
      <c r="Z17" s="103" t="e">
        <f t="shared" si="3"/>
        <v>#REF!</v>
      </c>
    </row>
    <row r="18" spans="1:26" x14ac:dyDescent="0.25">
      <c r="A18" s="194" t="s">
        <v>6</v>
      </c>
      <c r="B18" s="194"/>
      <c r="C18" s="194">
        <f>IF(COUNTIFS('Resultater - Danmark'!$D$3:$D$482,'Resultat-Produktion &amp; forbrug'!A18,'Resultater - Danmark'!$A$3:$A$482,"Til energi")+COUNTIFS('Resultater - Danmark'!$D$3:$D$482,'Resultat-Produktion &amp; forbrug'!A18,'Resultater - Danmark'!$A$3:$A$482,"Biogasanlæg")&gt;0,1,0)</f>
        <v>0</v>
      </c>
      <c r="D18" s="194">
        <f t="shared" si="8"/>
        <v>2019</v>
      </c>
      <c r="E18" s="192" t="s">
        <v>23</v>
      </c>
      <c r="F18" s="195">
        <f>IF(E18="Vestdanmark",SUMIFS(IF(D18=År1,'Resultater - Vestdanmark'!H$3:H$482,IF(D18=År2,'Resultater - Vestdanmark'!I$3:I$482,'Resultater - Vestdanmark'!J$3:J$482)),'Resultater - Vestdanmark'!$F$3:$F$482,$A18,IF(D18=År1,'Resultater - Vestdanmark'!H$3:H$482,IF(D18=År2,'Resultater - Vestdanmark'!I$3:I$482,'Resultater - Vestdanmark'!J$3:J$482)),"&gt;0"),SUMIFS(IF(D18=År1,'Resultater - Østdanmark'!H$3:H$482,IF(D18=År2,'Resultater - Østdanmark'!I$3:I$482,'Resultater - Østdanmark'!J$3:J$482)),'Resultater - Østdanmark'!$F$3:$F$482,$A18,IF(D18=År1,'Resultater - Østdanmark'!H$3:H$482,IF(D18=År2,'Resultater - Østdanmark'!I$3:I$482,'Resultater - Østdanmark'!J$3:J$482)),"&gt;0"))</f>
        <v>0</v>
      </c>
      <c r="G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92">
        <f>IF(E18="Vestdanmark",-IF(A18="Halm",SUMIFS(IF(D18=År1,'Resultater - Vestdanmark'!H$3:H$482,IF(D18=År2,'Resultater - Vestdanmark'!I$3:I$482,'Resultater - Vestdanmark'!J$3:J$482)),'Resultater - Vestdanmark'!$F$3:$F$482,$A18,'Resultater - Vestdanmark'!H$3:H$482,"&lt;0"),0),-IF(A18="Halm",SUMIFS(IF(D18=År1,'Resultater - Østdanmark'!H$3:H$482,IF(D18=År2,'Resultater - Østdanmark'!I$3:I$482,'Resultater - Østdanmark'!J$3:J$482)),'Resultater - Østdanmark'!$F$3:$F$482,$A18,'Resultater - Østdanmark'!H$3:H$482,"&lt;0"),0))</f>
        <v>0</v>
      </c>
      <c r="I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5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7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204">
        <f t="shared" si="9"/>
        <v>-261374.54615849949</v>
      </c>
      <c r="O18" s="195">
        <f t="shared" si="1"/>
        <v>0</v>
      </c>
      <c r="P18" s="205">
        <f t="shared" si="10"/>
        <v>0</v>
      </c>
      <c r="Q18" s="192">
        <f>IFERROR(VLOOKUP(A18,[1]Energiindhold!$A$2:$C$11,3,FALSE),IFERROR(VLOOKUP(A18,[1]Biogasudbytte!$A$2:$B$18,2,FALSE)*[1]Energiindhold!$C$10,0))*O18</f>
        <v>0</v>
      </c>
      <c r="R18" s="192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92">
        <f>IFERROR(VLOOKUP(A18,[1]Biogasudbytte!$A$2:$B$18,2,FALSE)*[1]Energiindhold!$C$10,0)*J18*IFERROR(VLOOKUP(A18,Biogasanlæg!$F$3:$G$8,2,FALSE),1)</f>
        <v>0</v>
      </c>
      <c r="T18" s="193">
        <f t="shared" si="11"/>
        <v>0</v>
      </c>
      <c r="U18" s="191">
        <f>O18*IFERROR(VLOOKUP(A18,[1]Tørstofindhold!A$2:B$24,2,FALSE),0)</f>
        <v>0</v>
      </c>
      <c r="V18" s="192">
        <f>IF(D18=År1,P18,SUM(O18,P18))*IFERROR(VLOOKUP(A18,[1]Tørstofindhold!A$2:B$24,2,FALSE),0)</f>
        <v>0</v>
      </c>
      <c r="W18" s="192">
        <f>J18*IFERROR(VLOOKUP(A18,[1]Tørstofindhold!A$2:B$24,2,FALSE),0)</f>
        <v>0</v>
      </c>
      <c r="X18" s="193">
        <f t="shared" si="12"/>
        <v>0</v>
      </c>
      <c r="Y18" s="171">
        <f t="shared" si="2"/>
        <v>1</v>
      </c>
      <c r="Z18" s="103">
        <f t="shared" si="3"/>
        <v>0</v>
      </c>
    </row>
    <row r="19" spans="1:26" x14ac:dyDescent="0.25">
      <c r="A19" s="194" t="s">
        <v>68</v>
      </c>
      <c r="B19" s="194" t="s">
        <v>229</v>
      </c>
      <c r="C19" s="194">
        <f>IF(COUNTIFS('Resultater - Danmark'!$D$3:$D$482,'Resultat-Produktion &amp; forbrug'!A19,'Resultater - Danmark'!$A$3:$A$482,"Til energi")+COUNTIFS('Resultater - Danmark'!$D$3:$D$482,'Resultat-Produktion &amp; forbrug'!A19,'Resultater - Danmark'!$A$3:$A$482,"Biogasanlæg")&gt;0,1,0)</f>
        <v>1</v>
      </c>
      <c r="D19" s="194">
        <f t="shared" si="8"/>
        <v>2019</v>
      </c>
      <c r="E19" s="192" t="s">
        <v>23</v>
      </c>
      <c r="F19" s="195">
        <f>IF(E19="Vestdanmark",SUMIFS(IF(D19=År1,'Resultater - Vestdanmark'!H$3:H$482,IF(D19=År2,'Resultater - Vestdanmark'!I$3:I$482,'Resultater - Vestdanmark'!J$3:J$482)),'Resultater - Vestdanmark'!$F$3:$F$482,$A19,IF(D19=År1,'Resultater - Vestdanmark'!H$3:H$482,IF(D19=År2,'Resultater - Vestdanmark'!I$3:I$482,'Resultater - Vestdanmark'!J$3:J$482)),"&gt;0"),SUMIFS(IF(D19=År1,'Resultater - Østdanmark'!H$3:H$482,IF(D19=År2,'Resultater - Østdanmark'!I$3:I$482,'Resultater - Østdanmark'!J$3:J$482)),'Resultater - Østdanmark'!$F$3:$F$482,$A19,IF(D19=År1,'Resultater - Østdanmark'!H$3:H$482,IF(D19=År2,'Resultater - Østdanmark'!I$3:I$482,'Resultater - Østdanmark'!J$3:J$482)),"&gt;0"))</f>
        <v>0</v>
      </c>
      <c r="G19" s="195" t="e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#REF!</v>
      </c>
      <c r="H19" s="192">
        <f>IF(E19="Vestdanmark",-IF(A19="Halm",SUMIFS(IF(D19=År1,'Resultater - Vestdanmark'!H$3:H$482,IF(D19=År2,'Resultater - Vestdanmark'!I$3:I$482,'Resultater - Vestdanmark'!J$3:J$482)),'Resultater - Vestdanmark'!$F$3:$F$482,$A19,'Resultater - Vestdanmark'!H$3:H$482,"&lt;0"),0),-IF(A19="Halm",SUMIFS(IF(D19=År1,'Resultater - Østdanmark'!H$3:H$482,IF(D19=År2,'Resultater - Østdanmark'!I$3:I$482,'Resultater - Østdanmark'!J$3:J$482)),'Resultater - Østdanmark'!$F$3:$F$482,$A19,'Resultater - Østdanmark'!H$3:H$482,"&lt;0"),0))</f>
        <v>0</v>
      </c>
      <c r="I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5" t="e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#REF!</v>
      </c>
      <c r="K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5" t="e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#REF!</v>
      </c>
      <c r="M19" s="157" t="e">
        <f>SUMIFS('Forbrug af biomasse'!E:E,'Forbrug af biomasse'!C:C,'Resultat-Produktion &amp; forbrug'!$A19,'Forbrug af biomasse'!D:D,'Resultat-Produktion &amp; forbrug'!$D19,'Forbrug af biomasse'!G:G,1,'Forbrug af biomasse'!B:B,$E19)</f>
        <v>#REF!</v>
      </c>
      <c r="N19" s="204" t="e">
        <f t="shared" si="9"/>
        <v>#REF!</v>
      </c>
      <c r="O19" s="195" t="e">
        <f t="shared" si="1"/>
        <v>#REF!</v>
      </c>
      <c r="P19" s="205" t="e">
        <f t="shared" si="10"/>
        <v>#REF!</v>
      </c>
      <c r="Q19" s="192" t="e">
        <f>IFERROR(VLOOKUP(A19,[1]Energiindhold!$A$2:$C$11,3,FALSE),IFERROR(VLOOKUP(A19,[1]Biogasudbytte!$A$2:$B$18,2,FALSE)*[1]Energiindhold!$C$10,0))*O19</f>
        <v>#REF!</v>
      </c>
      <c r="R19" s="192" t="e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#REF!</v>
      </c>
      <c r="S19" s="192" t="e">
        <f>IFERROR(VLOOKUP(A19,[1]Biogasudbytte!$A$2:$B$18,2,FALSE)*[1]Energiindhold!$C$10,0)*J19*IFERROR(VLOOKUP(A19,Biogasanlæg!$F$3:$G$8,2,FALSE),1)</f>
        <v>#REF!</v>
      </c>
      <c r="T19" s="193" t="e">
        <f t="shared" si="11"/>
        <v>#REF!</v>
      </c>
      <c r="U19" s="191" t="e">
        <f>O19*IFERROR(VLOOKUP(A19,[1]Tørstofindhold!A$2:B$24,2,FALSE),0)</f>
        <v>#REF!</v>
      </c>
      <c r="V19" s="192" t="e">
        <f>IF(D19=År1,P19,SUM(O19,P19))*IFERROR(VLOOKUP(A19,[1]Tørstofindhold!A$2:B$24,2,FALSE),0)</f>
        <v>#REF!</v>
      </c>
      <c r="W19" s="192" t="e">
        <f>J19*IFERROR(VLOOKUP(A19,[1]Tørstofindhold!A$2:B$24,2,FALSE),0)</f>
        <v>#REF!</v>
      </c>
      <c r="X19" s="193" t="e">
        <f t="shared" si="12"/>
        <v>#REF!</v>
      </c>
      <c r="Y19" s="171" t="e">
        <f t="shared" si="2"/>
        <v>#REF!</v>
      </c>
      <c r="Z19" s="103" t="e">
        <f t="shared" si="3"/>
        <v>#REF!</v>
      </c>
    </row>
    <row r="20" spans="1:26" x14ac:dyDescent="0.25">
      <c r="A20" s="194" t="s">
        <v>163</v>
      </c>
      <c r="B20" s="194" t="s">
        <v>232</v>
      </c>
      <c r="C20" s="194">
        <f>IF(COUNTIFS('Resultater - Danmark'!$D$3:$D$482,'Resultat-Produktion &amp; forbrug'!A20,'Resultater - Danmark'!$A$3:$A$482,"Til energi")+COUNTIFS('Resultater - Danmark'!$D$3:$D$482,'Resultat-Produktion &amp; forbrug'!A20,'Resultater - Danmark'!$A$3:$A$482,"Biogasanlæg")&gt;0,1,0)</f>
        <v>1</v>
      </c>
      <c r="D20" s="194">
        <f t="shared" si="8"/>
        <v>2019</v>
      </c>
      <c r="E20" s="192" t="s">
        <v>23</v>
      </c>
      <c r="F20" s="195">
        <f>IF(E20="Vestdanmark",SUMIFS(IF(D20=År1,'Resultater - Vestdanmark'!H$3:H$482,IF(D20=År2,'Resultater - Vestdanmark'!I$3:I$482,'Resultater - Vestdanmark'!J$3:J$482)),'Resultater - Vestdanmark'!$F$3:$F$482,$A20,IF(D20=År1,'Resultater - Vestdanmark'!H$3:H$482,IF(D20=År2,'Resultater - Vestdanmark'!I$3:I$482,'Resultater - Vestdanmark'!J$3:J$482)),"&gt;0"),SUMIFS(IF(D20=År1,'Resultater - Østdanmark'!H$3:H$482,IF(D20=År2,'Resultater - Østdanmark'!I$3:I$482,'Resultater - Østdanmark'!J$3:J$482)),'Resultater - Østdanmark'!$F$3:$F$482,$A20,IF(D20=År1,'Resultater - Østdanmark'!H$3:H$482,IF(D20=År2,'Resultater - Østdanmark'!I$3:I$482,'Resultater - Østdanmark'!J$3:J$482)),"&gt;0"))</f>
        <v>0</v>
      </c>
      <c r="G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92">
        <f>IF(E20="Vestdanmark",-IF(A20="Halm",SUMIFS(IF(D20=År1,'Resultater - Vestdanmark'!H$3:H$482,IF(D20=År2,'Resultater - Vestdanmark'!I$3:I$482,'Resultater - Vestdanmark'!J$3:J$482)),'Resultater - Vestdanmark'!$F$3:$F$482,$A20,'Resultater - Vestdanmark'!H$3:H$482,"&lt;0"),0),-IF(A20="Halm",SUMIFS(IF(D20=År1,'Resultater - Østdanmark'!H$3:H$482,IF(D20=År2,'Resultater - Østdanmark'!I$3:I$482,'Resultater - Østdanmark'!J$3:J$482)),'Resultater - Østdanmark'!$F$3:$F$482,$A20,'Resultater - Østdanmark'!H$3:H$482,"&lt;0"),0))</f>
        <v>0</v>
      </c>
      <c r="I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5" t="e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#REF!</v>
      </c>
      <c r="K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5" t="e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#REF!</v>
      </c>
      <c r="M20" s="157" t="e">
        <f>SUMIFS('Forbrug af biomasse'!E:E,'Forbrug af biomasse'!C:C,'Resultat-Produktion &amp; forbrug'!$A20,'Forbrug af biomasse'!D:D,'Resultat-Produktion &amp; forbrug'!$D20,'Forbrug af biomasse'!G:G,1,'Forbrug af biomasse'!B:B,$E20)</f>
        <v>#REF!</v>
      </c>
      <c r="N20" s="204" t="e">
        <f t="shared" si="9"/>
        <v>#REF!</v>
      </c>
      <c r="O20" s="195" t="e">
        <f t="shared" si="1"/>
        <v>#REF!</v>
      </c>
      <c r="P20" s="205" t="e">
        <f t="shared" si="10"/>
        <v>#REF!</v>
      </c>
      <c r="Q20" s="192" t="e">
        <f>IFERROR(VLOOKUP(A20,[1]Energiindhold!$A$2:$C$11,3,FALSE),IFERROR(VLOOKUP(A20,[1]Biogasudbytte!$A$2:$B$18,2,FALSE)*[1]Energiindhold!$C$10,0))*O20</f>
        <v>#REF!</v>
      </c>
      <c r="R20" s="192" t="e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#REF!</v>
      </c>
      <c r="S20" s="192" t="e">
        <f>IFERROR(VLOOKUP(A20,[1]Biogasudbytte!$A$2:$B$18,2,FALSE)*[1]Energiindhold!$C$10,0)*J20*IFERROR(VLOOKUP(A20,Biogasanlæg!$F$3:$G$8,2,FALSE),1)</f>
        <v>#REF!</v>
      </c>
      <c r="T20" s="193" t="e">
        <f t="shared" si="11"/>
        <v>#REF!</v>
      </c>
      <c r="U20" s="191" t="e">
        <f>O20*IFERROR(VLOOKUP(A20,[1]Tørstofindhold!A$2:B$24,2,FALSE),0)</f>
        <v>#REF!</v>
      </c>
      <c r="V20" s="192" t="e">
        <f>IF(D20=År1,P20,SUM(O20,P20))*IFERROR(VLOOKUP(A20,[1]Tørstofindhold!A$2:B$24,2,FALSE),0)</f>
        <v>#REF!</v>
      </c>
      <c r="W20" s="192" t="e">
        <f>J20*IFERROR(VLOOKUP(A20,[1]Tørstofindhold!A$2:B$24,2,FALSE),0)</f>
        <v>#REF!</v>
      </c>
      <c r="X20" s="193" t="e">
        <f t="shared" si="12"/>
        <v>#REF!</v>
      </c>
      <c r="Y20" s="171" t="e">
        <f t="shared" si="2"/>
        <v>#REF!</v>
      </c>
      <c r="Z20" s="103" t="e">
        <f t="shared" si="3"/>
        <v>#REF!</v>
      </c>
    </row>
    <row r="21" spans="1:26" x14ac:dyDescent="0.25">
      <c r="A21" s="192" t="s">
        <v>160</v>
      </c>
      <c r="B21" s="194"/>
      <c r="C21" s="194">
        <f>IF(COUNTIFS('Resultater - Danmark'!$D$3:$D$482,'Resultat-Produktion &amp; forbrug'!A21,'Resultater - Danmark'!$A$3:$A$482,"Til energi")+COUNTIFS('Resultater - Danmark'!$D$3:$D$482,'Resultat-Produktion &amp; forbrug'!A21,'Resultater - Danmark'!$A$3:$A$482,"Biogasanlæg")&gt;0,1,0)</f>
        <v>0</v>
      </c>
      <c r="D21" s="194">
        <f t="shared" si="8"/>
        <v>2019</v>
      </c>
      <c r="E21" s="192" t="s">
        <v>23</v>
      </c>
      <c r="F21" s="195">
        <f>IF(E21="Vestdanmark",SUMIFS(IF(D21=År1,'Resultater - Vestdanmark'!H$3:H$482,IF(D21=År2,'Resultater - Vestdanmark'!I$3:I$482,'Resultater - Vestdanmark'!J$3:J$482)),'Resultater - Vestdanmark'!$F$3:$F$482,$A21,IF(D21=År1,'Resultater - Vestdanmark'!H$3:H$482,IF(D21=År2,'Resultater - Vestdanmark'!I$3:I$482,'Resultater - Vestdanmark'!J$3:J$482)),"&gt;0"),SUMIFS(IF(D21=År1,'Resultater - Østdanmark'!H$3:H$482,IF(D21=År2,'Resultater - Østdanmark'!I$3:I$482,'Resultater - Østdanmark'!J$3:J$482)),'Resultater - Østdanmark'!$F$3:$F$482,$A21,IF(D21=År1,'Resultater - Østdanmark'!H$3:H$482,IF(D21=År2,'Resultater - Østdanmark'!I$3:I$482,'Resultater - Østdanmark'!J$3:J$482)),"&gt;0"))</f>
        <v>0</v>
      </c>
      <c r="G21" s="195" t="e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#REF!</v>
      </c>
      <c r="H21" s="192">
        <f>IF(E21="Vestdanmark",-IF(A21="Halm",SUMIFS(IF(D21=År1,'Resultater - Vestdanmark'!H$3:H$482,IF(D21=År2,'Resultater - Vestdanmark'!I$3:I$482,'Resultater - Vestdanmark'!J$3:J$482)),'Resultater - Vestdanmark'!$F$3:$F$482,$A21,'Resultater - Vestdanmark'!H$3:H$482,"&lt;0"),0),-IF(A21="Halm",SUMIFS(IF(D21=År1,'Resultater - Østdanmark'!H$3:H$482,IF(D21=År2,'Resultater - Østdanmark'!I$3:I$482,'Resultater - Østdanmark'!J$3:J$482)),'Resultater - Østdanmark'!$F$3:$F$482,$A21,'Resultater - Østdanmark'!H$3:H$482,"&lt;0"),0))</f>
        <v>0</v>
      </c>
      <c r="I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5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7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204" t="e">
        <f t="shared" si="9"/>
        <v>#REF!</v>
      </c>
      <c r="O21" s="195">
        <f t="shared" si="1"/>
        <v>0</v>
      </c>
      <c r="P21" s="205">
        <f t="shared" si="10"/>
        <v>0</v>
      </c>
      <c r="Q21" s="192">
        <f>IFERROR(VLOOKUP(A21,[1]Energiindhold!$A$2:$C$11,3,FALSE),IFERROR(VLOOKUP(A21,[1]Biogasudbytte!$A$2:$B$18,2,FALSE)*[1]Energiindhold!$C$10,0))*O21</f>
        <v>0</v>
      </c>
      <c r="R21" s="192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92">
        <f>IFERROR(VLOOKUP(A21,[1]Biogasudbytte!$A$2:$B$18,2,FALSE)*[1]Energiindhold!$C$10,0)*J21*IFERROR(VLOOKUP(A21,Biogasanlæg!$F$3:$G$8,2,FALSE),1)</f>
        <v>0</v>
      </c>
      <c r="T21" s="193">
        <f t="shared" si="11"/>
        <v>0</v>
      </c>
      <c r="U21" s="191">
        <f>O21*IFERROR(VLOOKUP(A21,[1]Tørstofindhold!A$2:B$24,2,FALSE),0)</f>
        <v>0</v>
      </c>
      <c r="V21" s="192">
        <f>IF(D21=År1,P21,SUM(O21,P21))*IFERROR(VLOOKUP(A21,[1]Tørstofindhold!A$2:B$24,2,FALSE),0)</f>
        <v>0</v>
      </c>
      <c r="W21" s="192">
        <f>J21*IFERROR(VLOOKUP(A21,[1]Tørstofindhold!A$2:B$24,2,FALSE),0)</f>
        <v>0</v>
      </c>
      <c r="X21" s="193">
        <f t="shared" si="12"/>
        <v>0</v>
      </c>
      <c r="Y21" s="171" t="e">
        <f t="shared" si="2"/>
        <v>#REF!</v>
      </c>
      <c r="Z21" s="103" t="e">
        <f t="shared" si="3"/>
        <v>#REF!</v>
      </c>
    </row>
    <row r="22" spans="1:26" x14ac:dyDescent="0.25">
      <c r="A22" s="194" t="s">
        <v>104</v>
      </c>
      <c r="B22" s="194" t="s">
        <v>232</v>
      </c>
      <c r="C22" s="194">
        <f>IF(COUNTIFS('Resultater - Danmark'!$D$3:$D$482,'Resultat-Produktion &amp; forbrug'!A22,'Resultater - Danmark'!$A$3:$A$482,"Til energi")+COUNTIFS('Resultater - Danmark'!$D$3:$D$482,'Resultat-Produktion &amp; forbrug'!A22,'Resultater - Danmark'!$A$3:$A$482,"Biogasanlæg")&gt;0,1,0)</f>
        <v>1</v>
      </c>
      <c r="D22" s="194">
        <f t="shared" si="8"/>
        <v>2019</v>
      </c>
      <c r="E22" s="192" t="s">
        <v>23</v>
      </c>
      <c r="F22" s="195">
        <f>IF(E22="Vestdanmark",SUMIFS(IF(D22=År1,'Resultater - Vestdanmark'!H$3:H$482,IF(D22=År2,'Resultater - Vestdanmark'!I$3:I$482,'Resultater - Vestdanmark'!J$3:J$482)),'Resultater - Vestdanmark'!$F$3:$F$482,$A22,IF(D22=År1,'Resultater - Vestdanmark'!H$3:H$482,IF(D22=År2,'Resultater - Vestdanmark'!I$3:I$482,'Resultater - Vestdanmark'!J$3:J$482)),"&gt;0"),SUMIFS(IF(D22=År1,'Resultater - Østdanmark'!H$3:H$482,IF(D22=År2,'Resultater - Østdanmark'!I$3:I$482,'Resultater - Østdanmark'!J$3:J$482)),'Resultater - Østdanmark'!$F$3:$F$482,$A22,IF(D22=År1,'Resultater - Østdanmark'!H$3:H$482,IF(D22=År2,'Resultater - Østdanmark'!I$3:I$482,'Resultater - Østdanmark'!J$3:J$482)),"&gt;0"))</f>
        <v>0</v>
      </c>
      <c r="G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92">
        <f>IF(E22="Vestdanmark",-IF(A22="Halm",SUMIFS(IF(D22=År1,'Resultater - Vestdanmark'!H$3:H$482,IF(D22=År2,'Resultater - Vestdanmark'!I$3:I$482,'Resultater - Vestdanmark'!J$3:J$482)),'Resultater - Vestdanmark'!$F$3:$F$482,$A22,'Resultater - Vestdanmark'!H$3:H$482,"&lt;0"),0),-IF(A22="Halm",SUMIFS(IF(D22=År1,'Resultater - Østdanmark'!H$3:H$482,IF(D22=År2,'Resultater - Østdanmark'!I$3:I$482,'Resultater - Østdanmark'!J$3:J$482)),'Resultater - Østdanmark'!$F$3:$F$482,$A22,'Resultater - Østdanmark'!H$3:H$482,"&lt;0"),0))</f>
        <v>0</v>
      </c>
      <c r="I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5" t="e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#REF!</v>
      </c>
      <c r="K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5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7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204" t="e">
        <f t="shared" si="9"/>
        <v>#REF!</v>
      </c>
      <c r="O22" s="195" t="e">
        <f t="shared" si="1"/>
        <v>#REF!</v>
      </c>
      <c r="P22" s="205" t="e">
        <f t="shared" si="10"/>
        <v>#REF!</v>
      </c>
      <c r="Q22" s="192" t="e">
        <f>IFERROR(VLOOKUP(A22,[1]Energiindhold!$A$2:$C$11,3,FALSE),IFERROR(VLOOKUP(A22,[1]Biogasudbytte!$A$2:$B$18,2,FALSE)*[1]Energiindhold!$C$10,0))*O22</f>
        <v>#REF!</v>
      </c>
      <c r="R22" s="192" t="e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#REF!</v>
      </c>
      <c r="S22" s="192" t="e">
        <f>IFERROR(VLOOKUP(A22,[1]Biogasudbytte!$A$2:$B$18,2,FALSE)*[1]Energiindhold!$C$10,0)*J22*IFERROR(VLOOKUP(A22,Biogasanlæg!$F$3:$G$8,2,FALSE),1)</f>
        <v>#REF!</v>
      </c>
      <c r="T22" s="193" t="e">
        <f t="shared" si="11"/>
        <v>#REF!</v>
      </c>
      <c r="U22" s="191" t="e">
        <f>O22*IFERROR(VLOOKUP(A22,[1]Tørstofindhold!A$2:B$24,2,FALSE),0)</f>
        <v>#REF!</v>
      </c>
      <c r="V22" s="192" t="e">
        <f>IF(D22=År1,P22,SUM(O22,P22))*IFERROR(VLOOKUP(A22,[1]Tørstofindhold!A$2:B$24,2,FALSE),0)</f>
        <v>#REF!</v>
      </c>
      <c r="W22" s="192" t="e">
        <f>J22*IFERROR(VLOOKUP(A22,[1]Tørstofindhold!A$2:B$24,2,FALSE),0)</f>
        <v>#REF!</v>
      </c>
      <c r="X22" s="193" t="e">
        <f t="shared" si="12"/>
        <v>#REF!</v>
      </c>
      <c r="Y22" s="171" t="e">
        <f t="shared" si="2"/>
        <v>#REF!</v>
      </c>
      <c r="Z22" s="103" t="e">
        <f t="shared" si="3"/>
        <v>#REF!</v>
      </c>
    </row>
    <row r="23" spans="1:26" x14ac:dyDescent="0.25">
      <c r="A23" s="194" t="s">
        <v>56</v>
      </c>
      <c r="B23" s="194"/>
      <c r="C23" s="194">
        <f>IF(COUNTIFS('Resultater - Danmark'!$D$3:$D$482,'Resultat-Produktion &amp; forbrug'!A23,'Resultater - Danmark'!$A$3:$A$482,"Til energi")+COUNTIFS('Resultater - Danmark'!$D$3:$D$482,'Resultat-Produktion &amp; forbrug'!A23,'Resultater - Danmark'!$A$3:$A$482,"Biogasanlæg")&gt;0,1,0)</f>
        <v>0</v>
      </c>
      <c r="D23" s="194">
        <f t="shared" si="8"/>
        <v>2019</v>
      </c>
      <c r="E23" s="192" t="s">
        <v>23</v>
      </c>
      <c r="F23" s="195">
        <f>IF(E23="Vestdanmark",SUMIFS(IF(D23=År1,'Resultater - Vestdanmark'!H$3:H$482,IF(D23=År2,'Resultater - Vestdanmark'!I$3:I$482,'Resultater - Vestdanmark'!J$3:J$482)),'Resultater - Vestdanmark'!$F$3:$F$482,$A23,IF(D23=År1,'Resultater - Vestdanmark'!H$3:H$482,IF(D23=År2,'Resultater - Vestdanmark'!I$3:I$482,'Resultater - Vestdanmark'!J$3:J$482)),"&gt;0"),SUMIFS(IF(D23=År1,'Resultater - Østdanmark'!H$3:H$482,IF(D23=År2,'Resultater - Østdanmark'!I$3:I$482,'Resultater - Østdanmark'!J$3:J$482)),'Resultater - Østdanmark'!$F$3:$F$482,$A23,IF(D23=År1,'Resultater - Østdanmark'!H$3:H$482,IF(D23=År2,'Resultater - Østdanmark'!I$3:I$482,'Resultater - Østdanmark'!J$3:J$482)),"&gt;0"))</f>
        <v>0</v>
      </c>
      <c r="G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92">
        <f>IF(E23="Vestdanmark",-IF(A23="Halm",SUMIFS(IF(D23=År1,'Resultater - Vestdanmark'!H$3:H$482,IF(D23=År2,'Resultater - Vestdanmark'!I$3:I$482,'Resultater - Vestdanmark'!J$3:J$482)),'Resultater - Vestdanmark'!$F$3:$F$482,$A23,'Resultater - Vestdanmark'!H$3:H$482,"&lt;0"),0),-IF(A23="Halm",SUMIFS(IF(D23=År1,'Resultater - Østdanmark'!H$3:H$482,IF(D23=År2,'Resultater - Østdanmark'!I$3:I$482,'Resultater - Østdanmark'!J$3:J$482)),'Resultater - Østdanmark'!$F$3:$F$482,$A23,'Resultater - Østdanmark'!H$3:H$482,"&lt;0"),0))</f>
        <v>0</v>
      </c>
      <c r="I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5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7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204">
        <f t="shared" si="9"/>
        <v>0</v>
      </c>
      <c r="O23" s="195">
        <f t="shared" si="1"/>
        <v>0</v>
      </c>
      <c r="P23" s="205">
        <f t="shared" si="10"/>
        <v>0</v>
      </c>
      <c r="Q23" s="192">
        <f>IFERROR(VLOOKUP(A23,[1]Energiindhold!$A$2:$C$11,3,FALSE),IFERROR(VLOOKUP(A23,[1]Biogasudbytte!$A$2:$B$18,2,FALSE)*[1]Energiindhold!$C$10,0))*O23</f>
        <v>0</v>
      </c>
      <c r="R23" s="192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92">
        <f>IFERROR(VLOOKUP(A23,[1]Biogasudbytte!$A$2:$B$18,2,FALSE)*[1]Energiindhold!$C$10,0)*J23*IFERROR(VLOOKUP(A23,Biogasanlæg!$F$3:$G$8,2,FALSE),1)</f>
        <v>0</v>
      </c>
      <c r="T23" s="193">
        <f t="shared" si="11"/>
        <v>0</v>
      </c>
      <c r="U23" s="191">
        <f>O23*IFERROR(VLOOKUP(A23,[1]Tørstofindhold!A$2:B$24,2,FALSE),0)</f>
        <v>0</v>
      </c>
      <c r="V23" s="192">
        <f>IF(D23=År1,P23,SUM(O23,P23))*IFERROR(VLOOKUP(A23,[1]Tørstofindhold!A$2:B$24,2,FALSE),0)</f>
        <v>0</v>
      </c>
      <c r="W23" s="192">
        <f>J23*IFERROR(VLOOKUP(A23,[1]Tørstofindhold!A$2:B$24,2,FALSE),0)</f>
        <v>0</v>
      </c>
      <c r="X23" s="193">
        <f t="shared" si="12"/>
        <v>0</v>
      </c>
      <c r="Y23" s="171">
        <f t="shared" si="2"/>
        <v>0</v>
      </c>
      <c r="Z23" s="103">
        <f t="shared" si="3"/>
        <v>0</v>
      </c>
    </row>
    <row r="24" spans="1:26" x14ac:dyDescent="0.25">
      <c r="A24" s="194" t="s">
        <v>12</v>
      </c>
      <c r="B24" s="194"/>
      <c r="C24" s="194">
        <f>IF(COUNTIFS('Resultater - Danmark'!$D$3:$D$482,'Resultat-Produktion &amp; forbrug'!A24,'Resultater - Danmark'!$A$3:$A$482,"Til energi")+COUNTIFS('Resultater - Danmark'!$D$3:$D$482,'Resultat-Produktion &amp; forbrug'!A24,'Resultater - Danmark'!$A$3:$A$482,"Biogasanlæg")&gt;0,1,0)</f>
        <v>0</v>
      </c>
      <c r="D24" s="194">
        <f t="shared" si="8"/>
        <v>2019</v>
      </c>
      <c r="E24" s="192" t="s">
        <v>23</v>
      </c>
      <c r="F24" s="195">
        <f>IF(E24="Vestdanmark",SUMIFS(IF(D24=År1,'Resultater - Vestdanmark'!H$3:H$482,IF(D24=År2,'Resultater - Vestdanmark'!I$3:I$482,'Resultater - Vestdanmark'!J$3:J$482)),'Resultater - Vestdanmark'!$F$3:$F$482,$A24,IF(D24=År1,'Resultater - Vestdanmark'!H$3:H$482,IF(D24=År2,'Resultater - Vestdanmark'!I$3:I$482,'Resultater - Vestdanmark'!J$3:J$482)),"&gt;0"),SUMIFS(IF(D24=År1,'Resultater - Østdanmark'!H$3:H$482,IF(D24=År2,'Resultater - Østdanmark'!I$3:I$482,'Resultater - Østdanmark'!J$3:J$482)),'Resultater - Østdanmark'!$F$3:$F$482,$A24,IF(D24=År1,'Resultater - Østdanmark'!H$3:H$482,IF(D24=År2,'Resultater - Østdanmark'!I$3:I$482,'Resultater - Østdanmark'!J$3:J$482)),"&gt;0"))</f>
        <v>0</v>
      </c>
      <c r="G24" s="195" t="e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#REF!</v>
      </c>
      <c r="H24" s="192">
        <f>IF(E24="Vestdanmark",-IF(A24="Halm",SUMIFS(IF(D24=År1,'Resultater - Vestdanmark'!H$3:H$482,IF(D24=År2,'Resultater - Vestdanmark'!I$3:I$482,'Resultater - Vestdanmark'!J$3:J$482)),'Resultater - Vestdanmark'!$F$3:$F$482,$A24,'Resultater - Vestdanmark'!H$3:H$482,"&lt;0"),0),-IF(A24="Halm",SUMIFS(IF(D24=År1,'Resultater - Østdanmark'!H$3:H$482,IF(D24=År2,'Resultater - Østdanmark'!I$3:I$482,'Resultater - Østdanmark'!J$3:J$482)),'Resultater - Østdanmark'!$F$3:$F$482,$A24,'Resultater - Østdanmark'!H$3:H$482,"&lt;0"),0))</f>
        <v>0</v>
      </c>
      <c r="I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5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7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204" t="e">
        <f t="shared" si="9"/>
        <v>#REF!</v>
      </c>
      <c r="O24" s="195">
        <f t="shared" si="1"/>
        <v>0</v>
      </c>
      <c r="P24" s="205">
        <f t="shared" si="10"/>
        <v>0</v>
      </c>
      <c r="Q24" s="192">
        <f>IFERROR(VLOOKUP(A24,[1]Energiindhold!$A$2:$C$11,3,FALSE),IFERROR(VLOOKUP(A24,[1]Biogasudbytte!$A$2:$B$18,2,FALSE)*[1]Energiindhold!$C$10,0))*O24</f>
        <v>0</v>
      </c>
      <c r="R24" s="192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92">
        <f>IFERROR(VLOOKUP(A24,[1]Biogasudbytte!$A$2:$B$18,2,FALSE)*[1]Energiindhold!$C$10,0)*J24*IFERROR(VLOOKUP(A24,Biogasanlæg!$F$3:$G$8,2,FALSE),1)</f>
        <v>0</v>
      </c>
      <c r="T24" s="193">
        <f t="shared" si="11"/>
        <v>0</v>
      </c>
      <c r="U24" s="191">
        <f>O24*IFERROR(VLOOKUP(A24,[1]Tørstofindhold!A$2:B$24,2,FALSE),0)</f>
        <v>0</v>
      </c>
      <c r="V24" s="192">
        <f>IF(D24=År1,P24,SUM(O24,P24))*IFERROR(VLOOKUP(A24,[1]Tørstofindhold!A$2:B$24,2,FALSE),0)</f>
        <v>0</v>
      </c>
      <c r="W24" s="192">
        <f>J24*IFERROR(VLOOKUP(A24,[1]Tørstofindhold!A$2:B$24,2,FALSE),0)</f>
        <v>0</v>
      </c>
      <c r="X24" s="193">
        <f t="shared" si="12"/>
        <v>0</v>
      </c>
      <c r="Y24" s="171" t="e">
        <f t="shared" si="2"/>
        <v>#REF!</v>
      </c>
      <c r="Z24" s="103" t="e">
        <f t="shared" si="3"/>
        <v>#REF!</v>
      </c>
    </row>
    <row r="25" spans="1:26" x14ac:dyDescent="0.25">
      <c r="A25" s="194" t="s">
        <v>48</v>
      </c>
      <c r="B25" s="194" t="s">
        <v>229</v>
      </c>
      <c r="C25" s="194">
        <f>IF(COUNTIFS('Resultater - Danmark'!$D$3:$D$482,'Resultat-Produktion &amp; forbrug'!A25,'Resultater - Danmark'!$A$3:$A$482,"Til energi")+COUNTIFS('Resultater - Danmark'!$D$3:$D$482,'Resultat-Produktion &amp; forbrug'!A25,'Resultater - Danmark'!$A$3:$A$482,"Biogasanlæg")&gt;0,1,0)</f>
        <v>1</v>
      </c>
      <c r="D25" s="194">
        <f t="shared" si="8"/>
        <v>2019</v>
      </c>
      <c r="E25" s="192" t="s">
        <v>23</v>
      </c>
      <c r="F25" s="195">
        <f>IF(E25="Vestdanmark",SUMIFS(IF(D25=År1,'Resultater - Vestdanmark'!H$3:H$482,IF(D25=År2,'Resultater - Vestdanmark'!I$3:I$482,'Resultater - Vestdanmark'!J$3:J$482)),'Resultater - Vestdanmark'!$F$3:$F$482,$A25,IF(D25=År1,'Resultater - Vestdanmark'!H$3:H$482,IF(D25=År2,'Resultater - Vestdanmark'!I$3:I$482,'Resultater - Vestdanmark'!J$3:J$482)),"&gt;0"),SUMIFS(IF(D25=År1,'Resultater - Østdanmark'!H$3:H$482,IF(D25=År2,'Resultater - Østdanmark'!I$3:I$482,'Resultater - Østdanmark'!J$3:J$482)),'Resultater - Østdanmark'!$F$3:$F$482,$A25,IF(D25=År1,'Resultater - Østdanmark'!H$3:H$482,IF(D25=År2,'Resultater - Østdanmark'!I$3:I$482,'Resultater - Østdanmark'!J$3:J$482)),"&gt;0"))</f>
        <v>0</v>
      </c>
      <c r="G25" s="195" t="e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#REF!</v>
      </c>
      <c r="H25" s="192">
        <f>IF(E25="Vestdanmark",-IF(A25="Halm",SUMIFS(IF(D25=År1,'Resultater - Vestdanmark'!H$3:H$482,IF(D25=År2,'Resultater - Vestdanmark'!I$3:I$482,'Resultater - Vestdanmark'!J$3:J$482)),'Resultater - Vestdanmark'!$F$3:$F$482,$A25,'Resultater - Vestdanmark'!H$3:H$482,"&lt;0"),0),-IF(A25="Halm",SUMIFS(IF(D25=År1,'Resultater - Østdanmark'!H$3:H$482,IF(D25=År2,'Resultater - Østdanmark'!I$3:I$482,'Resultater - Østdanmark'!J$3:J$482)),'Resultater - Østdanmark'!$F$3:$F$482,$A25,'Resultater - Østdanmark'!H$3:H$482,"&lt;0"),0))</f>
        <v>0</v>
      </c>
      <c r="I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5" t="e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#REF!</v>
      </c>
      <c r="K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5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7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204" t="e">
        <f t="shared" si="9"/>
        <v>#REF!</v>
      </c>
      <c r="O25" s="195" t="e">
        <f t="shared" si="1"/>
        <v>#REF!</v>
      </c>
      <c r="P25" s="205" t="e">
        <f t="shared" si="10"/>
        <v>#REF!</v>
      </c>
      <c r="Q25" s="192" t="e">
        <f>IFERROR(VLOOKUP(A25,[1]Energiindhold!$A$2:$C$11,3,FALSE),IFERROR(VLOOKUP(A25,[1]Biogasudbytte!$A$2:$B$18,2,FALSE)*[1]Energiindhold!$C$10,0))*O25</f>
        <v>#REF!</v>
      </c>
      <c r="R25" s="192" t="e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#REF!</v>
      </c>
      <c r="S25" s="192" t="e">
        <f>IFERROR(VLOOKUP(A25,[1]Biogasudbytte!$A$2:$B$18,2,FALSE)*[1]Energiindhold!$C$10,0)*J25*IFERROR(VLOOKUP(A25,Biogasanlæg!$F$3:$G$8,2,FALSE),1)</f>
        <v>#REF!</v>
      </c>
      <c r="T25" s="193" t="e">
        <f t="shared" si="11"/>
        <v>#REF!</v>
      </c>
      <c r="U25" s="191" t="e">
        <f>O25*IFERROR(VLOOKUP(A25,[1]Tørstofindhold!A$2:B$24,2,FALSE),0)</f>
        <v>#REF!</v>
      </c>
      <c r="V25" s="192" t="e">
        <f>IF(D25=År1,P25,SUM(O25,P25))*IFERROR(VLOOKUP(A25,[1]Tørstofindhold!A$2:B$24,2,FALSE),0)</f>
        <v>#REF!</v>
      </c>
      <c r="W25" s="192" t="e">
        <f>J25*IFERROR(VLOOKUP(A25,[1]Tørstofindhold!A$2:B$24,2,FALSE),0)</f>
        <v>#REF!</v>
      </c>
      <c r="X25" s="193" t="e">
        <f t="shared" si="12"/>
        <v>#REF!</v>
      </c>
      <c r="Y25" s="171" t="e">
        <f t="shared" si="2"/>
        <v>#REF!</v>
      </c>
      <c r="Z25" s="103" t="e">
        <f t="shared" si="3"/>
        <v>#REF!</v>
      </c>
    </row>
    <row r="26" spans="1:26" x14ac:dyDescent="0.25">
      <c r="A26" s="194" t="s">
        <v>116</v>
      </c>
      <c r="B26" s="194"/>
      <c r="C26" s="194">
        <f>IF(COUNTIFS('Resultater - Danmark'!$D$3:$D$482,'Resultat-Produktion &amp; forbrug'!A26,'Resultater - Danmark'!$A$3:$A$482,"Til energi")+COUNTIFS('Resultater - Danmark'!$D$3:$D$482,'Resultat-Produktion &amp; forbrug'!A26,'Resultater - Danmark'!$A$3:$A$482,"Biogasanlæg")&gt;0,1,0)</f>
        <v>0</v>
      </c>
      <c r="D26" s="194">
        <f t="shared" si="8"/>
        <v>2019</v>
      </c>
      <c r="E26" s="192" t="s">
        <v>23</v>
      </c>
      <c r="F26" s="195">
        <f>IF(E26="Vestdanmark",SUMIFS(IF(D26=År1,'Resultater - Vestdanmark'!H$3:H$482,IF(D26=År2,'Resultater - Vestdanmark'!I$3:I$482,'Resultater - Vestdanmark'!J$3:J$482)),'Resultater - Vestdanmark'!$F$3:$F$482,$A26,IF(D26=År1,'Resultater - Vestdanmark'!H$3:H$482,IF(D26=År2,'Resultater - Vestdanmark'!I$3:I$482,'Resultater - Vestdanmark'!J$3:J$482)),"&gt;0"),SUMIFS(IF(D26=År1,'Resultater - Østdanmark'!H$3:H$482,IF(D26=År2,'Resultater - Østdanmark'!I$3:I$482,'Resultater - Østdanmark'!J$3:J$482)),'Resultater - Østdanmark'!$F$3:$F$482,$A26,IF(D26=År1,'Resultater - Østdanmark'!H$3:H$482,IF(D26=År2,'Resultater - Østdanmark'!I$3:I$482,'Resultater - Østdanmark'!J$3:J$482)),"&gt;0"))</f>
        <v>0</v>
      </c>
      <c r="G26" s="195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92">
        <f>IF(E26="Vestdanmark",-IF(A26="Halm",SUMIFS(IF(D26=År1,'Resultater - Vestdanmark'!H$3:H$482,IF(D26=År2,'Resultater - Vestdanmark'!I$3:I$482,'Resultater - Vestdanmark'!J$3:J$482)),'Resultater - Vestdanmark'!$F$3:$F$482,$A26,'Resultater - Vestdanmark'!H$3:H$482,"&lt;0"),0),-IF(A26="Halm",SUMIFS(IF(D26=År1,'Resultater - Østdanmark'!H$3:H$482,IF(D26=År2,'Resultater - Østdanmark'!I$3:I$482,'Resultater - Østdanmark'!J$3:J$482)),'Resultater - Østdanmark'!$F$3:$F$482,$A26,'Resultater - Østdanmark'!H$3:H$482,"&lt;0"),0))</f>
        <v>0</v>
      </c>
      <c r="I26" s="195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5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5" t="e">
        <f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#REF!</v>
      </c>
      <c r="L26" s="195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7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204" t="e">
        <f t="shared" si="9"/>
        <v>#REF!</v>
      </c>
      <c r="O26" s="195">
        <f t="shared" si="1"/>
        <v>0</v>
      </c>
      <c r="P26" s="205">
        <f t="shared" si="10"/>
        <v>0</v>
      </c>
      <c r="Q26" s="192">
        <f>IFERROR(VLOOKUP(A26,[1]Energiindhold!$A$2:$C$11,3,FALSE),IFERROR(VLOOKUP(A26,[1]Biogasudbytte!$A$2:$B$18,2,FALSE)*[1]Energiindhold!$C$10,0))*O26</f>
        <v>0</v>
      </c>
      <c r="R26" s="192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92">
        <f>IFERROR(VLOOKUP(A26,[1]Biogasudbytte!$A$2:$B$18,2,FALSE)*[1]Energiindhold!$C$10,0)*J26*IFERROR(VLOOKUP(A26,Biogasanlæg!$F$3:$G$8,2,FALSE),1)</f>
        <v>0</v>
      </c>
      <c r="T26" s="193">
        <f t="shared" si="11"/>
        <v>0</v>
      </c>
      <c r="U26" s="191">
        <f>O26*IFERROR(VLOOKUP(A26,[1]Tørstofindhold!A$2:B$24,2,FALSE),0)</f>
        <v>0</v>
      </c>
      <c r="V26" s="192">
        <f>IF(D26=År1,P26,SUM(O26,P26))*IFERROR(VLOOKUP(A26,[1]Tørstofindhold!A$2:B$24,2,FALSE),0)</f>
        <v>0</v>
      </c>
      <c r="W26" s="192">
        <f>J26*IFERROR(VLOOKUP(A26,[1]Tørstofindhold!A$2:B$24,2,FALSE),0)</f>
        <v>0</v>
      </c>
      <c r="X26" s="193">
        <f t="shared" si="12"/>
        <v>0</v>
      </c>
      <c r="Y26" s="171" t="e">
        <f t="shared" si="2"/>
        <v>#REF!</v>
      </c>
      <c r="Z26" s="103" t="e">
        <f t="shared" si="3"/>
        <v>#REF!</v>
      </c>
    </row>
    <row r="27" spans="1:26" x14ac:dyDescent="0.25">
      <c r="A27" s="194" t="s">
        <v>137</v>
      </c>
      <c r="B27" s="194" t="s">
        <v>224</v>
      </c>
      <c r="C27" s="194">
        <f>IF(COUNTIFS('Resultater - Danmark'!$D$3:$D$482,'Resultat-Produktion &amp; forbrug'!A27,'Resultater - Danmark'!$A$3:$A$482,"Til energi")+COUNTIFS('Resultater - Danmark'!$D$3:$D$482,'Resultat-Produktion &amp; forbrug'!A27,'Resultater - Danmark'!$A$3:$A$482,"Biogasanlæg")&gt;0,1,0)</f>
        <v>1</v>
      </c>
      <c r="D27" s="194">
        <f t="shared" si="8"/>
        <v>2019</v>
      </c>
      <c r="E27" s="192" t="s">
        <v>23</v>
      </c>
      <c r="F27" s="195">
        <f>IF(E27="Vestdanmark",SUMIFS(IF(D27=År1,'Resultater - Vestdanmark'!H$3:H$482,IF(D27=År2,'Resultater - Vestdanmark'!I$3:I$482,'Resultater - Vestdanmark'!J$3:J$482)),'Resultater - Vestdanmark'!$F$3:$F$482,$A27,IF(D27=År1,'Resultater - Vestdanmark'!H$3:H$482,IF(D27=År2,'Resultater - Vestdanmark'!I$3:I$482,'Resultater - Vestdanmark'!J$3:J$482)),"&gt;0"),SUMIFS(IF(D27=År1,'Resultater - Østdanmark'!H$3:H$482,IF(D27=År2,'Resultater - Østdanmark'!I$3:I$482,'Resultater - Østdanmark'!J$3:J$482)),'Resultater - Østdanmark'!$F$3:$F$482,$A27,IF(D27=År1,'Resultater - Østdanmark'!H$3:H$482,IF(D27=År2,'Resultater - Østdanmark'!I$3:I$482,'Resultater - Østdanmark'!J$3:J$482)),"&gt;0"))</f>
        <v>0</v>
      </c>
      <c r="G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92">
        <f>IF(E27="Vestdanmark",-IF(A27="Halm",SUMIFS(IF(D27=År1,'Resultater - Vestdanmark'!H$3:H$482,IF(D27=År2,'Resultater - Vestdanmark'!I$3:I$482,'Resultater - Vestdanmark'!J$3:J$482)),'Resultater - Vestdanmark'!$F$3:$F$482,$A27,'Resultater - Vestdanmark'!H$3:H$482,"&lt;0"),0),-IF(A27="Halm",SUMIFS(IF(D27=År1,'Resultater - Østdanmark'!H$3:H$482,IF(D27=År2,'Resultater - Østdanmark'!I$3:I$482,'Resultater - Østdanmark'!J$3:J$482)),'Resultater - Østdanmark'!$F$3:$F$482,$A27,'Resultater - Østdanmark'!H$3:H$482,"&lt;0"),0))</f>
        <v>0</v>
      </c>
      <c r="I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5" t="e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#REF!</v>
      </c>
      <c r="K27" s="195" t="e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#REF!</v>
      </c>
      <c r="L27" s="195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7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204" t="e">
        <f t="shared" si="9"/>
        <v>#REF!</v>
      </c>
      <c r="O27" s="195" t="e">
        <f t="shared" si="1"/>
        <v>#REF!</v>
      </c>
      <c r="P27" s="205" t="e">
        <f t="shared" si="10"/>
        <v>#REF!</v>
      </c>
      <c r="Q27" s="192" t="e">
        <f>IFERROR(VLOOKUP(A27,[1]Energiindhold!$A$2:$C$11,3,FALSE),IFERROR(VLOOKUP(A27,[1]Biogasudbytte!$A$2:$B$18,2,FALSE)*[1]Energiindhold!$C$10,0))*O27</f>
        <v>#REF!</v>
      </c>
      <c r="R27" s="192" t="e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#REF!</v>
      </c>
      <c r="S27" s="192" t="e">
        <f>IFERROR(VLOOKUP(A27,[1]Biogasudbytte!$A$2:$B$18,2,FALSE)*[1]Energiindhold!$C$10,0)*J27*IFERROR(VLOOKUP(A27,Biogasanlæg!$F$3:$G$8,2,FALSE),1)</f>
        <v>#REF!</v>
      </c>
      <c r="T27" s="193" t="e">
        <f t="shared" si="11"/>
        <v>#REF!</v>
      </c>
      <c r="U27" s="191" t="e">
        <f>O27*IFERROR(VLOOKUP(A27,[1]Tørstofindhold!A$2:B$24,2,FALSE),0)</f>
        <v>#REF!</v>
      </c>
      <c r="V27" s="192" t="e">
        <f>IF(D27=År1,P27,SUM(O27,P27))*IFERROR(VLOOKUP(A27,[1]Tørstofindhold!A$2:B$24,2,FALSE),0)</f>
        <v>#REF!</v>
      </c>
      <c r="W27" s="192" t="e">
        <f>J27*IFERROR(VLOOKUP(A27,[1]Tørstofindhold!A$2:B$24,2,FALSE),0)</f>
        <v>#REF!</v>
      </c>
      <c r="X27" s="193" t="e">
        <f t="shared" si="12"/>
        <v>#REF!</v>
      </c>
      <c r="Y27" s="171" t="e">
        <f t="shared" si="2"/>
        <v>#REF!</v>
      </c>
      <c r="Z27" s="103" t="e">
        <f t="shared" si="3"/>
        <v>#REF!</v>
      </c>
    </row>
    <row r="28" spans="1:26" x14ac:dyDescent="0.25">
      <c r="A28" s="194" t="s">
        <v>109</v>
      </c>
      <c r="B28" s="194"/>
      <c r="C28" s="194">
        <f>IF(COUNTIFS('Resultater - Danmark'!$D$3:$D$482,'Resultat-Produktion &amp; forbrug'!A28,'Resultater - Danmark'!$A$3:$A$482,"Til energi")+COUNTIFS('Resultater - Danmark'!$D$3:$D$482,'Resultat-Produktion &amp; forbrug'!A28,'Resultater - Danmark'!$A$3:$A$482,"Biogasanlæg")&gt;0,1,0)</f>
        <v>0</v>
      </c>
      <c r="D28" s="194">
        <f t="shared" si="8"/>
        <v>2019</v>
      </c>
      <c r="E28" s="192" t="s">
        <v>23</v>
      </c>
      <c r="F28" s="195">
        <f>IF(E28="Vestdanmark",SUMIFS(IF(D28=År1,'Resultater - Vestdanmark'!H$3:H$482,IF(D28=År2,'Resultater - Vestdanmark'!I$3:I$482,'Resultater - Vestdanmark'!J$3:J$482)),'Resultater - Vestdanmark'!$F$3:$F$482,$A28,IF(D28=År1,'Resultater - Vestdanmark'!H$3:H$482,IF(D28=År2,'Resultater - Vestdanmark'!I$3:I$482,'Resultater - Vestdanmark'!J$3:J$482)),"&gt;0"),SUMIFS(IF(D28=År1,'Resultater - Østdanmark'!H$3:H$482,IF(D28=År2,'Resultater - Østdanmark'!I$3:I$482,'Resultater - Østdanmark'!J$3:J$482)),'Resultater - Østdanmark'!$F$3:$F$482,$A28,IF(D28=År1,'Resultater - Østdanmark'!H$3:H$482,IF(D28=År2,'Resultater - Østdanmark'!I$3:I$482,'Resultater - Østdanmark'!J$3:J$482)),"&gt;0"))</f>
        <v>0</v>
      </c>
      <c r="G28" s="195" t="e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#REF!</v>
      </c>
      <c r="H28" s="192">
        <f>IF(E28="Vestdanmark",-IF(A28="Halm",SUMIFS(IF(D28=År1,'Resultater - Vestdanmark'!H$3:H$482,IF(D28=År2,'Resultater - Vestdanmark'!I$3:I$482,'Resultater - Vestdanmark'!J$3:J$482)),'Resultater - Vestdanmark'!$F$3:$F$482,$A28,'Resultater - Vestdanmark'!H$3:H$482,"&lt;0"),0),-IF(A28="Halm",SUMIFS(IF(D28=År1,'Resultater - Østdanmark'!H$3:H$482,IF(D28=År2,'Resultater - Østdanmark'!I$3:I$482,'Resultater - Østdanmark'!J$3:J$482)),'Resultater - Østdanmark'!$F$3:$F$482,$A28,'Resultater - Østdanmark'!H$3:H$482,"&lt;0"),0))</f>
        <v>0</v>
      </c>
      <c r="I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5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7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204" t="e">
        <f t="shared" si="9"/>
        <v>#REF!</v>
      </c>
      <c r="O28" s="195">
        <f t="shared" si="1"/>
        <v>0</v>
      </c>
      <c r="P28" s="205">
        <f t="shared" si="10"/>
        <v>0</v>
      </c>
      <c r="Q28" s="192">
        <f>IFERROR(VLOOKUP(A28,[1]Energiindhold!$A$2:$C$11,3,FALSE),IFERROR(VLOOKUP(A28,[1]Biogasudbytte!$A$2:$B$18,2,FALSE)*[1]Energiindhold!$C$10,0))*O28</f>
        <v>0</v>
      </c>
      <c r="R28" s="192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92">
        <f>IFERROR(VLOOKUP(A28,[1]Biogasudbytte!$A$2:$B$18,2,FALSE)*[1]Energiindhold!$C$10,0)*J28*IFERROR(VLOOKUP(A28,Biogasanlæg!$F$3:$G$8,2,FALSE),1)</f>
        <v>0</v>
      </c>
      <c r="T28" s="193">
        <f t="shared" si="11"/>
        <v>0</v>
      </c>
      <c r="U28" s="191">
        <f>O28*IFERROR(VLOOKUP(A28,[1]Tørstofindhold!A$2:B$24,2,FALSE),0)</f>
        <v>0</v>
      </c>
      <c r="V28" s="192">
        <f>IF(D28=År1,P28,SUM(O28,P28))*IFERROR(VLOOKUP(A28,[1]Tørstofindhold!A$2:B$24,2,FALSE),0)</f>
        <v>0</v>
      </c>
      <c r="W28" s="192">
        <f>J28*IFERROR(VLOOKUP(A28,[1]Tørstofindhold!A$2:B$24,2,FALSE),0)</f>
        <v>0</v>
      </c>
      <c r="X28" s="193">
        <f t="shared" si="12"/>
        <v>0</v>
      </c>
      <c r="Y28" s="171" t="e">
        <f t="shared" si="2"/>
        <v>#REF!</v>
      </c>
      <c r="Z28" s="103" t="e">
        <f t="shared" si="3"/>
        <v>#REF!</v>
      </c>
    </row>
    <row r="29" spans="1:26" x14ac:dyDescent="0.25">
      <c r="A29" s="192" t="s">
        <v>53</v>
      </c>
      <c r="B29" s="194" t="s">
        <v>226</v>
      </c>
      <c r="C29" s="194">
        <f>IF(COUNTIFS('Resultater - Danmark'!$D$3:$D$482,'Resultat-Produktion &amp; forbrug'!A29,'Resultater - Danmark'!$A$3:$A$482,"Til energi")+COUNTIFS('Resultater - Danmark'!$D$3:$D$482,'Resultat-Produktion &amp; forbrug'!A29,'Resultater - Danmark'!$A$3:$A$482,"Biogasanlæg")&gt;0,1,0)</f>
        <v>1</v>
      </c>
      <c r="D29" s="194">
        <f t="shared" si="8"/>
        <v>2019</v>
      </c>
      <c r="E29" s="192" t="s">
        <v>23</v>
      </c>
      <c r="F29" s="195">
        <f>IF(E29="Vestdanmark",SUMIFS(IF(D29=År1,'Resultater - Vestdanmark'!H$3:H$482,IF(D29=År2,'Resultater - Vestdanmark'!I$3:I$482,'Resultater - Vestdanmark'!J$3:J$482)),'Resultater - Vestdanmark'!$F$3:$F$482,$A29,IF(D29=År1,'Resultater - Vestdanmark'!H$3:H$482,IF(D29=År2,'Resultater - Vestdanmark'!I$3:I$482,'Resultater - Vestdanmark'!J$3:J$482)),"&gt;0"),SUMIFS(IF(D29=År1,'Resultater - Østdanmark'!H$3:H$482,IF(D29=År2,'Resultater - Østdanmark'!I$3:I$482,'Resultater - Østdanmark'!J$3:J$482)),'Resultater - Østdanmark'!$F$3:$F$482,$A29,IF(D29=År1,'Resultater - Østdanmark'!H$3:H$482,IF(D29=År2,'Resultater - Østdanmark'!I$3:I$482,'Resultater - Østdanmark'!J$3:J$482)),"&gt;0"))</f>
        <v>0</v>
      </c>
      <c r="G29" s="195" t="e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#REF!</v>
      </c>
      <c r="H29" s="192">
        <f>IF(E29="Vestdanmark",-IF(A29="Halm",SUMIFS(IF(D29=År1,'Resultater - Vestdanmark'!H$3:H$482,IF(D29=År2,'Resultater - Vestdanmark'!I$3:I$482,'Resultater - Vestdanmark'!J$3:J$482)),'Resultater - Vestdanmark'!$F$3:$F$482,$A29,'Resultater - Vestdanmark'!H$3:H$482,"&lt;0"),0),-IF(A29="Halm",SUMIFS(IF(D29=År1,'Resultater - Østdanmark'!H$3:H$482,IF(D29=År2,'Resultater - Østdanmark'!I$3:I$482,'Resultater - Østdanmark'!J$3:J$482)),'Resultater - Østdanmark'!$F$3:$F$482,$A29,'Resultater - Østdanmark'!H$3:H$482,"&lt;0"),0))</f>
        <v>0</v>
      </c>
      <c r="I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5" t="e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#REF!</v>
      </c>
      <c r="K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5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7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204" t="e">
        <f t="shared" si="9"/>
        <v>#REF!</v>
      </c>
      <c r="O29" s="195" t="e">
        <f t="shared" si="1"/>
        <v>#REF!</v>
      </c>
      <c r="P29" s="205" t="e">
        <f t="shared" si="10"/>
        <v>#REF!</v>
      </c>
      <c r="Q29" s="192" t="e">
        <f>IFERROR(VLOOKUP(A29,[1]Energiindhold!$A$2:$C$11,3,FALSE),IFERROR(VLOOKUP(A29,[1]Biogasudbytte!$A$2:$B$18,2,FALSE)*[1]Energiindhold!$C$10,0))*O29</f>
        <v>#REF!</v>
      </c>
      <c r="R29" s="192" t="e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#REF!</v>
      </c>
      <c r="S29" s="192" t="e">
        <f>IFERROR(VLOOKUP(A29,[1]Biogasudbytte!$A$2:$B$18,2,FALSE)*[1]Energiindhold!$C$10,0)*J29*IFERROR(VLOOKUP(A29,Biogasanlæg!$F$3:$G$8,2,FALSE),1)</f>
        <v>#REF!</v>
      </c>
      <c r="T29" s="193" t="e">
        <f t="shared" si="11"/>
        <v>#REF!</v>
      </c>
      <c r="U29" s="191" t="e">
        <f>O29*IFERROR(VLOOKUP(A29,[1]Tørstofindhold!A$2:B$24,2,FALSE),0)</f>
        <v>#REF!</v>
      </c>
      <c r="V29" s="192" t="e">
        <f>IF(D29=År1,P29,SUM(O29,P29))*IFERROR(VLOOKUP(A29,[1]Tørstofindhold!A$2:B$24,2,FALSE),0)</f>
        <v>#REF!</v>
      </c>
      <c r="W29" s="192" t="e">
        <f>J29*IFERROR(VLOOKUP(A29,[1]Tørstofindhold!A$2:B$24,2,FALSE),0)</f>
        <v>#REF!</v>
      </c>
      <c r="X29" s="193" t="e">
        <f t="shared" si="12"/>
        <v>#REF!</v>
      </c>
      <c r="Y29" s="171" t="e">
        <f t="shared" si="2"/>
        <v>#REF!</v>
      </c>
      <c r="Z29" s="103" t="e">
        <f t="shared" si="3"/>
        <v>#REF!</v>
      </c>
    </row>
    <row r="30" spans="1:26" x14ac:dyDescent="0.25">
      <c r="A30" s="194" t="s">
        <v>117</v>
      </c>
      <c r="B30" s="194"/>
      <c r="C30" s="194">
        <f>IF(COUNTIFS('Resultater - Danmark'!$D$3:$D$482,'Resultat-Produktion &amp; forbrug'!A30,'Resultater - Danmark'!$A$3:$A$482,"Til energi")+COUNTIFS('Resultater - Danmark'!$D$3:$D$482,'Resultat-Produktion &amp; forbrug'!A30,'Resultater - Danmark'!$A$3:$A$482,"Biogasanlæg")&gt;0,1,0)</f>
        <v>0</v>
      </c>
      <c r="D30" s="194">
        <f t="shared" si="8"/>
        <v>2019</v>
      </c>
      <c r="E30" s="192" t="s">
        <v>23</v>
      </c>
      <c r="F30" s="195">
        <f>IF(E30="Vestdanmark",SUMIFS(IF(D30=År1,'Resultater - Vestdanmark'!H$3:H$482,IF(D30=År2,'Resultater - Vestdanmark'!I$3:I$482,'Resultater - Vestdanmark'!J$3:J$482)),'Resultater - Vestdanmark'!$F$3:$F$482,$A30,IF(D30=År1,'Resultater - Vestdanmark'!H$3:H$482,IF(D30=År2,'Resultater - Vestdanmark'!I$3:I$482,'Resultater - Vestdanmark'!J$3:J$482)),"&gt;0"),SUMIFS(IF(D30=År1,'Resultater - Østdanmark'!H$3:H$482,IF(D30=År2,'Resultater - Østdanmark'!I$3:I$482,'Resultater - Østdanmark'!J$3:J$482)),'Resultater - Østdanmark'!$F$3:$F$482,$A30,IF(D30=År1,'Resultater - Østdanmark'!H$3:H$482,IF(D30=År2,'Resultater - Østdanmark'!I$3:I$482,'Resultater - Østdanmark'!J$3:J$482)),"&gt;0"))</f>
        <v>0</v>
      </c>
      <c r="G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92">
        <f>IF(E30="Vestdanmark",-IF(A30="Halm",SUMIFS(IF(D30=År1,'Resultater - Vestdanmark'!H$3:H$482,IF(D30=År2,'Resultater - Vestdanmark'!I$3:I$482,'Resultater - Vestdanmark'!J$3:J$482)),'Resultater - Vestdanmark'!$F$3:$F$482,$A30,'Resultater - Vestdanmark'!H$3:H$482,"&lt;0"),0),-IF(A30="Halm",SUMIFS(IF(D30=År1,'Resultater - Østdanmark'!H$3:H$482,IF(D30=År2,'Resultater - Østdanmark'!I$3:I$482,'Resultater - Østdanmark'!J$3:J$482)),'Resultater - Østdanmark'!$F$3:$F$482,$A30,'Resultater - Østdanmark'!H$3:H$482,"&lt;0"),0))</f>
        <v>0</v>
      </c>
      <c r="I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5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7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204">
        <f t="shared" si="9"/>
        <v>-457077.09579476295</v>
      </c>
      <c r="O30" s="195">
        <f t="shared" si="1"/>
        <v>0</v>
      </c>
      <c r="P30" s="205">
        <f t="shared" si="10"/>
        <v>0</v>
      </c>
      <c r="Q30" s="192">
        <f>IFERROR(VLOOKUP(A30,[1]Energiindhold!$A$2:$C$11,3,FALSE),IFERROR(VLOOKUP(A30,[1]Biogasudbytte!$A$2:$B$18,2,FALSE)*[1]Energiindhold!$C$10,0))*O30</f>
        <v>0</v>
      </c>
      <c r="R30" s="192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92">
        <f>IFERROR(VLOOKUP(A30,[1]Biogasudbytte!$A$2:$B$18,2,FALSE)*[1]Energiindhold!$C$10,0)*J30*IFERROR(VLOOKUP(A30,Biogasanlæg!$F$3:$G$8,2,FALSE),1)</f>
        <v>0</v>
      </c>
      <c r="T30" s="193">
        <f t="shared" si="11"/>
        <v>0</v>
      </c>
      <c r="U30" s="191">
        <f>O30*IFERROR(VLOOKUP(A30,[1]Tørstofindhold!A$2:B$24,2,FALSE),0)</f>
        <v>0</v>
      </c>
      <c r="V30" s="192">
        <f>IF(D30=År1,P30,SUM(O30,P30))*IFERROR(VLOOKUP(A30,[1]Tørstofindhold!A$2:B$24,2,FALSE),0)</f>
        <v>0</v>
      </c>
      <c r="W30" s="192">
        <f>J30*IFERROR(VLOOKUP(A30,[1]Tørstofindhold!A$2:B$24,2,FALSE),0)</f>
        <v>0</v>
      </c>
      <c r="X30" s="193">
        <f t="shared" si="12"/>
        <v>0</v>
      </c>
      <c r="Y30" s="171">
        <f t="shared" si="2"/>
        <v>1</v>
      </c>
      <c r="Z30" s="103">
        <f t="shared" si="3"/>
        <v>0</v>
      </c>
    </row>
    <row r="31" spans="1:26" x14ac:dyDescent="0.25">
      <c r="A31" s="194" t="s">
        <v>107</v>
      </c>
      <c r="B31" s="194" t="s">
        <v>228</v>
      </c>
      <c r="C31" s="194">
        <f>IF(COUNTIFS('Resultater - Danmark'!$D$3:$D$482,'Resultat-Produktion &amp; forbrug'!A31,'Resultater - Danmark'!$A$3:$A$482,"Til energi")+COUNTIFS('Resultater - Danmark'!$D$3:$D$482,'Resultat-Produktion &amp; forbrug'!A31,'Resultater - Danmark'!$A$3:$A$482,"Biogasanlæg")&gt;0,1,0)</f>
        <v>1</v>
      </c>
      <c r="D31" s="194">
        <f t="shared" si="8"/>
        <v>2019</v>
      </c>
      <c r="E31" s="192" t="s">
        <v>23</v>
      </c>
      <c r="F31" s="195">
        <f>IF(E31="Vestdanmark",SUMIFS(IF(D31=År1,'Resultater - Vestdanmark'!H$3:H$482,IF(D31=År2,'Resultater - Vestdanmark'!I$3:I$482,'Resultater - Vestdanmark'!J$3:J$482)),'Resultater - Vestdanmark'!$F$3:$F$482,$A31,IF(D31=År1,'Resultater - Vestdanmark'!H$3:H$482,IF(D31=År2,'Resultater - Vestdanmark'!I$3:I$482,'Resultater - Vestdanmark'!J$3:J$482)),"&gt;0"),SUMIFS(IF(D31=År1,'Resultater - Østdanmark'!H$3:H$482,IF(D31=År2,'Resultater - Østdanmark'!I$3:I$482,'Resultater - Østdanmark'!J$3:J$482)),'Resultater - Østdanmark'!$F$3:$F$482,$A31,IF(D31=År1,'Resultater - Østdanmark'!H$3:H$482,IF(D31=År2,'Resultater - Østdanmark'!I$3:I$482,'Resultater - Østdanmark'!J$3:J$482)),"&gt;0"))</f>
        <v>0</v>
      </c>
      <c r="G31" s="195" t="e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#REF!</v>
      </c>
      <c r="H31" s="192">
        <f>IF(E31="Vestdanmark",-IF(A31="Halm",SUMIFS(IF(D31=År1,'Resultater - Vestdanmark'!H$3:H$482,IF(D31=År2,'Resultater - Vestdanmark'!I$3:I$482,'Resultater - Vestdanmark'!J$3:J$482)),'Resultater - Vestdanmark'!$F$3:$F$482,$A31,'Resultater - Vestdanmark'!H$3:H$482,"&lt;0"),0),-IF(A31="Halm",SUMIFS(IF(D31=År1,'Resultater - Østdanmark'!H$3:H$482,IF(D31=År2,'Resultater - Østdanmark'!I$3:I$482,'Resultater - Østdanmark'!J$3:J$482)),'Resultater - Østdanmark'!$F$3:$F$482,$A31,'Resultater - Østdanmark'!H$3:H$482,"&lt;0"),0))</f>
        <v>0</v>
      </c>
      <c r="I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5" t="e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#REF!</v>
      </c>
      <c r="K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5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7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204" t="e">
        <f t="shared" si="9"/>
        <v>#REF!</v>
      </c>
      <c r="O31" s="195" t="e">
        <f t="shared" si="1"/>
        <v>#REF!</v>
      </c>
      <c r="P31" s="205" t="e">
        <f t="shared" si="10"/>
        <v>#REF!</v>
      </c>
      <c r="Q31" s="192" t="e">
        <f>IFERROR(VLOOKUP(A31,[1]Energiindhold!$A$2:$C$11,3,FALSE),IFERROR(VLOOKUP(A31,[1]Biogasudbytte!$A$2:$B$18,2,FALSE)*[1]Energiindhold!$C$10,0))*O31</f>
        <v>#REF!</v>
      </c>
      <c r="R31" s="192" t="e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#REF!</v>
      </c>
      <c r="S31" s="192" t="e">
        <f>IFERROR(VLOOKUP(A31,[1]Biogasudbytte!$A$2:$B$18,2,FALSE)*[1]Energiindhold!$C$10,0)*J31*IFERROR(VLOOKUP(A31,Biogasanlæg!$F$3:$G$8,2,FALSE),1)</f>
        <v>#REF!</v>
      </c>
      <c r="T31" s="193" t="e">
        <f t="shared" si="11"/>
        <v>#REF!</v>
      </c>
      <c r="U31" s="191" t="e">
        <f>O31*IFERROR(VLOOKUP(A31,[1]Tørstofindhold!A$2:B$24,2,FALSE),0)</f>
        <v>#REF!</v>
      </c>
      <c r="V31" s="192" t="e">
        <f>IF(D31=År1,P31,SUM(O31,P31))*IFERROR(VLOOKUP(A31,[1]Tørstofindhold!A$2:B$24,2,FALSE),0)</f>
        <v>#REF!</v>
      </c>
      <c r="W31" s="192" t="e">
        <f>J31*IFERROR(VLOOKUP(A31,[1]Tørstofindhold!A$2:B$24,2,FALSE),0)</f>
        <v>#REF!</v>
      </c>
      <c r="X31" s="193" t="e">
        <f t="shared" si="12"/>
        <v>#REF!</v>
      </c>
      <c r="Y31" s="171" t="e">
        <f t="shared" si="2"/>
        <v>#REF!</v>
      </c>
      <c r="Z31" s="103" t="e">
        <f t="shared" si="3"/>
        <v>#REF!</v>
      </c>
    </row>
    <row r="32" spans="1:26" x14ac:dyDescent="0.25">
      <c r="A32" s="194" t="s">
        <v>14</v>
      </c>
      <c r="B32" s="194"/>
      <c r="C32" s="194">
        <f>IF(COUNTIFS('Resultater - Danmark'!$D$3:$D$482,'Resultat-Produktion &amp; forbrug'!A32,'Resultater - Danmark'!$A$3:$A$482,"Til energi")+COUNTIFS('Resultater - Danmark'!$D$3:$D$482,'Resultat-Produktion &amp; forbrug'!A32,'Resultater - Danmark'!$A$3:$A$482,"Biogasanlæg")&gt;0,1,0)</f>
        <v>0</v>
      </c>
      <c r="D32" s="194">
        <f t="shared" si="8"/>
        <v>2019</v>
      </c>
      <c r="E32" s="192" t="s">
        <v>23</v>
      </c>
      <c r="F32" s="195">
        <f>IF(E32="Vestdanmark",SUMIFS(IF(D32=År1,'Resultater - Vestdanmark'!H$3:H$482,IF(D32=År2,'Resultater - Vestdanmark'!I$3:I$482,'Resultater - Vestdanmark'!J$3:J$482)),'Resultater - Vestdanmark'!$F$3:$F$482,$A32,IF(D32=År1,'Resultater - Vestdanmark'!H$3:H$482,IF(D32=År2,'Resultater - Vestdanmark'!I$3:I$482,'Resultater - Vestdanmark'!J$3:J$482)),"&gt;0"),SUMIFS(IF(D32=År1,'Resultater - Østdanmark'!H$3:H$482,IF(D32=År2,'Resultater - Østdanmark'!I$3:I$482,'Resultater - Østdanmark'!J$3:J$482)),'Resultater - Østdanmark'!$F$3:$F$482,$A32,IF(D32=År1,'Resultater - Østdanmark'!H$3:H$482,IF(D32=År2,'Resultater - Østdanmark'!I$3:I$482,'Resultater - Østdanmark'!J$3:J$482)),"&gt;0"))</f>
        <v>0</v>
      </c>
      <c r="G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92">
        <f>IF(E32="Vestdanmark",-IF(A32="Halm",SUMIFS(IF(D32=År1,'Resultater - Vestdanmark'!H$3:H$482,IF(D32=År2,'Resultater - Vestdanmark'!I$3:I$482,'Resultater - Vestdanmark'!J$3:J$482)),'Resultater - Vestdanmark'!$F$3:$F$482,$A32,'Resultater - Vestdanmark'!H$3:H$482,"&lt;0"),0),-IF(A32="Halm",SUMIFS(IF(D32=År1,'Resultater - Østdanmark'!H$3:H$482,IF(D32=År2,'Resultater - Østdanmark'!I$3:I$482,'Resultater - Østdanmark'!J$3:J$482)),'Resultater - Østdanmark'!$F$3:$F$482,$A32,'Resultater - Østdanmark'!H$3:H$482,"&lt;0"),0))</f>
        <v>0</v>
      </c>
      <c r="I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5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7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204">
        <f t="shared" si="9"/>
        <v>-58080.313724265572</v>
      </c>
      <c r="O32" s="195">
        <f t="shared" si="1"/>
        <v>0</v>
      </c>
      <c r="P32" s="205">
        <f t="shared" si="10"/>
        <v>0</v>
      </c>
      <c r="Q32" s="192">
        <f>IFERROR(VLOOKUP(A32,[1]Energiindhold!$A$2:$C$11,3,FALSE),IFERROR(VLOOKUP(A32,[1]Biogasudbytte!$A$2:$B$18,2,FALSE)*[1]Energiindhold!$C$10,0))*O32</f>
        <v>0</v>
      </c>
      <c r="R32" s="192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92">
        <f>IFERROR(VLOOKUP(A32,[1]Biogasudbytte!$A$2:$B$18,2,FALSE)*[1]Energiindhold!$C$10,0)*J32*IFERROR(VLOOKUP(A32,Biogasanlæg!$F$3:$G$8,2,FALSE),1)</f>
        <v>0</v>
      </c>
      <c r="T32" s="193">
        <f t="shared" si="11"/>
        <v>0</v>
      </c>
      <c r="U32" s="191">
        <f>O32*IFERROR(VLOOKUP(A32,[1]Tørstofindhold!A$2:B$24,2,FALSE),0)</f>
        <v>0</v>
      </c>
      <c r="V32" s="192">
        <f>IF(D32=År1,P32,SUM(O32,P32))*IFERROR(VLOOKUP(A32,[1]Tørstofindhold!A$2:B$24,2,FALSE),0)</f>
        <v>0</v>
      </c>
      <c r="W32" s="192">
        <f>J32*IFERROR(VLOOKUP(A32,[1]Tørstofindhold!A$2:B$24,2,FALSE),0)</f>
        <v>0</v>
      </c>
      <c r="X32" s="193">
        <f t="shared" si="12"/>
        <v>0</v>
      </c>
      <c r="Y32" s="171">
        <f t="shared" si="2"/>
        <v>1</v>
      </c>
      <c r="Z32" s="103">
        <f t="shared" si="3"/>
        <v>0</v>
      </c>
    </row>
    <row r="33" spans="1:26" x14ac:dyDescent="0.25">
      <c r="A33" s="194" t="s">
        <v>55</v>
      </c>
      <c r="B33" s="194"/>
      <c r="C33" s="194">
        <f>IF(COUNTIFS('Resultater - Danmark'!$D$3:$D$482,'Resultat-Produktion &amp; forbrug'!A33,'Resultater - Danmark'!$A$3:$A$482,"Til energi")+COUNTIFS('Resultater - Danmark'!$D$3:$D$482,'Resultat-Produktion &amp; forbrug'!A33,'Resultater - Danmark'!$A$3:$A$482,"Biogasanlæg")&gt;0,1,0)</f>
        <v>0</v>
      </c>
      <c r="D33" s="194">
        <f t="shared" si="8"/>
        <v>2019</v>
      </c>
      <c r="E33" s="192" t="s">
        <v>23</v>
      </c>
      <c r="F33" s="195">
        <f>IF(E33="Vestdanmark",SUMIFS(IF(D33=År1,'Resultater - Vestdanmark'!H$3:H$482,IF(D33=År2,'Resultater - Vestdanmark'!I$3:I$482,'Resultater - Vestdanmark'!J$3:J$482)),'Resultater - Vestdanmark'!$F$3:$F$482,$A33,IF(D33=År1,'Resultater - Vestdanmark'!H$3:H$482,IF(D33=År2,'Resultater - Vestdanmark'!I$3:I$482,'Resultater - Vestdanmark'!J$3:J$482)),"&gt;0"),SUMIFS(IF(D33=År1,'Resultater - Østdanmark'!H$3:H$482,IF(D33=År2,'Resultater - Østdanmark'!I$3:I$482,'Resultater - Østdanmark'!J$3:J$482)),'Resultater - Østdanmark'!$F$3:$F$482,$A33,IF(D33=År1,'Resultater - Østdanmark'!H$3:H$482,IF(D33=År2,'Resultater - Østdanmark'!I$3:I$482,'Resultater - Østdanmark'!J$3:J$482)),"&gt;0"))</f>
        <v>0</v>
      </c>
      <c r="G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92">
        <f>IF(E33="Vestdanmark",-IF(A33="Halm",SUMIFS(IF(D33=År1,'Resultater - Vestdanmark'!H$3:H$482,IF(D33=År2,'Resultater - Vestdanmark'!I$3:I$482,'Resultater - Vestdanmark'!J$3:J$482)),'Resultater - Vestdanmark'!$F$3:$F$482,$A33,'Resultater - Vestdanmark'!H$3:H$482,"&lt;0"),0),-IF(A33="Halm",SUMIFS(IF(D33=År1,'Resultater - Østdanmark'!H$3:H$482,IF(D33=År2,'Resultater - Østdanmark'!I$3:I$482,'Resultater - Østdanmark'!J$3:J$482)),'Resultater - Østdanmark'!$F$3:$F$482,$A33,'Resultater - Østdanmark'!H$3:H$482,"&lt;0"),0))</f>
        <v>0</v>
      </c>
      <c r="I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5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7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204">
        <f t="shared" si="9"/>
        <v>0</v>
      </c>
      <c r="O33" s="195">
        <f t="shared" si="1"/>
        <v>0</v>
      </c>
      <c r="P33" s="205">
        <f t="shared" si="10"/>
        <v>0</v>
      </c>
      <c r="Q33" s="192">
        <f>IFERROR(VLOOKUP(A33,[1]Energiindhold!$A$2:$C$11,3,FALSE),IFERROR(VLOOKUP(A33,[1]Biogasudbytte!$A$2:$B$18,2,FALSE)*[1]Energiindhold!$C$10,0))*O33</f>
        <v>0</v>
      </c>
      <c r="R33" s="192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92">
        <f>IFERROR(VLOOKUP(A33,[1]Biogasudbytte!$A$2:$B$18,2,FALSE)*[1]Energiindhold!$C$10,0)*J33*IFERROR(VLOOKUP(A33,Biogasanlæg!$F$3:$G$8,2,FALSE),1)</f>
        <v>0</v>
      </c>
      <c r="T33" s="193">
        <f t="shared" si="11"/>
        <v>0</v>
      </c>
      <c r="U33" s="191">
        <f>O33*IFERROR(VLOOKUP(A33,[1]Tørstofindhold!A$2:B$24,2,FALSE),0)</f>
        <v>0</v>
      </c>
      <c r="V33" s="192">
        <f>IF(D33=År1,P33,SUM(O33,P33))*IFERROR(VLOOKUP(A33,[1]Tørstofindhold!A$2:B$24,2,FALSE),0)</f>
        <v>0</v>
      </c>
      <c r="W33" s="192">
        <f>J33*IFERROR(VLOOKUP(A33,[1]Tørstofindhold!A$2:B$24,2,FALSE),0)</f>
        <v>0</v>
      </c>
      <c r="X33" s="193">
        <f t="shared" si="12"/>
        <v>0</v>
      </c>
      <c r="Y33" s="171">
        <f t="shared" si="2"/>
        <v>0</v>
      </c>
      <c r="Z33" s="103">
        <f t="shared" si="3"/>
        <v>0</v>
      </c>
    </row>
    <row r="34" spans="1:26" x14ac:dyDescent="0.25">
      <c r="A34" s="194" t="s">
        <v>96</v>
      </c>
      <c r="B34" s="194" t="s">
        <v>227</v>
      </c>
      <c r="C34" s="194">
        <f>IF(COUNTIFS('Resultater - Danmark'!$D$3:$D$482,'Resultat-Produktion &amp; forbrug'!A34,'Resultater - Danmark'!$A$3:$A$482,"Til energi")+COUNTIFS('Resultater - Danmark'!$D$3:$D$482,'Resultat-Produktion &amp; forbrug'!A34,'Resultater - Danmark'!$A$3:$A$482,"Biogasanlæg")&gt;0,1,0)</f>
        <v>1</v>
      </c>
      <c r="D34" s="194">
        <f t="shared" si="8"/>
        <v>2019</v>
      </c>
      <c r="E34" s="192" t="s">
        <v>23</v>
      </c>
      <c r="F34" s="195">
        <f>IF(E34="Vestdanmark",SUMIFS(IF(D34=År1,'Resultater - Vestdanmark'!H$3:H$482,IF(D34=År2,'Resultater - Vestdanmark'!I$3:I$482,'Resultater - Vestdanmark'!J$3:J$482)),'Resultater - Vestdanmark'!$F$3:$F$482,$A34,IF(D34=År1,'Resultater - Vestdanmark'!H$3:H$482,IF(D34=År2,'Resultater - Vestdanmark'!I$3:I$482,'Resultater - Vestdanmark'!J$3:J$482)),"&gt;0"),SUMIFS(IF(D34=År1,'Resultater - Østdanmark'!H$3:H$482,IF(D34=År2,'Resultater - Østdanmark'!I$3:I$482,'Resultater - Østdanmark'!J$3:J$482)),'Resultater - Østdanmark'!$F$3:$F$482,$A34,IF(D34=År1,'Resultater - Østdanmark'!H$3:H$482,IF(D34=År2,'Resultater - Østdanmark'!I$3:I$482,'Resultater - Østdanmark'!J$3:J$482)),"&gt;0"))</f>
        <v>0</v>
      </c>
      <c r="G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92">
        <f>IF(E34="Vestdanmark",-IF(A34="Halm",SUMIFS(IF(D34=År1,'Resultater - Vestdanmark'!H$3:H$482,IF(D34=År2,'Resultater - Vestdanmark'!I$3:I$482,'Resultater - Vestdanmark'!J$3:J$482)),'Resultater - Vestdanmark'!$F$3:$F$482,$A34,'Resultater - Vestdanmark'!H$3:H$482,"&lt;0"),0),-IF(A34="Halm",SUMIFS(IF(D34=År1,'Resultater - Østdanmark'!H$3:H$482,IF(D34=År2,'Resultater - Østdanmark'!I$3:I$482,'Resultater - Østdanmark'!J$3:J$482)),'Resultater - Østdanmark'!$F$3:$F$482,$A34,'Resultater - Østdanmark'!H$3:H$482,"&lt;0"),0))</f>
        <v>0</v>
      </c>
      <c r="I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5" t="e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#REF!</v>
      </c>
      <c r="M34" s="157" t="e">
        <f>SUMIFS('Forbrug af biomasse'!E:E,'Forbrug af biomasse'!C:C,'Resultat-Produktion &amp; forbrug'!$A34,'Forbrug af biomasse'!D:D,'Resultat-Produktion &amp; forbrug'!$D34,'Forbrug af biomasse'!G:G,1,'Forbrug af biomasse'!B:B,$E34)</f>
        <v>#REF!</v>
      </c>
      <c r="N34" s="204" t="e">
        <f t="shared" si="9"/>
        <v>#REF!</v>
      </c>
      <c r="O34" s="195" t="e">
        <f t="shared" si="1"/>
        <v>#REF!</v>
      </c>
      <c r="P34" s="205" t="e">
        <f t="shared" si="10"/>
        <v>#REF!</v>
      </c>
      <c r="Q34" s="192" t="e">
        <f>IFERROR(VLOOKUP(A34,[1]Energiindhold!$A$2:$C$11,3,FALSE),IFERROR(VLOOKUP(A34,[1]Biogasudbytte!$A$2:$B$18,2,FALSE)*[1]Energiindhold!$C$10,0))*O34</f>
        <v>#REF!</v>
      </c>
      <c r="R34" s="192" t="e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#REF!</v>
      </c>
      <c r="S34" s="192">
        <f>IFERROR(VLOOKUP(A34,[1]Biogasudbytte!$A$2:$B$18,2,FALSE)*[1]Energiindhold!$C$10,0)*J34*IFERROR(VLOOKUP(A34,Biogasanlæg!$F$3:$G$8,2,FALSE),1)</f>
        <v>0</v>
      </c>
      <c r="T34" s="193" t="e">
        <f t="shared" si="11"/>
        <v>#REF!</v>
      </c>
      <c r="U34" s="191" t="e">
        <f>O34*IFERROR(VLOOKUP(A34,[1]Tørstofindhold!A$2:B$24,2,FALSE),0)</f>
        <v>#REF!</v>
      </c>
      <c r="V34" s="192" t="e">
        <f>IF(D34=År1,P34,SUM(O34,P34))*IFERROR(VLOOKUP(A34,[1]Tørstofindhold!A$2:B$24,2,FALSE),0)</f>
        <v>#REF!</v>
      </c>
      <c r="W34" s="192">
        <f>J34*IFERROR(VLOOKUP(A34,[1]Tørstofindhold!A$2:B$24,2,FALSE),0)</f>
        <v>0</v>
      </c>
      <c r="X34" s="193" t="e">
        <f t="shared" si="12"/>
        <v>#REF!</v>
      </c>
      <c r="Y34" s="171" t="e">
        <f t="shared" si="2"/>
        <v>#REF!</v>
      </c>
      <c r="Z34" s="103" t="e">
        <f t="shared" si="3"/>
        <v>#REF!</v>
      </c>
    </row>
    <row r="35" spans="1:26" x14ac:dyDescent="0.25">
      <c r="A35" s="194" t="s">
        <v>316</v>
      </c>
      <c r="B35" s="194" t="s">
        <v>322</v>
      </c>
      <c r="C35" s="194">
        <f>IF(COUNTIFS('Resultater - Danmark'!$D$3:$D$482,'Resultat-Produktion &amp; forbrug'!A35,'Resultater - Danmark'!$A$3:$A$482,"Til energi")+COUNTIFS('Resultater - Danmark'!$D$3:$D$482,'Resultat-Produktion &amp; forbrug'!A35,'Resultater - Danmark'!$A$3:$A$482,"Biogasanlæg")&gt;0,1,0)</f>
        <v>1</v>
      </c>
      <c r="D35" s="194">
        <f t="shared" si="8"/>
        <v>2019</v>
      </c>
      <c r="E35" s="192" t="s">
        <v>23</v>
      </c>
      <c r="F35" s="195">
        <f>IF(E35="Vestdanmark",SUMIFS(IF(D35=År1,'Resultater - Vestdanmark'!H$3:H$482,IF(D35=År2,'Resultater - Vestdanmark'!I$3:I$482,'Resultater - Vestdanmark'!J$3:J$482)),'Resultater - Vestdanmark'!$F$3:$F$482,$A35,IF(D35=År1,'Resultater - Vestdanmark'!H$3:H$482,IF(D35=År2,'Resultater - Vestdanmark'!I$3:I$482,'Resultater - Vestdanmark'!J$3:J$482)),"&gt;0"),SUMIFS(IF(D35=År1,'Resultater - Østdanmark'!H$3:H$482,IF(D35=År2,'Resultater - Østdanmark'!I$3:I$482,'Resultater - Østdanmark'!J$3:J$482)),'Resultater - Østdanmark'!$F$3:$F$482,$A35,IF(D35=År1,'Resultater - Østdanmark'!H$3:H$482,IF(D35=År2,'Resultater - Østdanmark'!I$3:I$482,'Resultater - Østdanmark'!J$3:J$482)),"&gt;0"))</f>
        <v>0</v>
      </c>
      <c r="G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92">
        <f>IF(E35="Vestdanmark",-IF(A35="Halm",SUMIFS(IF(D35=År1,'Resultater - Vestdanmark'!H$3:H$482,IF(D35=År2,'Resultater - Vestdanmark'!I$3:I$482,'Resultater - Vestdanmark'!J$3:J$482)),'Resultater - Vestdanmark'!$F$3:$F$482,$A35,'Resultater - Vestdanmark'!H$3:H$482,"&lt;0"),0),-IF(A35="Halm",SUMIFS(IF(D35=År1,'Resultater - Østdanmark'!H$3:H$482,IF(D35=År2,'Resultater - Østdanmark'!I$3:I$482,'Resultater - Østdanmark'!J$3:J$482)),'Resultater - Østdanmark'!$F$3:$F$482,$A35,'Resultater - Østdanmark'!H$3:H$482,"&lt;0"),0))</f>
        <v>0</v>
      </c>
      <c r="I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5" t="e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#REF!</v>
      </c>
      <c r="M35" s="157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204" t="e">
        <f t="shared" ref="N35:N36" si="13">F35-SUM(G35:M35)</f>
        <v>#REF!</v>
      </c>
      <c r="O35" s="195" t="e">
        <f t="shared" si="1"/>
        <v>#REF!</v>
      </c>
      <c r="P35" s="205" t="e">
        <f t="shared" ref="P35:P36" si="14">SUM(J35,L35)</f>
        <v>#REF!</v>
      </c>
      <c r="Q35" s="192" t="e">
        <f>IFERROR(VLOOKUP(A35,[1]Energiindhold!$A$2:$C$11,3,FALSE),IFERROR(VLOOKUP(A35,[1]Biogasudbytte!$A$2:$B$18,2,FALSE)*[1]Energiindhold!$C$10,0))*O35</f>
        <v>#REF!</v>
      </c>
      <c r="R35" s="192" t="e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#REF!</v>
      </c>
      <c r="S35" s="192">
        <f>IFERROR(VLOOKUP(A35,[1]Biogasudbytte!$A$2:$B$18,2,FALSE)*[1]Energiindhold!$C$10,0)*J35*IFERROR(VLOOKUP(A35,Biogasanlæg!$F$3:$G$8,2,FALSE),1)</f>
        <v>0</v>
      </c>
      <c r="T35" s="193" t="e">
        <f t="shared" ref="T35:T36" si="15">R35-S35</f>
        <v>#REF!</v>
      </c>
      <c r="U35" s="191" t="e">
        <f>O35*IFERROR(VLOOKUP(A35,[1]Tørstofindhold!A$2:B$24,2,FALSE),0)</f>
        <v>#REF!</v>
      </c>
      <c r="V35" s="192" t="e">
        <f>IF(D35=År1,P35,SUM(O35,P35))*IFERROR(VLOOKUP(A35,[1]Tørstofindhold!A$2:B$24,2,FALSE),0)</f>
        <v>#REF!</v>
      </c>
      <c r="W35" s="192">
        <f>J35*IFERROR(VLOOKUP(A35,[1]Tørstofindhold!A$2:B$24,2,FALSE),0)</f>
        <v>0</v>
      </c>
      <c r="X35" s="193" t="e">
        <f t="shared" ref="X35:X36" si="16">V35-W35</f>
        <v>#REF!</v>
      </c>
      <c r="Y35" s="171" t="e">
        <f t="shared" si="2"/>
        <v>#REF!</v>
      </c>
      <c r="Z35" s="103" t="e">
        <f t="shared" si="3"/>
        <v>#REF!</v>
      </c>
    </row>
    <row r="36" spans="1:26" x14ac:dyDescent="0.25">
      <c r="A36" s="194" t="s">
        <v>317</v>
      </c>
      <c r="B36" s="194" t="s">
        <v>322</v>
      </c>
      <c r="C36" s="194">
        <f>IF(COUNTIFS('Resultater - Danmark'!$D$3:$D$482,'Resultat-Produktion &amp; forbrug'!A36,'Resultater - Danmark'!$A$3:$A$482,"Til energi")+COUNTIFS('Resultater - Danmark'!$D$3:$D$482,'Resultat-Produktion &amp; forbrug'!A36,'Resultater - Danmark'!$A$3:$A$482,"Biogasanlæg")&gt;0,1,0)</f>
        <v>1</v>
      </c>
      <c r="D36" s="194">
        <f t="shared" si="8"/>
        <v>2019</v>
      </c>
      <c r="E36" s="192" t="s">
        <v>23</v>
      </c>
      <c r="F36" s="195">
        <f>IF(E36="Vestdanmark",SUMIFS(IF(D36=År1,'Resultater - Vestdanmark'!H$3:H$482,IF(D36=År2,'Resultater - Vestdanmark'!I$3:I$482,'Resultater - Vestdanmark'!J$3:J$482)),'Resultater - Vestdanmark'!$F$3:$F$482,$A36,IF(D36=År1,'Resultater - Vestdanmark'!H$3:H$482,IF(D36=År2,'Resultater - Vestdanmark'!I$3:I$482,'Resultater - Vestdanmark'!J$3:J$482)),"&gt;0"),SUMIFS(IF(D36=År1,'Resultater - Østdanmark'!H$3:H$482,IF(D36=År2,'Resultater - Østdanmark'!I$3:I$482,'Resultater - Østdanmark'!J$3:J$482)),'Resultater - Østdanmark'!$F$3:$F$482,$A36,IF(D36=År1,'Resultater - Østdanmark'!H$3:H$482,IF(D36=År2,'Resultater - Østdanmark'!I$3:I$482,'Resultater - Østdanmark'!J$3:J$482)),"&gt;0"))</f>
        <v>0</v>
      </c>
      <c r="G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92">
        <f>IF(E36="Vestdanmark",-IF(A36="Halm",SUMIFS(IF(D36=År1,'Resultater - Vestdanmark'!H$3:H$482,IF(D36=År2,'Resultater - Vestdanmark'!I$3:I$482,'Resultater - Vestdanmark'!J$3:J$482)),'Resultater - Vestdanmark'!$F$3:$F$482,$A36,'Resultater - Vestdanmark'!H$3:H$482,"&lt;0"),0),-IF(A36="Halm",SUMIFS(IF(D36=År1,'Resultater - Østdanmark'!H$3:H$482,IF(D36=År2,'Resultater - Østdanmark'!I$3:I$482,'Resultater - Østdanmark'!J$3:J$482)),'Resultater - Østdanmark'!$F$3:$F$482,$A36,'Resultater - Østdanmark'!H$3:H$482,"&lt;0"),0))</f>
        <v>0</v>
      </c>
      <c r="I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5" t="e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#REF!</v>
      </c>
      <c r="M36" s="157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204" t="e">
        <f t="shared" si="13"/>
        <v>#REF!</v>
      </c>
      <c r="O36" s="195" t="e">
        <f t="shared" si="1"/>
        <v>#REF!</v>
      </c>
      <c r="P36" s="205" t="e">
        <f t="shared" si="14"/>
        <v>#REF!</v>
      </c>
      <c r="Q36" s="192" t="e">
        <f>IFERROR(VLOOKUP(A36,[1]Energiindhold!$A$2:$C$11,3,FALSE),IFERROR(VLOOKUP(A36,[1]Biogasudbytte!$A$2:$B$18,2,FALSE)*[1]Energiindhold!$C$10,0))*O36</f>
        <v>#REF!</v>
      </c>
      <c r="R36" s="192" t="e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#REF!</v>
      </c>
      <c r="S36" s="192">
        <f>IFERROR(VLOOKUP(A36,[1]Biogasudbytte!$A$2:$B$18,2,FALSE)*[1]Energiindhold!$C$10,0)*J36*IFERROR(VLOOKUP(A36,Biogasanlæg!$F$3:$G$8,2,FALSE),1)</f>
        <v>0</v>
      </c>
      <c r="T36" s="193" t="e">
        <f t="shared" si="15"/>
        <v>#REF!</v>
      </c>
      <c r="U36" s="191" t="e">
        <f>O36*IFERROR(VLOOKUP(A36,[1]Tørstofindhold!A$2:B$24,2,FALSE),0)</f>
        <v>#REF!</v>
      </c>
      <c r="V36" s="192" t="e">
        <f>IF(D36=År1,P36,SUM(O36,P36))*IFERROR(VLOOKUP(A36,[1]Tørstofindhold!A$2:B$24,2,FALSE),0)</f>
        <v>#REF!</v>
      </c>
      <c r="W36" s="192">
        <f>J36*IFERROR(VLOOKUP(A36,[1]Tørstofindhold!A$2:B$24,2,FALSE),0)</f>
        <v>0</v>
      </c>
      <c r="X36" s="193" t="e">
        <f t="shared" si="16"/>
        <v>#REF!</v>
      </c>
      <c r="Y36" s="171" t="e">
        <f t="shared" si="2"/>
        <v>#REF!</v>
      </c>
      <c r="Z36" s="103" t="e">
        <f t="shared" si="3"/>
        <v>#REF!</v>
      </c>
    </row>
    <row r="37" spans="1:26" x14ac:dyDescent="0.25">
      <c r="A37" s="194" t="s">
        <v>118</v>
      </c>
      <c r="B37" s="194"/>
      <c r="C37" s="194">
        <f>IF(COUNTIFS('Resultater - Danmark'!$D$3:$D$482,'Resultat-Produktion &amp; forbrug'!A37,'Resultater - Danmark'!$A$3:$A$482,"Til energi")+COUNTIFS('Resultater - Danmark'!$D$3:$D$482,'Resultat-Produktion &amp; forbrug'!A37,'Resultater - Danmark'!$A$3:$A$482,"Biogasanlæg")&gt;0,1,0)</f>
        <v>0</v>
      </c>
      <c r="D37" s="194">
        <f t="shared" si="8"/>
        <v>2019</v>
      </c>
      <c r="E37" s="192" t="s">
        <v>23</v>
      </c>
      <c r="F37" s="195">
        <f>IF(E37="Vestdanmark",SUMIFS(IF(D37=År1,'Resultater - Vestdanmark'!H$3:H$482,IF(D37=År2,'Resultater - Vestdanmark'!I$3:I$482,'Resultater - Vestdanmark'!J$3:J$482)),'Resultater - Vestdanmark'!$F$3:$F$482,$A37,IF(D37=År1,'Resultater - Vestdanmark'!H$3:H$482,IF(D37=År2,'Resultater - Vestdanmark'!I$3:I$482,'Resultater - Vestdanmark'!J$3:J$482)),"&gt;0"),SUMIFS(IF(D37=År1,'Resultater - Østdanmark'!H$3:H$482,IF(D37=År2,'Resultater - Østdanmark'!I$3:I$482,'Resultater - Østdanmark'!J$3:J$482)),'Resultater - Østdanmark'!$F$3:$F$482,$A37,IF(D37=År1,'Resultater - Østdanmark'!H$3:H$482,IF(D37=År2,'Resultater - Østdanmark'!I$3:I$482,'Resultater - Østdanmark'!J$3:J$482)),"&gt;0"))</f>
        <v>0</v>
      </c>
      <c r="G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92">
        <f>IF(E37="Vestdanmark",-IF(A37="Halm",SUMIFS(IF(D37=År1,'Resultater - Vestdanmark'!H$3:H$482,IF(D37=År2,'Resultater - Vestdanmark'!I$3:I$482,'Resultater - Vestdanmark'!J$3:J$482)),'Resultater - Vestdanmark'!$F$3:$F$482,$A37,'Resultater - Vestdanmark'!H$3:H$482,"&lt;0"),0),-IF(A37="Halm",SUMIFS(IF(D37=År1,'Resultater - Østdanmark'!H$3:H$482,IF(D37=År2,'Resultater - Østdanmark'!I$3:I$482,'Resultater - Østdanmark'!J$3:J$482)),'Resultater - Østdanmark'!$F$3:$F$482,$A37,'Resultater - Østdanmark'!H$3:H$482,"&lt;0"),0))</f>
        <v>0</v>
      </c>
      <c r="I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5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7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204">
        <f t="shared" si="9"/>
        <v>0</v>
      </c>
      <c r="O37" s="195">
        <f t="shared" si="1"/>
        <v>0</v>
      </c>
      <c r="P37" s="205">
        <f t="shared" si="10"/>
        <v>0</v>
      </c>
      <c r="Q37" s="192">
        <f>IFERROR(VLOOKUP(A37,[1]Energiindhold!$A$2:$C$11,3,FALSE),IFERROR(VLOOKUP(A37,[1]Biogasudbytte!$A$2:$B$18,2,FALSE)*[1]Energiindhold!$C$10,0))*O37</f>
        <v>0</v>
      </c>
      <c r="R37" s="192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92">
        <f>IFERROR(VLOOKUP(A37,[1]Biogasudbytte!$A$2:$B$18,2,FALSE)*[1]Energiindhold!$C$10,0)*J37*IFERROR(VLOOKUP(A37,Biogasanlæg!$F$3:$G$8,2,FALSE),1)</f>
        <v>0</v>
      </c>
      <c r="T37" s="193">
        <f t="shared" si="11"/>
        <v>0</v>
      </c>
      <c r="U37" s="191">
        <f>O37*IFERROR(VLOOKUP(A37,[1]Tørstofindhold!A$2:B$24,2,FALSE),0)</f>
        <v>0</v>
      </c>
      <c r="V37" s="192">
        <f>IF(D37=År1,P37,SUM(O37,P37))*IFERROR(VLOOKUP(A37,[1]Tørstofindhold!A$2:B$24,2,FALSE),0)</f>
        <v>0</v>
      </c>
      <c r="W37" s="192">
        <f>J37*IFERROR(VLOOKUP(A37,[1]Tørstofindhold!A$2:B$24,2,FALSE),0)</f>
        <v>0</v>
      </c>
      <c r="X37" s="193">
        <f t="shared" si="12"/>
        <v>0</v>
      </c>
      <c r="Y37" s="171">
        <f t="shared" si="2"/>
        <v>0</v>
      </c>
      <c r="Z37" s="103">
        <f t="shared" si="3"/>
        <v>0</v>
      </c>
    </row>
    <row r="38" spans="1:26" x14ac:dyDescent="0.25">
      <c r="A38" s="192" t="s">
        <v>50</v>
      </c>
      <c r="B38" s="194"/>
      <c r="C38" s="194">
        <f>IF(COUNTIFS('Resultater - Danmark'!$D$3:$D$482,'Resultat-Produktion &amp; forbrug'!A38,'Resultater - Danmark'!$A$3:$A$482,"Til energi")+COUNTIFS('Resultater - Danmark'!$D$3:$D$482,'Resultat-Produktion &amp; forbrug'!A38,'Resultater - Danmark'!$A$3:$A$482,"Biogasanlæg")&gt;0,1,0)</f>
        <v>0</v>
      </c>
      <c r="D38" s="194">
        <f t="shared" si="8"/>
        <v>2019</v>
      </c>
      <c r="E38" s="192" t="s">
        <v>23</v>
      </c>
      <c r="F38" s="195">
        <f>IF(E38="Vestdanmark",SUMIFS(IF(D38=År1,'Resultater - Vestdanmark'!H$3:H$482,IF(D38=År2,'Resultater - Vestdanmark'!I$3:I$482,'Resultater - Vestdanmark'!J$3:J$482)),'Resultater - Vestdanmark'!$F$3:$F$482,$A38,IF(D38=År1,'Resultater - Vestdanmark'!H$3:H$482,IF(D38=År2,'Resultater - Vestdanmark'!I$3:I$482,'Resultater - Vestdanmark'!J$3:J$482)),"&gt;0"),SUMIFS(IF(D38=År1,'Resultater - Østdanmark'!H$3:H$482,IF(D38=År2,'Resultater - Østdanmark'!I$3:I$482,'Resultater - Østdanmark'!J$3:J$482)),'Resultater - Østdanmark'!$F$3:$F$482,$A38,IF(D38=År1,'Resultater - Østdanmark'!H$3:H$482,IF(D38=År2,'Resultater - Østdanmark'!I$3:I$482,'Resultater - Østdanmark'!J$3:J$482)),"&gt;0"))</f>
        <v>0</v>
      </c>
      <c r="G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92">
        <f>IF(E38="Vestdanmark",-IF(A38="Halm",SUMIFS(IF(D38=År1,'Resultater - Vestdanmark'!H$3:H$482,IF(D38=År2,'Resultater - Vestdanmark'!I$3:I$482,'Resultater - Vestdanmark'!J$3:J$482)),'Resultater - Vestdanmark'!$F$3:$F$482,$A38,'Resultater - Vestdanmark'!H$3:H$482,"&lt;0"),0),-IF(A38="Halm",SUMIFS(IF(D38=År1,'Resultater - Østdanmark'!H$3:H$482,IF(D38=År2,'Resultater - Østdanmark'!I$3:I$482,'Resultater - Østdanmark'!J$3:J$482)),'Resultater - Østdanmark'!$F$3:$F$482,$A38,'Resultater - Østdanmark'!H$3:H$482,"&lt;0"),0))</f>
        <v>0</v>
      </c>
      <c r="I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5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7" t="e">
        <f>SUMIFS('Forbrug af biomasse'!E:E,'Forbrug af biomasse'!C:C,'Resultat-Produktion &amp; forbrug'!$A38,'Forbrug af biomasse'!D:D,'Resultat-Produktion &amp; forbrug'!$D38,'Forbrug af biomasse'!G:G,1,'Forbrug af biomasse'!B:B,$E38)</f>
        <v>#REF!</v>
      </c>
      <c r="N38" s="204" t="e">
        <f t="shared" si="9"/>
        <v>#REF!</v>
      </c>
      <c r="O38" s="195">
        <f t="shared" si="1"/>
        <v>0</v>
      </c>
      <c r="P38" s="205">
        <f t="shared" si="10"/>
        <v>0</v>
      </c>
      <c r="Q38" s="192">
        <f>IFERROR(VLOOKUP(A38,[1]Energiindhold!$A$2:$C$11,3,FALSE),IFERROR(VLOOKUP(A38,[1]Biogasudbytte!$A$2:$B$18,2,FALSE)*[1]Energiindhold!$C$10,0))*O38</f>
        <v>0</v>
      </c>
      <c r="R38" s="192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92">
        <f>IFERROR(VLOOKUP(A38,[1]Biogasudbytte!$A$2:$B$18,2,FALSE)*[1]Energiindhold!$C$10,0)*J38*IFERROR(VLOOKUP(A38,Biogasanlæg!$F$3:$G$8,2,FALSE),1)</f>
        <v>0</v>
      </c>
      <c r="T38" s="193">
        <f t="shared" si="11"/>
        <v>0</v>
      </c>
      <c r="U38" s="191">
        <f>O38*IFERROR(VLOOKUP(A38,[1]Tørstofindhold!A$2:B$24,2,FALSE),0)</f>
        <v>0</v>
      </c>
      <c r="V38" s="192">
        <f>IF(D38=År1,P38,SUM(O38,P38))*IFERROR(VLOOKUP(A38,[1]Tørstofindhold!A$2:B$24,2,FALSE),0)</f>
        <v>0</v>
      </c>
      <c r="W38" s="192">
        <f>J38*IFERROR(VLOOKUP(A38,[1]Tørstofindhold!A$2:B$24,2,FALSE),0)</f>
        <v>0</v>
      </c>
      <c r="X38" s="193">
        <f t="shared" si="12"/>
        <v>0</v>
      </c>
      <c r="Y38" s="171" t="e">
        <f t="shared" si="2"/>
        <v>#REF!</v>
      </c>
      <c r="Z38" s="103" t="e">
        <f t="shared" si="3"/>
        <v>#REF!</v>
      </c>
    </row>
    <row r="39" spans="1:26" x14ac:dyDescent="0.25">
      <c r="A39" s="192" t="s">
        <v>240</v>
      </c>
      <c r="B39" s="194"/>
      <c r="C39" s="194">
        <f>IF(COUNTIFS('Resultater - Danmark'!$D$3:$D$482,'Resultat-Produktion &amp; forbrug'!A39,'Resultater - Danmark'!$A$3:$A$482,"Til energi")+COUNTIFS('Resultater - Danmark'!$D$3:$D$482,'Resultat-Produktion &amp; forbrug'!A39,'Resultater - Danmark'!$A$3:$A$482,"Biogasanlæg")&gt;0,1,0)</f>
        <v>0</v>
      </c>
      <c r="D39" s="194">
        <f t="shared" si="8"/>
        <v>2019</v>
      </c>
      <c r="E39" s="192" t="s">
        <v>23</v>
      </c>
      <c r="F39" s="195">
        <f>IF(E39="Vestdanmark",SUMIFS(IF(D39=År1,'Resultater - Vestdanmark'!H$3:H$482,IF(D39=År2,'Resultater - Vestdanmark'!I$3:I$482,'Resultater - Vestdanmark'!J$3:J$482)),'Resultater - Vestdanmark'!$F$3:$F$482,$A39,IF(D39=År1,'Resultater - Vestdanmark'!H$3:H$482,IF(D39=År2,'Resultater - Vestdanmark'!I$3:I$482,'Resultater - Vestdanmark'!J$3:J$482)),"&gt;0"),SUMIFS(IF(D39=År1,'Resultater - Østdanmark'!H$3:H$482,IF(D39=År2,'Resultater - Østdanmark'!I$3:I$482,'Resultater - Østdanmark'!J$3:J$482)),'Resultater - Østdanmark'!$F$3:$F$482,$A39,IF(D39=År1,'Resultater - Østdanmark'!H$3:H$482,IF(D39=År2,'Resultater - Østdanmark'!I$3:I$482,'Resultater - Østdanmark'!J$3:J$482)),"&gt;0"))</f>
        <v>0</v>
      </c>
      <c r="G39" s="195" t="e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#REF!</v>
      </c>
      <c r="H39" s="192">
        <f>IF(E39="Vestdanmark",-IF(A39="Halm",SUMIFS(IF(D39=År1,'Resultater - Vestdanmark'!H$3:H$482,IF(D39=År2,'Resultater - Vestdanmark'!I$3:I$482,'Resultater - Vestdanmark'!J$3:J$482)),'Resultater - Vestdanmark'!$F$3:$F$482,$A39,'Resultater - Vestdanmark'!H$3:H$482,"&lt;0"),0),-IF(A39="Halm",SUMIFS(IF(D39=År1,'Resultater - Østdanmark'!H$3:H$482,IF(D39=År2,'Resultater - Østdanmark'!I$3:I$482,'Resultater - Østdanmark'!J$3:J$482)),'Resultater - Østdanmark'!$F$3:$F$482,$A39,'Resultater - Østdanmark'!H$3:H$482,"&lt;0"),0))</f>
        <v>0</v>
      </c>
      <c r="I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5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7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204" t="e">
        <f t="shared" si="9"/>
        <v>#REF!</v>
      </c>
      <c r="O39" s="195">
        <f t="shared" si="1"/>
        <v>0</v>
      </c>
      <c r="P39" s="205">
        <f t="shared" si="10"/>
        <v>0</v>
      </c>
      <c r="Q39" s="192">
        <f>IFERROR(VLOOKUP(A39,[1]Energiindhold!$A$2:$C$11,3,FALSE),IFERROR(VLOOKUP(A39,[1]Biogasudbytte!$A$2:$B$18,2,FALSE)*[1]Energiindhold!$C$10,0))*O39</f>
        <v>0</v>
      </c>
      <c r="R39" s="192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92">
        <f>IFERROR(VLOOKUP(A39,[1]Biogasudbytte!$A$2:$B$18,2,FALSE)*[1]Energiindhold!$C$10,0)*J39*IFERROR(VLOOKUP(A39,Biogasanlæg!$F$3:$G$8,2,FALSE),1)</f>
        <v>0</v>
      </c>
      <c r="T39" s="193">
        <f t="shared" si="11"/>
        <v>0</v>
      </c>
      <c r="U39" s="191">
        <f>O39*IFERROR(VLOOKUP(A39,[1]Tørstofindhold!A$2:B$24,2,FALSE),0)</f>
        <v>0</v>
      </c>
      <c r="V39" s="192">
        <f>IF(D39=År1,P39,SUM(O39,P39))*IFERROR(VLOOKUP(A39,[1]Tørstofindhold!A$2:B$24,2,FALSE),0)</f>
        <v>0</v>
      </c>
      <c r="W39" s="192">
        <f>J39*IFERROR(VLOOKUP(A39,[1]Tørstofindhold!A$2:B$24,2,FALSE),0)</f>
        <v>0</v>
      </c>
      <c r="X39" s="193">
        <f t="shared" si="12"/>
        <v>0</v>
      </c>
      <c r="Y39" s="171" t="e">
        <f t="shared" si="2"/>
        <v>#REF!</v>
      </c>
      <c r="Z39" s="103" t="e">
        <f t="shared" si="3"/>
        <v>#REF!</v>
      </c>
    </row>
    <row r="40" spans="1:26" x14ac:dyDescent="0.25">
      <c r="A40" s="192" t="s">
        <v>233</v>
      </c>
      <c r="B40" s="194" t="s">
        <v>233</v>
      </c>
      <c r="C40" s="194">
        <f>IF(COUNTIFS('Resultater - Danmark'!$D$3:$D$482,'Resultat-Produktion &amp; forbrug'!A40,'Resultater - Danmark'!$A$3:$A$482,"Til energi")+COUNTIFS('Resultater - Danmark'!$D$3:$D$482,'Resultat-Produktion &amp; forbrug'!A40,'Resultater - Danmark'!$A$3:$A$482,"Biogasanlæg")&gt;0,1,0)</f>
        <v>1</v>
      </c>
      <c r="D40" s="194">
        <f t="shared" si="8"/>
        <v>2019</v>
      </c>
      <c r="E40" s="192" t="s">
        <v>23</v>
      </c>
      <c r="F40" s="195">
        <f>IF(E40="Vestdanmark",SUMIFS(IF(D40=År1,'Resultater - Vestdanmark'!H$3:H$482,IF(D40=År2,'Resultater - Vestdanmark'!I$3:I$482,'Resultater - Vestdanmark'!J$3:J$482)),'Resultater - Vestdanmark'!$F$3:$F$482,$A40,IF(D40=År1,'Resultater - Vestdanmark'!H$3:H$482,IF(D40=År2,'Resultater - Vestdanmark'!I$3:I$482,'Resultater - Vestdanmark'!J$3:J$482)),"&gt;0"),SUMIFS(IF(D40=År1,'Resultater - Østdanmark'!H$3:H$482,IF(D40=År2,'Resultater - Østdanmark'!I$3:I$482,'Resultater - Østdanmark'!J$3:J$482)),'Resultater - Østdanmark'!$F$3:$F$482,$A40,IF(D40=År1,'Resultater - Østdanmark'!H$3:H$482,IF(D40=År2,'Resultater - Østdanmark'!I$3:I$482,'Resultater - Østdanmark'!J$3:J$482)),"&gt;0"))</f>
        <v>0</v>
      </c>
      <c r="G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92">
        <f>IF(E40="Vestdanmark",-IF(A40="Halm",SUMIFS(IF(D40=År1,'Resultater - Vestdanmark'!H$3:H$482,IF(D40=År2,'Resultater - Vestdanmark'!I$3:I$482,'Resultater - Vestdanmark'!J$3:J$482)),'Resultater - Vestdanmark'!$F$3:$F$482,$A40,'Resultater - Vestdanmark'!H$3:H$482,"&lt;0"),0),-IF(A40="Halm",SUMIFS(IF(D40=År1,'Resultater - Østdanmark'!H$3:H$482,IF(D40=År2,'Resultater - Østdanmark'!I$3:I$482,'Resultater - Østdanmark'!J$3:J$482)),'Resultater - Østdanmark'!$F$3:$F$482,$A40,'Resultater - Østdanmark'!H$3:H$482,"&lt;0"),0))</f>
        <v>0</v>
      </c>
      <c r="I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5" t="e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#REF!</v>
      </c>
      <c r="M40" s="157" t="e">
        <f>SUMIFS('Forbrug af biomasse'!E:E,'Forbrug af biomasse'!C:C,'Resultat-Produktion &amp; forbrug'!$A40,'Forbrug af biomasse'!D:D,'Resultat-Produktion &amp; forbrug'!$D40,'Forbrug af biomasse'!G:G,1,'Forbrug af biomasse'!B:B,$E40)</f>
        <v>#REF!</v>
      </c>
      <c r="N40" s="204" t="e">
        <f t="shared" si="9"/>
        <v>#REF!</v>
      </c>
      <c r="O40" s="195" t="e">
        <f t="shared" si="1"/>
        <v>#REF!</v>
      </c>
      <c r="P40" s="205" t="e">
        <f t="shared" si="10"/>
        <v>#REF!</v>
      </c>
      <c r="Q40" s="192" t="e">
        <f>IFERROR(VLOOKUP(A40,[1]Energiindhold!$A$2:$C$11,3,FALSE),IFERROR(VLOOKUP(A40,[1]Biogasudbytte!$A$2:$B$18,2,FALSE)*[1]Energiindhold!$C$10,0))*O40</f>
        <v>#REF!</v>
      </c>
      <c r="R40" s="192" t="e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#REF!</v>
      </c>
      <c r="S40" s="192">
        <f>IFERROR(VLOOKUP(A40,[1]Biogasudbytte!$A$2:$B$18,2,FALSE)*[1]Energiindhold!$C$10,0)*J40*IFERROR(VLOOKUP(A40,Biogasanlæg!$F$3:$G$8,2,FALSE),1)</f>
        <v>0</v>
      </c>
      <c r="T40" s="193" t="e">
        <f t="shared" si="11"/>
        <v>#REF!</v>
      </c>
      <c r="U40" s="191" t="e">
        <f>O40*IFERROR(VLOOKUP(A40,[1]Tørstofindhold!A$2:B$24,2,FALSE),0)</f>
        <v>#REF!</v>
      </c>
      <c r="V40" s="192" t="e">
        <f>IF(D40=År1,P40,SUM(O40,P40))*IFERROR(VLOOKUP(A40,[1]Tørstofindhold!A$2:B$24,2,FALSE),0)</f>
        <v>#REF!</v>
      </c>
      <c r="W40" s="192">
        <f>J40*IFERROR(VLOOKUP(A40,[1]Tørstofindhold!A$2:B$24,2,FALSE),0)</f>
        <v>0</v>
      </c>
      <c r="X40" s="193" t="e">
        <f t="shared" si="12"/>
        <v>#REF!</v>
      </c>
      <c r="Y40" s="171" t="e">
        <f t="shared" si="2"/>
        <v>#REF!</v>
      </c>
      <c r="Z40" s="103" t="e">
        <f t="shared" si="3"/>
        <v>#REF!</v>
      </c>
    </row>
    <row r="41" spans="1:26" x14ac:dyDescent="0.25">
      <c r="A41" s="192" t="s">
        <v>52</v>
      </c>
      <c r="B41" s="194" t="s">
        <v>226</v>
      </c>
      <c r="C41" s="194">
        <f>IF(COUNTIFS('Resultater - Danmark'!$D$3:$D$482,'Resultat-Produktion &amp; forbrug'!A41,'Resultater - Danmark'!$A$3:$A$482,"Til energi")+COUNTIFS('Resultater - Danmark'!$D$3:$D$482,'Resultat-Produktion &amp; forbrug'!A41,'Resultater - Danmark'!$A$3:$A$482,"Biogasanlæg")&gt;0,1,0)</f>
        <v>1</v>
      </c>
      <c r="D41" s="194">
        <f t="shared" si="8"/>
        <v>2019</v>
      </c>
      <c r="E41" s="192" t="s">
        <v>23</v>
      </c>
      <c r="F41" s="195">
        <f>IF(E41="Vestdanmark",SUMIFS(IF(D41=År1,'Resultater - Vestdanmark'!H$3:H$482,IF(D41=År2,'Resultater - Vestdanmark'!I$3:I$482,'Resultater - Vestdanmark'!J$3:J$482)),'Resultater - Vestdanmark'!$F$3:$F$482,$A41,IF(D41=År1,'Resultater - Vestdanmark'!H$3:H$482,IF(D41=År2,'Resultater - Vestdanmark'!I$3:I$482,'Resultater - Vestdanmark'!J$3:J$482)),"&gt;0"),SUMIFS(IF(D41=År1,'Resultater - Østdanmark'!H$3:H$482,IF(D41=År2,'Resultater - Østdanmark'!I$3:I$482,'Resultater - Østdanmark'!J$3:J$482)),'Resultater - Østdanmark'!$F$3:$F$482,$A41,IF(D41=År1,'Resultater - Østdanmark'!H$3:H$482,IF(D41=År2,'Resultater - Østdanmark'!I$3:I$482,'Resultater - Østdanmark'!J$3:J$482)),"&gt;0"))</f>
        <v>0</v>
      </c>
      <c r="G41" s="195" t="e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#REF!</v>
      </c>
      <c r="H41" s="192">
        <f>IF(E41="Vestdanmark",-IF(A41="Halm",SUMIFS(IF(D41=År1,'Resultater - Vestdanmark'!H$3:H$482,IF(D41=År2,'Resultater - Vestdanmark'!I$3:I$482,'Resultater - Vestdanmark'!J$3:J$482)),'Resultater - Vestdanmark'!$F$3:$F$482,$A41,'Resultater - Vestdanmark'!H$3:H$482,"&lt;0"),0),-IF(A41="Halm",SUMIFS(IF(D41=År1,'Resultater - Østdanmark'!H$3:H$482,IF(D41=År2,'Resultater - Østdanmark'!I$3:I$482,'Resultater - Østdanmark'!J$3:J$482)),'Resultater - Østdanmark'!$F$3:$F$482,$A41,'Resultater - Østdanmark'!H$3:H$482,"&lt;0"),0))</f>
        <v>0</v>
      </c>
      <c r="I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5" t="e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#REF!</v>
      </c>
      <c r="K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5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7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204" t="e">
        <f t="shared" si="9"/>
        <v>#REF!</v>
      </c>
      <c r="O41" s="195" t="e">
        <f t="shared" si="1"/>
        <v>#REF!</v>
      </c>
      <c r="P41" s="205" t="e">
        <f t="shared" si="10"/>
        <v>#REF!</v>
      </c>
      <c r="Q41" s="192" t="e">
        <f>IFERROR(VLOOKUP(A41,[1]Energiindhold!$A$2:$C$11,3,FALSE),IFERROR(VLOOKUP(A41,[1]Biogasudbytte!$A$2:$B$18,2,FALSE)*[1]Energiindhold!$C$10,0))*O41</f>
        <v>#REF!</v>
      </c>
      <c r="R41" s="192" t="e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#REF!</v>
      </c>
      <c r="S41" s="192" t="e">
        <f>IFERROR(VLOOKUP(A41,[1]Biogasudbytte!$A$2:$B$18,2,FALSE)*[1]Energiindhold!$C$10,0)*J41*IFERROR(VLOOKUP(A41,Biogasanlæg!$F$3:$G$8,2,FALSE),1)</f>
        <v>#REF!</v>
      </c>
      <c r="T41" s="193" t="e">
        <f t="shared" si="11"/>
        <v>#REF!</v>
      </c>
      <c r="U41" s="191" t="e">
        <f>O41*IFERROR(VLOOKUP(A41,[1]Tørstofindhold!A$2:B$24,2,FALSE),0)</f>
        <v>#REF!</v>
      </c>
      <c r="V41" s="192" t="e">
        <f>IF(D41=År1,P41,SUM(O41,P41))*IFERROR(VLOOKUP(A41,[1]Tørstofindhold!A$2:B$24,2,FALSE),0)</f>
        <v>#REF!</v>
      </c>
      <c r="W41" s="192" t="e">
        <f>J41*IFERROR(VLOOKUP(A41,[1]Tørstofindhold!A$2:B$24,2,FALSE),0)</f>
        <v>#REF!</v>
      </c>
      <c r="X41" s="193" t="e">
        <f t="shared" si="12"/>
        <v>#REF!</v>
      </c>
      <c r="Y41" s="171" t="e">
        <f t="shared" si="2"/>
        <v>#REF!</v>
      </c>
      <c r="Z41" s="103" t="e">
        <f t="shared" si="3"/>
        <v>#REF!</v>
      </c>
    </row>
    <row r="42" spans="1:26" x14ac:dyDescent="0.25">
      <c r="A42" s="192" t="s">
        <v>122</v>
      </c>
      <c r="B42" s="194"/>
      <c r="C42" s="194">
        <f>IF(COUNTIFS('Resultater - Danmark'!$D$3:$D$482,'Resultat-Produktion &amp; forbrug'!A42,'Resultater - Danmark'!$A$3:$A$482,"Til energi")+COUNTIFS('Resultater - Danmark'!$D$3:$D$482,'Resultat-Produktion &amp; forbrug'!A42,'Resultater - Danmark'!$A$3:$A$482,"Biogasanlæg")&gt;0,1,0)</f>
        <v>0</v>
      </c>
      <c r="D42" s="194">
        <f t="shared" si="8"/>
        <v>2019</v>
      </c>
      <c r="E42" s="192" t="s">
        <v>23</v>
      </c>
      <c r="F42" s="195">
        <f>IF(E42="Vestdanmark",SUMIFS(IF(D42=År1,'Resultater - Vestdanmark'!H$3:H$482,IF(D42=År2,'Resultater - Vestdanmark'!I$3:I$482,'Resultater - Vestdanmark'!J$3:J$482)),'Resultater - Vestdanmark'!$F$3:$F$482,$A42,IF(D42=År1,'Resultater - Vestdanmark'!H$3:H$482,IF(D42=År2,'Resultater - Vestdanmark'!I$3:I$482,'Resultater - Vestdanmark'!J$3:J$482)),"&gt;0"),SUMIFS(IF(D42=År1,'Resultater - Østdanmark'!H$3:H$482,IF(D42=År2,'Resultater - Østdanmark'!I$3:I$482,'Resultater - Østdanmark'!J$3:J$482)),'Resultater - Østdanmark'!$F$3:$F$482,$A42,IF(D42=År1,'Resultater - Østdanmark'!H$3:H$482,IF(D42=År2,'Resultater - Østdanmark'!I$3:I$482,'Resultater - Østdanmark'!J$3:J$482)),"&gt;0"))</f>
        <v>0</v>
      </c>
      <c r="G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92">
        <f>IF(E42="Vestdanmark",-IF(A42="Halm",SUMIFS(IF(D42=År1,'Resultater - Vestdanmark'!H$3:H$482,IF(D42=År2,'Resultater - Vestdanmark'!I$3:I$482,'Resultater - Vestdanmark'!J$3:J$482)),'Resultater - Vestdanmark'!$F$3:$F$482,$A42,'Resultater - Vestdanmark'!H$3:H$482,"&lt;0"),0),-IF(A42="Halm",SUMIFS(IF(D42=År1,'Resultater - Østdanmark'!H$3:H$482,IF(D42=År2,'Resultater - Østdanmark'!I$3:I$482,'Resultater - Østdanmark'!J$3:J$482)),'Resultater - Østdanmark'!$F$3:$F$482,$A42,'Resultater - Østdanmark'!H$3:H$482,"&lt;0"),0))</f>
        <v>0</v>
      </c>
      <c r="I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5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7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204">
        <f t="shared" si="9"/>
        <v>0</v>
      </c>
      <c r="O42" s="195">
        <f t="shared" si="1"/>
        <v>0</v>
      </c>
      <c r="P42" s="205">
        <f t="shared" si="10"/>
        <v>0</v>
      </c>
      <c r="Q42" s="192">
        <f>IFERROR(VLOOKUP(A42,[1]Energiindhold!$A$2:$C$11,3,FALSE),IFERROR(VLOOKUP(A42,[1]Biogasudbytte!$A$2:$B$18,2,FALSE)*[1]Energiindhold!$C$10,0))*O42</f>
        <v>0</v>
      </c>
      <c r="R42" s="192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92">
        <f>IFERROR(VLOOKUP(A42,[1]Biogasudbytte!$A$2:$B$18,2,FALSE)*[1]Energiindhold!$C$10,0)*J42*IFERROR(VLOOKUP(A42,Biogasanlæg!$F$3:$G$8,2,FALSE),1)</f>
        <v>0</v>
      </c>
      <c r="T42" s="193">
        <f t="shared" si="11"/>
        <v>0</v>
      </c>
      <c r="U42" s="191">
        <f>O42*IFERROR(VLOOKUP(A42,[1]Tørstofindhold!A$2:B$24,2,FALSE),0)</f>
        <v>0</v>
      </c>
      <c r="V42" s="192">
        <f>IF(D42=År1,P42,SUM(O42,P42))*IFERROR(VLOOKUP(A42,[1]Tørstofindhold!A$2:B$24,2,FALSE),0)</f>
        <v>0</v>
      </c>
      <c r="W42" s="192">
        <f>J42*IFERROR(VLOOKUP(A42,[1]Tørstofindhold!A$2:B$24,2,FALSE),0)</f>
        <v>0</v>
      </c>
      <c r="X42" s="193">
        <f t="shared" si="12"/>
        <v>0</v>
      </c>
      <c r="Y42" s="171">
        <f t="shared" si="2"/>
        <v>0</v>
      </c>
      <c r="Z42" s="103">
        <f t="shared" si="3"/>
        <v>0</v>
      </c>
    </row>
    <row r="43" spans="1:26" x14ac:dyDescent="0.25">
      <c r="A43" s="192" t="s">
        <v>108</v>
      </c>
      <c r="B43" s="194"/>
      <c r="C43" s="194">
        <f>IF(COUNTIFS('Resultater - Danmark'!$D$3:$D$482,'Resultat-Produktion &amp; forbrug'!A43,'Resultater - Danmark'!$A$3:$A$482,"Til energi")+COUNTIFS('Resultater - Danmark'!$D$3:$D$482,'Resultat-Produktion &amp; forbrug'!A43,'Resultater - Danmark'!$A$3:$A$482,"Biogasanlæg")&gt;0,1,0)</f>
        <v>0</v>
      </c>
      <c r="D43" s="194">
        <f t="shared" si="8"/>
        <v>2019</v>
      </c>
      <c r="E43" s="192" t="s">
        <v>23</v>
      </c>
      <c r="F43" s="195">
        <f>IF(E43="Vestdanmark",SUMIFS(IF(D43=År1,'Resultater - Vestdanmark'!H$3:H$482,IF(D43=År2,'Resultater - Vestdanmark'!I$3:I$482,'Resultater - Vestdanmark'!J$3:J$482)),'Resultater - Vestdanmark'!$F$3:$F$482,$A43,IF(D43=År1,'Resultater - Vestdanmark'!H$3:H$482,IF(D43=År2,'Resultater - Vestdanmark'!I$3:I$482,'Resultater - Vestdanmark'!J$3:J$482)),"&gt;0"),SUMIFS(IF(D43=År1,'Resultater - Østdanmark'!H$3:H$482,IF(D43=År2,'Resultater - Østdanmark'!I$3:I$482,'Resultater - Østdanmark'!J$3:J$482)),'Resultater - Østdanmark'!$F$3:$F$482,$A43,IF(D43=År1,'Resultater - Østdanmark'!H$3:H$482,IF(D43=År2,'Resultater - Østdanmark'!I$3:I$482,'Resultater - Østdanmark'!J$3:J$482)),"&gt;0"))</f>
        <v>0</v>
      </c>
      <c r="G43" s="195" t="e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#REF!</v>
      </c>
      <c r="H43" s="192">
        <f>IF(E43="Vestdanmark",-IF(A43="Halm",SUMIFS(IF(D43=År1,'Resultater - Vestdanmark'!H$3:H$482,IF(D43=År2,'Resultater - Vestdanmark'!I$3:I$482,'Resultater - Vestdanmark'!J$3:J$482)),'Resultater - Vestdanmark'!$F$3:$F$482,$A43,'Resultater - Vestdanmark'!H$3:H$482,"&lt;0"),0),-IF(A43="Halm",SUMIFS(IF(D43=År1,'Resultater - Østdanmark'!H$3:H$482,IF(D43=År2,'Resultater - Østdanmark'!I$3:I$482,'Resultater - Østdanmark'!J$3:J$482)),'Resultater - Østdanmark'!$F$3:$F$482,$A43,'Resultater - Østdanmark'!H$3:H$482,"&lt;0"),0))</f>
        <v>0</v>
      </c>
      <c r="I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5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7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204" t="e">
        <f t="shared" si="9"/>
        <v>#REF!</v>
      </c>
      <c r="O43" s="195">
        <f t="shared" si="1"/>
        <v>0</v>
      </c>
      <c r="P43" s="205">
        <f t="shared" si="10"/>
        <v>0</v>
      </c>
      <c r="Q43" s="192">
        <f>IFERROR(VLOOKUP(A43,[1]Energiindhold!$A$2:$C$11,3,FALSE),IFERROR(VLOOKUP(A43,[1]Biogasudbytte!$A$2:$B$18,2,FALSE)*[1]Energiindhold!$C$10,0))*O43</f>
        <v>0</v>
      </c>
      <c r="R43" s="192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92">
        <f>IFERROR(VLOOKUP(A43,[1]Biogasudbytte!$A$2:$B$18,2,FALSE)*[1]Energiindhold!$C$10,0)*J43*IFERROR(VLOOKUP(A43,Biogasanlæg!$F$3:$G$8,2,FALSE),1)</f>
        <v>0</v>
      </c>
      <c r="T43" s="193">
        <f t="shared" si="11"/>
        <v>0</v>
      </c>
      <c r="U43" s="191">
        <f>O43*IFERROR(VLOOKUP(A43,[1]Tørstofindhold!A$2:B$24,2,FALSE),0)</f>
        <v>0</v>
      </c>
      <c r="V43" s="192">
        <f>IF(D43=År1,P43,SUM(O43,P43))*IFERROR(VLOOKUP(A43,[1]Tørstofindhold!A$2:B$24,2,FALSE),0)</f>
        <v>0</v>
      </c>
      <c r="W43" s="192">
        <f>J43*IFERROR(VLOOKUP(A43,[1]Tørstofindhold!A$2:B$24,2,FALSE),0)</f>
        <v>0</v>
      </c>
      <c r="X43" s="193">
        <f t="shared" si="12"/>
        <v>0</v>
      </c>
      <c r="Y43" s="171" t="e">
        <f t="shared" si="2"/>
        <v>#REF!</v>
      </c>
      <c r="Z43" s="103" t="e">
        <f t="shared" si="3"/>
        <v>#REF!</v>
      </c>
    </row>
    <row r="44" spans="1:26" x14ac:dyDescent="0.25">
      <c r="A44" s="194" t="s">
        <v>141</v>
      </c>
      <c r="B44" s="194" t="s">
        <v>232</v>
      </c>
      <c r="C44" s="194">
        <f>IF(COUNTIFS('Resultater - Danmark'!$D$3:$D$482,'Resultat-Produktion &amp; forbrug'!A44,'Resultater - Danmark'!$A$3:$A$482,"Til energi")+COUNTIFS('Resultater - Danmark'!$D$3:$D$482,'Resultat-Produktion &amp; forbrug'!A44,'Resultater - Danmark'!$A$3:$A$482,"Biogasanlæg")&gt;0,1,0)</f>
        <v>1</v>
      </c>
      <c r="D44" s="194">
        <f t="shared" si="8"/>
        <v>2019</v>
      </c>
      <c r="E44" s="192" t="s">
        <v>23</v>
      </c>
      <c r="F44" s="195">
        <f>IF(E44="Vestdanmark",SUMIFS(IF(D44=År1,'Resultater - Vestdanmark'!H$3:H$482,IF(D44=År2,'Resultater - Vestdanmark'!I$3:I$482,'Resultater - Vestdanmark'!J$3:J$482)),'Resultater - Vestdanmark'!$F$3:$F$482,$A44,IF(D44=År1,'Resultater - Vestdanmark'!H$3:H$482,IF(D44=År2,'Resultater - Vestdanmark'!I$3:I$482,'Resultater - Vestdanmark'!J$3:J$482)),"&gt;0"),SUMIFS(IF(D44=År1,'Resultater - Østdanmark'!H$3:H$482,IF(D44=År2,'Resultater - Østdanmark'!I$3:I$482,'Resultater - Østdanmark'!J$3:J$482)),'Resultater - Østdanmark'!$F$3:$F$482,$A44,IF(D44=År1,'Resultater - Østdanmark'!H$3:H$482,IF(D44=År2,'Resultater - Østdanmark'!I$3:I$482,'Resultater - Østdanmark'!J$3:J$482)),"&gt;0"))</f>
        <v>0</v>
      </c>
      <c r="G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92">
        <f>IF(E44="Vestdanmark",-IF(A44="Halm",SUMIFS(IF(D44=År1,'Resultater - Vestdanmark'!H$3:H$482,IF(D44=År2,'Resultater - Vestdanmark'!I$3:I$482,'Resultater - Vestdanmark'!J$3:J$482)),'Resultater - Vestdanmark'!$F$3:$F$482,$A44,'Resultater - Vestdanmark'!H$3:H$482,"&lt;0"),0),-IF(A44="Halm",SUMIFS(IF(D44=År1,'Resultater - Østdanmark'!H$3:H$482,IF(D44=År2,'Resultater - Østdanmark'!I$3:I$482,'Resultater - Østdanmark'!J$3:J$482)),'Resultater - Østdanmark'!$F$3:$F$482,$A44,'Resultater - Østdanmark'!H$3:H$482,"&lt;0"),0))</f>
        <v>0</v>
      </c>
      <c r="I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5" t="e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#REF!</v>
      </c>
      <c r="K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5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7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204" t="e">
        <f t="shared" si="9"/>
        <v>#REF!</v>
      </c>
      <c r="O44" s="195" t="e">
        <f t="shared" si="1"/>
        <v>#REF!</v>
      </c>
      <c r="P44" s="205" t="e">
        <f t="shared" si="10"/>
        <v>#REF!</v>
      </c>
      <c r="Q44" s="192" t="e">
        <f>IFERROR(VLOOKUP(A44,[1]Energiindhold!$A$2:$C$11,3,FALSE),IFERROR(VLOOKUP(A44,[1]Biogasudbytte!$A$2:$B$18,2,FALSE)*[1]Energiindhold!$C$10,0))*O44</f>
        <v>#REF!</v>
      </c>
      <c r="R44" s="192" t="e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#REF!</v>
      </c>
      <c r="S44" s="192" t="e">
        <f>IFERROR(VLOOKUP(A44,[1]Biogasudbytte!$A$2:$B$18,2,FALSE)*[1]Energiindhold!$C$10,0)*J44*IFERROR(VLOOKUP(A44,Biogasanlæg!$F$3:$G$8,2,FALSE),1)</f>
        <v>#REF!</v>
      </c>
      <c r="T44" s="193" t="e">
        <f t="shared" si="11"/>
        <v>#REF!</v>
      </c>
      <c r="U44" s="191" t="e">
        <f>O44*IFERROR(VLOOKUP(A44,[1]Tørstofindhold!A$2:B$24,2,FALSE),0)</f>
        <v>#REF!</v>
      </c>
      <c r="V44" s="192" t="e">
        <f>IF(D44=År1,P44,SUM(O44,P44))*IFERROR(VLOOKUP(A44,[1]Tørstofindhold!A$2:B$24,2,FALSE),0)</f>
        <v>#REF!</v>
      </c>
      <c r="W44" s="192" t="e">
        <f>J44*IFERROR(VLOOKUP(A44,[1]Tørstofindhold!A$2:B$24,2,FALSE),0)</f>
        <v>#REF!</v>
      </c>
      <c r="X44" s="193" t="e">
        <f t="shared" si="12"/>
        <v>#REF!</v>
      </c>
      <c r="Y44" s="171" t="e">
        <f t="shared" si="2"/>
        <v>#REF!</v>
      </c>
      <c r="Z44" s="103" t="e">
        <f t="shared" si="3"/>
        <v>#REF!</v>
      </c>
    </row>
    <row r="45" spans="1:26" x14ac:dyDescent="0.25">
      <c r="A45" s="194" t="s">
        <v>136</v>
      </c>
      <c r="B45" s="194" t="s">
        <v>224</v>
      </c>
      <c r="C45" s="194">
        <f>IF(COUNTIFS('Resultater - Danmark'!$D$3:$D$482,'Resultat-Produktion &amp; forbrug'!A45,'Resultater - Danmark'!$A$3:$A$482,"Til energi")+COUNTIFS('Resultater - Danmark'!$D$3:$D$482,'Resultat-Produktion &amp; forbrug'!A45,'Resultater - Danmark'!$A$3:$A$482,"Biogasanlæg")&gt;0,1,0)</f>
        <v>1</v>
      </c>
      <c r="D45" s="194">
        <f t="shared" si="8"/>
        <v>2019</v>
      </c>
      <c r="E45" s="192" t="s">
        <v>23</v>
      </c>
      <c r="F45" s="195">
        <f>IF(E45="Vestdanmark",SUMIFS(IF(D45=År1,'Resultater - Vestdanmark'!H$3:H$482,IF(D45=År2,'Resultater - Vestdanmark'!I$3:I$482,'Resultater - Vestdanmark'!J$3:J$482)),'Resultater - Vestdanmark'!$F$3:$F$482,$A45,IF(D45=År1,'Resultater - Vestdanmark'!H$3:H$482,IF(D45=År2,'Resultater - Vestdanmark'!I$3:I$482,'Resultater - Vestdanmark'!J$3:J$482)),"&gt;0"),SUMIFS(IF(D45=År1,'Resultater - Østdanmark'!H$3:H$482,IF(D45=År2,'Resultater - Østdanmark'!I$3:I$482,'Resultater - Østdanmark'!J$3:J$482)),'Resultater - Østdanmark'!$F$3:$F$482,$A45,IF(D45=År1,'Resultater - Østdanmark'!H$3:H$482,IF(D45=År2,'Resultater - Østdanmark'!I$3:I$482,'Resultater - Østdanmark'!J$3:J$482)),"&gt;0"))</f>
        <v>0</v>
      </c>
      <c r="G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92">
        <f>IF(E45="Vestdanmark",-IF(A45="Halm",SUMIFS(IF(D45=År1,'Resultater - Vestdanmark'!H$3:H$482,IF(D45=År2,'Resultater - Vestdanmark'!I$3:I$482,'Resultater - Vestdanmark'!J$3:J$482)),'Resultater - Vestdanmark'!$F$3:$F$482,$A45,'Resultater - Vestdanmark'!H$3:H$482,"&lt;0"),0),-IF(A45="Halm",SUMIFS(IF(D45=År1,'Resultater - Østdanmark'!H$3:H$482,IF(D45=År2,'Resultater - Østdanmark'!I$3:I$482,'Resultater - Østdanmark'!J$3:J$482)),'Resultater - Østdanmark'!$F$3:$F$482,$A45,'Resultater - Østdanmark'!H$3:H$482,"&lt;0"),0))</f>
        <v>0</v>
      </c>
      <c r="I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5" t="e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#REF!</v>
      </c>
      <c r="K45" s="195" t="e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#REF!</v>
      </c>
      <c r="L45" s="195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7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204" t="e">
        <f t="shared" si="9"/>
        <v>#REF!</v>
      </c>
      <c r="O45" s="195" t="e">
        <f t="shared" si="1"/>
        <v>#REF!</v>
      </c>
      <c r="P45" s="205" t="e">
        <f t="shared" si="10"/>
        <v>#REF!</v>
      </c>
      <c r="Q45" s="192" t="e">
        <f>IFERROR(VLOOKUP(A45,[1]Energiindhold!$A$2:$C$11,3,FALSE),IFERROR(VLOOKUP(A45,[1]Biogasudbytte!$A$2:$B$18,2,FALSE)*[1]Energiindhold!$C$10,0))*O45</f>
        <v>#REF!</v>
      </c>
      <c r="R45" s="192" t="e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#REF!</v>
      </c>
      <c r="S45" s="192" t="e">
        <f>IFERROR(VLOOKUP(A45,[1]Biogasudbytte!$A$2:$B$18,2,FALSE)*[1]Energiindhold!$C$10,0)*J45*IFERROR(VLOOKUP(A45,Biogasanlæg!$F$3:$G$8,2,FALSE),1)</f>
        <v>#REF!</v>
      </c>
      <c r="T45" s="193" t="e">
        <f t="shared" si="11"/>
        <v>#REF!</v>
      </c>
      <c r="U45" s="191" t="e">
        <f>O45*IFERROR(VLOOKUP(A45,[1]Tørstofindhold!A$2:B$24,2,FALSE),0)</f>
        <v>#REF!</v>
      </c>
      <c r="V45" s="192" t="e">
        <f>IF(D45=År1,P45,SUM(O45,P45))*IFERROR(VLOOKUP(A45,[1]Tørstofindhold!A$2:B$24,2,FALSE),0)</f>
        <v>#REF!</v>
      </c>
      <c r="W45" s="192" t="e">
        <f>J45*IFERROR(VLOOKUP(A45,[1]Tørstofindhold!A$2:B$24,2,FALSE),0)</f>
        <v>#REF!</v>
      </c>
      <c r="X45" s="193" t="e">
        <f t="shared" si="12"/>
        <v>#REF!</v>
      </c>
      <c r="Y45" s="171" t="e">
        <f t="shared" si="2"/>
        <v>#REF!</v>
      </c>
      <c r="Z45" s="103" t="e">
        <f t="shared" si="3"/>
        <v>#REF!</v>
      </c>
    </row>
    <row r="46" spans="1:26" x14ac:dyDescent="0.25">
      <c r="A46" s="194" t="s">
        <v>13</v>
      </c>
      <c r="B46" s="194"/>
      <c r="C46" s="194">
        <f>IF(COUNTIFS('Resultater - Danmark'!$D$3:$D$482,'Resultat-Produktion &amp; forbrug'!A46,'Resultater - Danmark'!$A$3:$A$482,"Til energi")+COUNTIFS('Resultater - Danmark'!$D$3:$D$482,'Resultat-Produktion &amp; forbrug'!A46,'Resultater - Danmark'!$A$3:$A$482,"Biogasanlæg")&gt;0,1,0)</f>
        <v>0</v>
      </c>
      <c r="D46" s="194">
        <f t="shared" si="8"/>
        <v>2019</v>
      </c>
      <c r="E46" s="192" t="s">
        <v>23</v>
      </c>
      <c r="F46" s="195">
        <f>IF(E46="Vestdanmark",SUMIFS(IF(D46=År1,'Resultater - Vestdanmark'!H$3:H$482,IF(D46=År2,'Resultater - Vestdanmark'!I$3:I$482,'Resultater - Vestdanmark'!J$3:J$482)),'Resultater - Vestdanmark'!$F$3:$F$482,$A46,IF(D46=År1,'Resultater - Vestdanmark'!H$3:H$482,IF(D46=År2,'Resultater - Vestdanmark'!I$3:I$482,'Resultater - Vestdanmark'!J$3:J$482)),"&gt;0"),SUMIFS(IF(D46=År1,'Resultater - Østdanmark'!H$3:H$482,IF(D46=År2,'Resultater - Østdanmark'!I$3:I$482,'Resultater - Østdanmark'!J$3:J$482)),'Resultater - Østdanmark'!$F$3:$F$482,$A46,IF(D46=År1,'Resultater - Østdanmark'!H$3:H$482,IF(D46=År2,'Resultater - Østdanmark'!I$3:I$482,'Resultater - Østdanmark'!J$3:J$482)),"&gt;0"))</f>
        <v>0</v>
      </c>
      <c r="G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92">
        <f>IF(E46="Vestdanmark",-IF(A46="Halm",SUMIFS(IF(D46=År1,'Resultater - Vestdanmark'!H$3:H$482,IF(D46=År2,'Resultater - Vestdanmark'!I$3:I$482,'Resultater - Vestdanmark'!J$3:J$482)),'Resultater - Vestdanmark'!$F$3:$F$482,$A46,'Resultater - Vestdanmark'!H$3:H$482,"&lt;0"),0),-IF(A46="Halm",SUMIFS(IF(D46=År1,'Resultater - Østdanmark'!H$3:H$482,IF(D46=År2,'Resultater - Østdanmark'!I$3:I$482,'Resultater - Østdanmark'!J$3:J$482)),'Resultater - Østdanmark'!$F$3:$F$482,$A46,'Resultater - Østdanmark'!H$3:H$482,"&lt;0"),0))</f>
        <v>0</v>
      </c>
      <c r="I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5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7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204">
        <f t="shared" si="9"/>
        <v>-117920.63695532705</v>
      </c>
      <c r="O46" s="195">
        <f t="shared" si="1"/>
        <v>0</v>
      </c>
      <c r="P46" s="205">
        <f t="shared" si="10"/>
        <v>0</v>
      </c>
      <c r="Q46" s="192">
        <f>IFERROR(VLOOKUP(A46,[1]Energiindhold!$A$2:$C$11,3,FALSE),IFERROR(VLOOKUP(A46,[1]Biogasudbytte!$A$2:$B$18,2,FALSE)*[1]Energiindhold!$C$10,0))*O46</f>
        <v>0</v>
      </c>
      <c r="R46" s="192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92">
        <f>IFERROR(VLOOKUP(A46,[1]Biogasudbytte!$A$2:$B$18,2,FALSE)*[1]Energiindhold!$C$10,0)*J46*IFERROR(VLOOKUP(A46,Biogasanlæg!$F$3:$G$8,2,FALSE),1)</f>
        <v>0</v>
      </c>
      <c r="T46" s="193">
        <f t="shared" si="11"/>
        <v>0</v>
      </c>
      <c r="U46" s="191">
        <f>O46*IFERROR(VLOOKUP(A46,[1]Tørstofindhold!A$2:B$24,2,FALSE),0)</f>
        <v>0</v>
      </c>
      <c r="V46" s="192">
        <f>IF(D46=År1,P46,SUM(O46,P46))*IFERROR(VLOOKUP(A46,[1]Tørstofindhold!A$2:B$24,2,FALSE),0)</f>
        <v>0</v>
      </c>
      <c r="W46" s="192">
        <f>J46*IFERROR(VLOOKUP(A46,[1]Tørstofindhold!A$2:B$24,2,FALSE),0)</f>
        <v>0</v>
      </c>
      <c r="X46" s="193">
        <f t="shared" si="12"/>
        <v>0</v>
      </c>
      <c r="Y46" s="171">
        <f t="shared" si="2"/>
        <v>1</v>
      </c>
      <c r="Z46" s="103">
        <f t="shared" si="3"/>
        <v>0</v>
      </c>
    </row>
    <row r="47" spans="1:26" x14ac:dyDescent="0.25">
      <c r="A47" s="194" t="s">
        <v>100</v>
      </c>
      <c r="B47" s="194" t="s">
        <v>228</v>
      </c>
      <c r="C47" s="194">
        <f>IF(COUNTIFS('Resultater - Danmark'!$D$3:$D$482,'Resultat-Produktion &amp; forbrug'!A47,'Resultater - Danmark'!$A$3:$A$482,"Til energi")+COUNTIFS('Resultater - Danmark'!$D$3:$D$482,'Resultat-Produktion &amp; forbrug'!A47,'Resultater - Danmark'!$A$3:$A$482,"Biogasanlæg")&gt;0,1,0)</f>
        <v>1</v>
      </c>
      <c r="D47" s="194">
        <f t="shared" si="8"/>
        <v>2019</v>
      </c>
      <c r="E47" s="192" t="s">
        <v>23</v>
      </c>
      <c r="F47" s="195">
        <f>IF(E47="Vestdanmark",SUMIFS(IF(D47=År1,'Resultater - Vestdanmark'!H$3:H$482,IF(D47=År2,'Resultater - Vestdanmark'!I$3:I$482,'Resultater - Vestdanmark'!J$3:J$482)),'Resultater - Vestdanmark'!$F$3:$F$482,$A47,IF(D47=År1,'Resultater - Vestdanmark'!H$3:H$482,IF(D47=År2,'Resultater - Vestdanmark'!I$3:I$482,'Resultater - Vestdanmark'!J$3:J$482)),"&gt;0"),SUMIFS(IF(D47=År1,'Resultater - Østdanmark'!H$3:H$482,IF(D47=År2,'Resultater - Østdanmark'!I$3:I$482,'Resultater - Østdanmark'!J$3:J$482)),'Resultater - Østdanmark'!$F$3:$F$482,$A47,IF(D47=År1,'Resultater - Østdanmark'!H$3:H$482,IF(D47=År2,'Resultater - Østdanmark'!I$3:I$482,'Resultater - Østdanmark'!J$3:J$482)),"&gt;0"))</f>
        <v>0</v>
      </c>
      <c r="G47" s="195" t="e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#REF!</v>
      </c>
      <c r="H47" s="192">
        <f>IF(E47="Vestdanmark",-IF(A47="Halm",SUMIFS(IF(D47=År1,'Resultater - Vestdanmark'!H$3:H$482,IF(D47=År2,'Resultater - Vestdanmark'!I$3:I$482,'Resultater - Vestdanmark'!J$3:J$482)),'Resultater - Vestdanmark'!$F$3:$F$482,$A47,'Resultater - Vestdanmark'!H$3:H$482,"&lt;0"),0),-IF(A47="Halm",SUMIFS(IF(D47=År1,'Resultater - Østdanmark'!H$3:H$482,IF(D47=År2,'Resultater - Østdanmark'!I$3:I$482,'Resultater - Østdanmark'!J$3:J$482)),'Resultater - Østdanmark'!$F$3:$F$482,$A47,'Resultater - Østdanmark'!H$3:H$482,"&lt;0"),0))</f>
        <v>0</v>
      </c>
      <c r="I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5" t="e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#REF!</v>
      </c>
      <c r="K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5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7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204" t="e">
        <f t="shared" si="9"/>
        <v>#REF!</v>
      </c>
      <c r="O47" s="195" t="e">
        <f t="shared" si="1"/>
        <v>#REF!</v>
      </c>
      <c r="P47" s="205" t="e">
        <f t="shared" si="10"/>
        <v>#REF!</v>
      </c>
      <c r="Q47" s="192" t="e">
        <f>IFERROR(VLOOKUP(A47,[1]Energiindhold!$A$2:$C$11,3,FALSE),IFERROR(VLOOKUP(A47,[1]Biogasudbytte!$A$2:$B$18,2,FALSE)*[1]Energiindhold!$C$10,0))*O47</f>
        <v>#REF!</v>
      </c>
      <c r="R47" s="192" t="e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#REF!</v>
      </c>
      <c r="S47" s="192" t="e">
        <f>IFERROR(VLOOKUP(A47,[1]Biogasudbytte!$A$2:$B$18,2,FALSE)*[1]Energiindhold!$C$10,0)*J47*IFERROR(VLOOKUP(A47,Biogasanlæg!$F$3:$G$8,2,FALSE),1)</f>
        <v>#REF!</v>
      </c>
      <c r="T47" s="193" t="e">
        <f t="shared" si="11"/>
        <v>#REF!</v>
      </c>
      <c r="U47" s="191" t="e">
        <f>O47*IFERROR(VLOOKUP(A47,[1]Tørstofindhold!A$2:B$24,2,FALSE),0)</f>
        <v>#REF!</v>
      </c>
      <c r="V47" s="192" t="e">
        <f>IF(D47=År1,P47,SUM(O47,P47))*IFERROR(VLOOKUP(A47,[1]Tørstofindhold!A$2:B$24,2,FALSE),0)</f>
        <v>#REF!</v>
      </c>
      <c r="W47" s="192" t="e">
        <f>J47*IFERROR(VLOOKUP(A47,[1]Tørstofindhold!A$2:B$24,2,FALSE),0)</f>
        <v>#REF!</v>
      </c>
      <c r="X47" s="193" t="e">
        <f t="shared" si="12"/>
        <v>#REF!</v>
      </c>
      <c r="Y47" s="171" t="e">
        <f t="shared" si="2"/>
        <v>#REF!</v>
      </c>
      <c r="Z47" s="103" t="e">
        <f t="shared" si="3"/>
        <v>#REF!</v>
      </c>
    </row>
    <row r="48" spans="1:26" x14ac:dyDescent="0.25">
      <c r="A48" s="194" t="s">
        <v>105</v>
      </c>
      <c r="B48" s="194"/>
      <c r="C48" s="194">
        <f>IF(COUNTIFS('Resultater - Danmark'!$D$3:$D$482,'Resultat-Produktion &amp; forbrug'!A48,'Resultater - Danmark'!$A$3:$A$482,"Til energi")+COUNTIFS('Resultater - Danmark'!$D$3:$D$482,'Resultat-Produktion &amp; forbrug'!A48,'Resultater - Danmark'!$A$3:$A$482,"Biogasanlæg")&gt;0,1,0)</f>
        <v>1</v>
      </c>
      <c r="D48" s="194">
        <f t="shared" si="8"/>
        <v>2019</v>
      </c>
      <c r="E48" s="192" t="s">
        <v>23</v>
      </c>
      <c r="F48" s="195">
        <f>IF(E48="Vestdanmark",SUMIFS(IF(D48=År1,'Resultater - Vestdanmark'!H$3:H$482,IF(D48=År2,'Resultater - Vestdanmark'!I$3:I$482,'Resultater - Vestdanmark'!J$3:J$482)),'Resultater - Vestdanmark'!$F$3:$F$482,$A48,IF(D48=År1,'Resultater - Vestdanmark'!H$3:H$482,IF(D48=År2,'Resultater - Vestdanmark'!I$3:I$482,'Resultater - Vestdanmark'!J$3:J$482)),"&gt;0"),SUMIFS(IF(D48=År1,'Resultater - Østdanmark'!H$3:H$482,IF(D48=År2,'Resultater - Østdanmark'!I$3:I$482,'Resultater - Østdanmark'!J$3:J$482)),'Resultater - Østdanmark'!$F$3:$F$482,$A48,IF(D48=År1,'Resultater - Østdanmark'!H$3:H$482,IF(D48=År2,'Resultater - Østdanmark'!I$3:I$482,'Resultater - Østdanmark'!J$3:J$482)),"&gt;0"))</f>
        <v>0</v>
      </c>
      <c r="G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92">
        <f>IF(E48="Vestdanmark",-IF(A48="Halm",SUMIFS(IF(D48=År1,'Resultater - Vestdanmark'!H$3:H$482,IF(D48=År2,'Resultater - Vestdanmark'!I$3:I$482,'Resultater - Vestdanmark'!J$3:J$482)),'Resultater - Vestdanmark'!$F$3:$F$482,$A48,'Resultater - Vestdanmark'!H$3:H$482,"&lt;0"),0),-IF(A48="Halm",SUMIFS(IF(D48=År1,'Resultater - Østdanmark'!H$3:H$482,IF(D48=År2,'Resultater - Østdanmark'!I$3:I$482,'Resultater - Østdanmark'!J$3:J$482)),'Resultater - Østdanmark'!$F$3:$F$482,$A48,'Resultater - Østdanmark'!H$3:H$482,"&lt;0"),0))</f>
        <v>0</v>
      </c>
      <c r="I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5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7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204">
        <f t="shared" si="9"/>
        <v>0</v>
      </c>
      <c r="O48" s="195">
        <f t="shared" si="1"/>
        <v>0</v>
      </c>
      <c r="P48" s="205">
        <f t="shared" si="10"/>
        <v>0</v>
      </c>
      <c r="Q48" s="192">
        <f>IFERROR(VLOOKUP(A48,[1]Energiindhold!$A$2:$C$11,3,FALSE),IFERROR(VLOOKUP(A48,[1]Biogasudbytte!$A$2:$B$18,2,FALSE)*[1]Energiindhold!$C$10,0))*O48</f>
        <v>0</v>
      </c>
      <c r="R48" s="192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92">
        <f>IFERROR(VLOOKUP(A48,[1]Biogasudbytte!$A$2:$B$18,2,FALSE)*[1]Energiindhold!$C$10,0)*J48*IFERROR(VLOOKUP(A48,Biogasanlæg!$F$3:$G$8,2,FALSE),1)</f>
        <v>0</v>
      </c>
      <c r="T48" s="193">
        <f t="shared" si="11"/>
        <v>0</v>
      </c>
      <c r="U48" s="191">
        <f>O48*IFERROR(VLOOKUP(A48,[1]Tørstofindhold!A$2:B$24,2,FALSE),0)</f>
        <v>0</v>
      </c>
      <c r="V48" s="192">
        <f>IF(D48=År1,P48,SUM(O48,P48))*IFERROR(VLOOKUP(A48,[1]Tørstofindhold!A$2:B$24,2,FALSE),0)</f>
        <v>0</v>
      </c>
      <c r="W48" s="192">
        <f>J48*IFERROR(VLOOKUP(A48,[1]Tørstofindhold!A$2:B$24,2,FALSE),0)</f>
        <v>0</v>
      </c>
      <c r="X48" s="193">
        <f t="shared" si="12"/>
        <v>0</v>
      </c>
      <c r="Y48" s="171">
        <f t="shared" si="2"/>
        <v>0</v>
      </c>
      <c r="Z48" s="103">
        <f t="shared" si="3"/>
        <v>0</v>
      </c>
    </row>
    <row r="49" spans="1:26" x14ac:dyDescent="0.25">
      <c r="A49" s="194" t="s">
        <v>120</v>
      </c>
      <c r="B49" s="194" t="s">
        <v>227</v>
      </c>
      <c r="C49" s="194">
        <f>IF(COUNTIFS('Resultater - Danmark'!$D$3:$D$482,'Resultat-Produktion &amp; forbrug'!A49,'Resultater - Danmark'!$A$3:$A$482,"Til energi")+COUNTIFS('Resultater - Danmark'!$D$3:$D$482,'Resultat-Produktion &amp; forbrug'!A49,'Resultater - Danmark'!$A$3:$A$482,"Biogasanlæg")&gt;0,1,0)</f>
        <v>1</v>
      </c>
      <c r="D49" s="194">
        <f t="shared" si="8"/>
        <v>2019</v>
      </c>
      <c r="E49" s="192" t="s">
        <v>23</v>
      </c>
      <c r="F49" s="195">
        <f>IF(E49="Vestdanmark",SUMIFS(IF(D49=År1,'Resultater - Vestdanmark'!H$3:H$482,IF(D49=År2,'Resultater - Vestdanmark'!I$3:I$482,'Resultater - Vestdanmark'!J$3:J$482)),'Resultater - Vestdanmark'!$F$3:$F$482,$A49,IF(D49=År1,'Resultater - Vestdanmark'!H$3:H$482,IF(D49=År2,'Resultater - Vestdanmark'!I$3:I$482,'Resultater - Vestdanmark'!J$3:J$482)),"&gt;0"),SUMIFS(IF(D49=År1,'Resultater - Østdanmark'!H$3:H$482,IF(D49=År2,'Resultater - Østdanmark'!I$3:I$482,'Resultater - Østdanmark'!J$3:J$482)),'Resultater - Østdanmark'!$F$3:$F$482,$A49,IF(D49=År1,'Resultater - Østdanmark'!H$3:H$482,IF(D49=År2,'Resultater - Østdanmark'!I$3:I$482,'Resultater - Østdanmark'!J$3:J$482)),"&gt;0"))</f>
        <v>0</v>
      </c>
      <c r="G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92">
        <f>IF(E49="Vestdanmark",-IF(A49="Halm",SUMIFS(IF(D49=År1,'Resultater - Vestdanmark'!H$3:H$482,IF(D49=År2,'Resultater - Vestdanmark'!I$3:I$482,'Resultater - Vestdanmark'!J$3:J$482)),'Resultater - Vestdanmark'!$F$3:$F$482,$A49,'Resultater - Vestdanmark'!H$3:H$482,"&lt;0"),0),-IF(A49="Halm",SUMIFS(IF(D49=År1,'Resultater - Østdanmark'!H$3:H$482,IF(D49=År2,'Resultater - Østdanmark'!I$3:I$482,'Resultater - Østdanmark'!J$3:J$482)),'Resultater - Østdanmark'!$F$3:$F$482,$A49,'Resultater - Østdanmark'!H$3:H$482,"&lt;0"),0))</f>
        <v>0</v>
      </c>
      <c r="I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5" t="e">
        <f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#REF!</v>
      </c>
      <c r="M49" s="157" t="e">
        <f>SUMIFS('Forbrug af biomasse'!E:E,'Forbrug af biomasse'!C:C,'Resultat-Produktion &amp; forbrug'!$A49,'Forbrug af biomasse'!D:D,'Resultat-Produktion &amp; forbrug'!$D49,'Forbrug af biomasse'!G:G,1,'Forbrug af biomasse'!B:B,$E49)</f>
        <v>#REF!</v>
      </c>
      <c r="N49" s="204" t="e">
        <f t="shared" si="9"/>
        <v>#REF!</v>
      </c>
      <c r="O49" s="195" t="e">
        <f t="shared" si="1"/>
        <v>#REF!</v>
      </c>
      <c r="P49" s="205" t="e">
        <f t="shared" si="10"/>
        <v>#REF!</v>
      </c>
      <c r="Q49" s="192" t="e">
        <f>IFERROR(VLOOKUP(A49,[1]Energiindhold!$A$2:$C$11,3,FALSE),IFERROR(VLOOKUP(A49,[1]Biogasudbytte!$A$2:$B$18,2,FALSE)*[1]Energiindhold!$C$10,0))*O49</f>
        <v>#REF!</v>
      </c>
      <c r="R49" s="192" t="e">
        <f>IF(A49&lt;&gt;"Biogas",IFERROR(VLOOKUP(A49,[1]Biogasudbytte!$A$2:$B$18,2,FALSE)*[1]Energiindhold!$C$10,0)*J49*IFERROR(VLOOKUP(A49,Biogasanlæg!$F$3:$G$8,2,FALSE),1)+IFERROR(VLOOKUP(A49,[1]Energiindhold!$A$2:$C$11,3,FALSE),0)*L49+IF(D49&lt;&gt;År1,Q49,0),0)</f>
        <v>#REF!</v>
      </c>
      <c r="S49" s="192">
        <f>IFERROR(VLOOKUP(A49,[1]Biogasudbytte!$A$2:$B$18,2,FALSE)*[1]Energiindhold!$C$10,0)*J49*IFERROR(VLOOKUP(A49,Biogasanlæg!$F$3:$G$8,2,FALSE),1)</f>
        <v>0</v>
      </c>
      <c r="T49" s="193" t="e">
        <f t="shared" si="11"/>
        <v>#REF!</v>
      </c>
      <c r="U49" s="191" t="e">
        <f>O49*IFERROR(VLOOKUP(A49,[1]Tørstofindhold!A$2:B$24,2,FALSE),0)</f>
        <v>#REF!</v>
      </c>
      <c r="V49" s="192" t="e">
        <f>IF(D49=År1,P49,SUM(O49,P49))*IFERROR(VLOOKUP(A49,[1]Tørstofindhold!A$2:B$24,2,FALSE),0)</f>
        <v>#REF!</v>
      </c>
      <c r="W49" s="192">
        <f>J49*IFERROR(VLOOKUP(A49,[1]Tørstofindhold!A$2:B$24,2,FALSE),0)</f>
        <v>0</v>
      </c>
      <c r="X49" s="193" t="e">
        <f t="shared" si="12"/>
        <v>#REF!</v>
      </c>
      <c r="Y49" s="171" t="e">
        <f t="shared" si="2"/>
        <v>#REF!</v>
      </c>
      <c r="Z49" s="103" t="e">
        <f t="shared" si="3"/>
        <v>#REF!</v>
      </c>
    </row>
    <row r="50" spans="1:26" x14ac:dyDescent="0.25">
      <c r="A50" s="194" t="s">
        <v>119</v>
      </c>
      <c r="B50" s="194"/>
      <c r="C50" s="194">
        <f>IF(COUNTIFS('Resultater - Danmark'!$D$3:$D$482,'Resultat-Produktion &amp; forbrug'!A50,'Resultater - Danmark'!$A$3:$A$482,"Til energi")+COUNTIFS('Resultater - Danmark'!$D$3:$D$482,'Resultat-Produktion &amp; forbrug'!A50,'Resultater - Danmark'!$A$3:$A$482,"Biogasanlæg")&gt;0,1,0)</f>
        <v>0</v>
      </c>
      <c r="D50" s="194">
        <f t="shared" si="8"/>
        <v>2019</v>
      </c>
      <c r="E50" s="192" t="s">
        <v>23</v>
      </c>
      <c r="F50" s="195">
        <f>IF(E50="Vestdanmark",SUMIFS(IF(D50=År1,'Resultater - Vestdanmark'!H$3:H$482,IF(D50=År2,'Resultater - Vestdanmark'!I$3:I$482,'Resultater - Vestdanmark'!J$3:J$482)),'Resultater - Vestdanmark'!$F$3:$F$482,$A50,IF(D50=År1,'Resultater - Vestdanmark'!H$3:H$482,IF(D50=År2,'Resultater - Vestdanmark'!I$3:I$482,'Resultater - Vestdanmark'!J$3:J$482)),"&gt;0"),SUMIFS(IF(D50=År1,'Resultater - Østdanmark'!H$3:H$482,IF(D50=År2,'Resultater - Østdanmark'!I$3:I$482,'Resultater - Østdanmark'!J$3:J$482)),'Resultater - Østdanmark'!$F$3:$F$482,$A50,IF(D50=År1,'Resultater - Østdanmark'!H$3:H$482,IF(D50=År2,'Resultater - Østdanmark'!I$3:I$482,'Resultater - Østdanmark'!J$3:J$482)),"&gt;0"))</f>
        <v>0</v>
      </c>
      <c r="G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92">
        <f>IF(E50="Vestdanmark",-IF(A50="Halm",SUMIFS(IF(D50=År1,'Resultater - Vestdanmark'!H$3:H$482,IF(D50=År2,'Resultater - Vestdanmark'!I$3:I$482,'Resultater - Vestdanmark'!J$3:J$482)),'Resultater - Vestdanmark'!$F$3:$F$482,$A50,'Resultater - Vestdanmark'!H$3:H$482,"&lt;0"),0),-IF(A50="Halm",SUMIFS(IF(D50=År1,'Resultater - Østdanmark'!H$3:H$482,IF(D50=År2,'Resultater - Østdanmark'!I$3:I$482,'Resultater - Østdanmark'!J$3:J$482)),'Resultater - Østdanmark'!$F$3:$F$482,$A50,'Resultater - Østdanmark'!H$3:H$482,"&lt;0"),0))</f>
        <v>0</v>
      </c>
      <c r="I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5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7">
        <f>SUMIFS('Forbrug af biomasse'!E:E,'Forbrug af biomasse'!C:C,'Resultat-Produktion &amp; forbrug'!$A50,'Forbrug af biomasse'!D:D,'Resultat-Produktion &amp; forbrug'!$D50,'Forbrug af biomasse'!G:G,1,'Forbrug af biomasse'!B:B,$E50)</f>
        <v>0</v>
      </c>
      <c r="N50" s="204">
        <f t="shared" si="9"/>
        <v>0</v>
      </c>
      <c r="O50" s="195">
        <f t="shared" si="1"/>
        <v>0</v>
      </c>
      <c r="P50" s="205">
        <f t="shared" si="10"/>
        <v>0</v>
      </c>
      <c r="Q50" s="192">
        <f>IFERROR(VLOOKUP(A50,[1]Energiindhold!$A$2:$C$11,3,FALSE),IFERROR(VLOOKUP(A50,[1]Biogasudbytte!$A$2:$B$18,2,FALSE)*[1]Energiindhold!$C$10,0))*O50</f>
        <v>0</v>
      </c>
      <c r="R50" s="192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92">
        <f>IFERROR(VLOOKUP(A50,[1]Biogasudbytte!$A$2:$B$18,2,FALSE)*[1]Energiindhold!$C$10,0)*J50*IFERROR(VLOOKUP(A50,Biogasanlæg!$F$3:$G$8,2,FALSE),1)</f>
        <v>0</v>
      </c>
      <c r="T50" s="193">
        <f t="shared" si="11"/>
        <v>0</v>
      </c>
      <c r="U50" s="191">
        <f>O50*IFERROR(VLOOKUP(A50,[1]Tørstofindhold!A$2:B$24,2,FALSE),0)</f>
        <v>0</v>
      </c>
      <c r="V50" s="192">
        <f>IF(D50=År1,P50,SUM(O50,P50))*IFERROR(VLOOKUP(A50,[1]Tørstofindhold!A$2:B$24,2,FALSE),0)</f>
        <v>0</v>
      </c>
      <c r="W50" s="192">
        <f>J50*IFERROR(VLOOKUP(A50,[1]Tørstofindhold!A$2:B$24,2,FALSE),0)</f>
        <v>0</v>
      </c>
      <c r="X50" s="193">
        <f t="shared" si="12"/>
        <v>0</v>
      </c>
      <c r="Y50" s="171">
        <f t="shared" si="2"/>
        <v>0</v>
      </c>
      <c r="Z50" s="103">
        <f t="shared" si="3"/>
        <v>0</v>
      </c>
    </row>
    <row r="51" spans="1:26" x14ac:dyDescent="0.25">
      <c r="A51" s="194" t="str">
        <f t="shared" ref="A51:A82" si="17">A3</f>
        <v>Æg</v>
      </c>
      <c r="B51" s="194" t="str">
        <f t="shared" ref="B51:B82" si="18">IF(B3&lt;&gt;"",B3,"")</f>
        <v/>
      </c>
      <c r="C51" s="194">
        <f>IF(COUNTIFS('Resultater - Danmark'!$D$3:$D$482,'Resultat-Produktion &amp; forbrug'!A51,'Resultater - Danmark'!$A$3:$A$482,"Til energi")+COUNTIFS('Resultater - Danmark'!$D$3:$D$482,'Resultat-Produktion &amp; forbrug'!A51,'Resultater - Danmark'!$A$3:$A$482,"Biogasanlæg")&gt;0,1,0)</f>
        <v>0</v>
      </c>
      <c r="D51" s="194">
        <f t="shared" ref="D51:D98" si="19">År2</f>
        <v>2030</v>
      </c>
      <c r="E51" s="192" t="s">
        <v>23</v>
      </c>
      <c r="F51" s="195">
        <f>IF(E51="Vestdanmark",SUMIFS(IF(D51=År1,'Resultater - Vestdanmark'!H$3:H$482,IF(D51=År2,'Resultater - Vestdanmark'!I$3:I$482,'Resultater - Vestdanmark'!J$3:J$482)),'Resultater - Vestdanmark'!$F$3:$F$482,$A51,IF(D51=År1,'Resultater - Vestdanmark'!H$3:H$482,IF(D51=År2,'Resultater - Vestdanmark'!I$3:I$482,'Resultater - Vestdanmark'!J$3:J$482)),"&gt;0"),SUMIFS(IF(D51=År1,'Resultater - Østdanmark'!H$3:H$482,IF(D51=År2,'Resultater - Østdanmark'!I$3:I$482,'Resultater - Østdanmark'!J$3:J$482)),'Resultater - Østdanmark'!$F$3:$F$482,$A51,IF(D51=År1,'Resultater - Østdanmark'!H$3:H$482,IF(D51=År2,'Resultater - Østdanmark'!I$3:I$482,'Resultater - Østdanmark'!J$3:J$482)),"&gt;0"))</f>
        <v>0</v>
      </c>
      <c r="G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92">
        <f>IF(E51="Vestdanmark",-IF(A51="Halm",SUMIFS(IF(D51=År1,'Resultater - Vestdanmark'!H$3:H$482,IF(D51=År2,'Resultater - Vestdanmark'!I$3:I$482,'Resultater - Vestdanmark'!J$3:J$482)),'Resultater - Vestdanmark'!$F$3:$F$482,$A51,'Resultater - Vestdanmark'!H$3:H$482,"&lt;0"),0),-IF(A51="Halm",SUMIFS(IF(D51=År1,'Resultater - Østdanmark'!H$3:H$482,IF(D51=År2,'Resultater - Østdanmark'!I$3:I$482,'Resultater - Østdanmark'!J$3:J$482)),'Resultater - Østdanmark'!$F$3:$F$482,$A51,'Resultater - Østdanmark'!H$3:H$482,"&lt;0"),0))</f>
        <v>0</v>
      </c>
      <c r="I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5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7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204">
        <f t="shared" si="9"/>
        <v>-32579.784552999867</v>
      </c>
      <c r="O51" s="195">
        <f t="shared" si="1"/>
        <v>0</v>
      </c>
      <c r="P51" s="205">
        <f t="shared" si="10"/>
        <v>0</v>
      </c>
      <c r="Q51" s="192">
        <f>IFERROR(VLOOKUP(A51,[1]Energiindhold!$A$2:$C$11,3,FALSE),IFERROR(VLOOKUP(A51,[1]Biogasudbytte!$A$2:$B$18,2,FALSE)*[1]Energiindhold!$C$10,0))*O51</f>
        <v>0</v>
      </c>
      <c r="R51" s="192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92">
        <f>IFERROR(VLOOKUP(A51,[1]Biogasudbytte!$A$2:$B$18,2,FALSE)*[1]Energiindhold!$C$10,0)*J51*IFERROR(VLOOKUP(A51,Biogasanlæg!$F$3:$G$8,2,FALSE),1)</f>
        <v>0</v>
      </c>
      <c r="T51" s="193">
        <f t="shared" si="11"/>
        <v>0</v>
      </c>
      <c r="U51" s="191">
        <f>O51*IFERROR(VLOOKUP(A51,[1]Tørstofindhold!A$2:B$24,2,FALSE),0)</f>
        <v>0</v>
      </c>
      <c r="V51" s="192">
        <f>IF(D51=År1,P51,SUM(O51,P51))*IFERROR(VLOOKUP(A51,[1]Tørstofindhold!A$2:B$24,2,FALSE),0)</f>
        <v>0</v>
      </c>
      <c r="W51" s="192">
        <f>J51*IFERROR(VLOOKUP(A51,[1]Tørstofindhold!A$2:B$24,2,FALSE),0)</f>
        <v>0</v>
      </c>
      <c r="X51" s="193">
        <f t="shared" si="12"/>
        <v>0</v>
      </c>
      <c r="Y51" s="171">
        <f t="shared" si="2"/>
        <v>1</v>
      </c>
      <c r="Z51" s="103">
        <f t="shared" si="3"/>
        <v>0</v>
      </c>
    </row>
    <row r="52" spans="1:26" x14ac:dyDescent="0.25">
      <c r="A52" s="194" t="str">
        <f t="shared" si="17"/>
        <v>Bælgsæd</v>
      </c>
      <c r="B52" s="194" t="str">
        <f t="shared" si="18"/>
        <v/>
      </c>
      <c r="C52" s="194">
        <f>IF(COUNTIFS('Resultater - Danmark'!$D$3:$D$482,'Resultat-Produktion &amp; forbrug'!A52,'Resultater - Danmark'!$A$3:$A$482,"Til energi")+COUNTIFS('Resultater - Danmark'!$D$3:$D$482,'Resultat-Produktion &amp; forbrug'!A52,'Resultater - Danmark'!$A$3:$A$482,"Biogasanlæg")&gt;0,1,0)</f>
        <v>0</v>
      </c>
      <c r="D52" s="194">
        <f t="shared" si="19"/>
        <v>2030</v>
      </c>
      <c r="E52" s="192" t="s">
        <v>23</v>
      </c>
      <c r="F52" s="195">
        <f>IF(E52="Vestdanmark",SUMIFS(IF(D52=År1,'Resultater - Vestdanmark'!H$3:H$482,IF(D52=År2,'Resultater - Vestdanmark'!I$3:I$482,'Resultater - Vestdanmark'!J$3:J$482)),'Resultater - Vestdanmark'!$F$3:$F$482,$A52,IF(D52=År1,'Resultater - Vestdanmark'!H$3:H$482,IF(D52=År2,'Resultater - Vestdanmark'!I$3:I$482,'Resultater - Vestdanmark'!J$3:J$482)),"&gt;0"),SUMIFS(IF(D52=År1,'Resultater - Østdanmark'!H$3:H$482,IF(D52=År2,'Resultater - Østdanmark'!I$3:I$482,'Resultater - Østdanmark'!J$3:J$482)),'Resultater - Østdanmark'!$F$3:$F$482,$A52,IF(D52=År1,'Resultater - Østdanmark'!H$3:H$482,IF(D52=År2,'Resultater - Østdanmark'!I$3:I$482,'Resultater - Østdanmark'!J$3:J$482)),"&gt;0"))</f>
        <v>0</v>
      </c>
      <c r="G52" s="195" t="e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#REF!</v>
      </c>
      <c r="H52" s="192">
        <f>IF(E52="Vestdanmark",-IF(A52="Halm",SUMIFS(IF(D52=År1,'Resultater - Vestdanmark'!H$3:H$482,IF(D52=År2,'Resultater - Vestdanmark'!I$3:I$482,'Resultater - Vestdanmark'!J$3:J$482)),'Resultater - Vestdanmark'!$F$3:$F$482,$A52,'Resultater - Vestdanmark'!H$3:H$482,"&lt;0"),0),-IF(A52="Halm",SUMIFS(IF(D52=År1,'Resultater - Østdanmark'!H$3:H$482,IF(D52=År2,'Resultater - Østdanmark'!I$3:I$482,'Resultater - Østdanmark'!J$3:J$482)),'Resultater - Østdanmark'!$F$3:$F$482,$A52,'Resultater - Østdanmark'!H$3:H$482,"&lt;0"),0))</f>
        <v>0</v>
      </c>
      <c r="I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5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7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204" t="e">
        <f t="shared" si="9"/>
        <v>#REF!</v>
      </c>
      <c r="O52" s="195">
        <f t="shared" si="1"/>
        <v>0</v>
      </c>
      <c r="P52" s="205">
        <f t="shared" si="10"/>
        <v>0</v>
      </c>
      <c r="Q52" s="192">
        <f>IFERROR(VLOOKUP(A52,[1]Energiindhold!$A$2:$C$11,3,FALSE),IFERROR(VLOOKUP(A52,[1]Biogasudbytte!$A$2:$B$18,2,FALSE)*[1]Energiindhold!$C$10,0))*O52</f>
        <v>0</v>
      </c>
      <c r="R52" s="192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92">
        <f>IFERROR(VLOOKUP(A52,[1]Biogasudbytte!$A$2:$B$18,2,FALSE)*[1]Energiindhold!$C$10,0)*J52*IFERROR(VLOOKUP(A52,Biogasanlæg!$F$3:$G$8,2,FALSE),1)</f>
        <v>0</v>
      </c>
      <c r="T52" s="193">
        <f t="shared" si="11"/>
        <v>0</v>
      </c>
      <c r="U52" s="191">
        <f>O52*IFERROR(VLOOKUP(A52,[1]Tørstofindhold!A$2:B$24,2,FALSE),0)</f>
        <v>0</v>
      </c>
      <c r="V52" s="192">
        <f>IF(D52=År1,P52,SUM(O52,P52))*IFERROR(VLOOKUP(A52,[1]Tørstofindhold!A$2:B$24,2,FALSE),0)</f>
        <v>0</v>
      </c>
      <c r="W52" s="192">
        <f>J52*IFERROR(VLOOKUP(A52,[1]Tørstofindhold!A$2:B$24,2,FALSE),0)</f>
        <v>0</v>
      </c>
      <c r="X52" s="193">
        <f t="shared" si="12"/>
        <v>0</v>
      </c>
      <c r="Y52" s="171" t="e">
        <f t="shared" si="2"/>
        <v>#REF!</v>
      </c>
      <c r="Z52" s="103" t="e">
        <f t="shared" si="3"/>
        <v>#REF!</v>
      </c>
    </row>
    <row r="53" spans="1:26" x14ac:dyDescent="0.25">
      <c r="A53" s="194" t="str">
        <f t="shared" si="17"/>
        <v>Bioaffald</v>
      </c>
      <c r="B53" s="194" t="str">
        <f t="shared" si="18"/>
        <v>Bionedbrydeligt affald</v>
      </c>
      <c r="C53" s="194">
        <f>IF(COUNTIFS('Resultater - Danmark'!$D$3:$D$482,'Resultat-Produktion &amp; forbrug'!A53,'Resultater - Danmark'!$A$3:$A$482,"Til energi")+COUNTIFS('Resultater - Danmark'!$D$3:$D$482,'Resultat-Produktion &amp; forbrug'!A53,'Resultater - Danmark'!$A$3:$A$482,"Biogasanlæg")&gt;0,1,0)</f>
        <v>1</v>
      </c>
      <c r="D53" s="194">
        <f t="shared" si="19"/>
        <v>2030</v>
      </c>
      <c r="E53" s="192" t="s">
        <v>23</v>
      </c>
      <c r="F53" s="195">
        <f>IF(E53="Vestdanmark",SUMIFS(IF(D53=År1,'Resultater - Vestdanmark'!H$3:H$482,IF(D53=År2,'Resultater - Vestdanmark'!I$3:I$482,'Resultater - Vestdanmark'!J$3:J$482)),'Resultater - Vestdanmark'!$F$3:$F$482,$A53,IF(D53=År1,'Resultater - Vestdanmark'!H$3:H$482,IF(D53=År2,'Resultater - Vestdanmark'!I$3:I$482,'Resultater - Vestdanmark'!J$3:J$482)),"&gt;0"),SUMIFS(IF(D53=År1,'Resultater - Østdanmark'!H$3:H$482,IF(D53=År2,'Resultater - Østdanmark'!I$3:I$482,'Resultater - Østdanmark'!J$3:J$482)),'Resultater - Østdanmark'!$F$3:$F$482,$A53,IF(D53=År1,'Resultater - Østdanmark'!H$3:H$482,IF(D53=År2,'Resultater - Østdanmark'!I$3:I$482,'Resultater - Østdanmark'!J$3:J$482)),"&gt;0"))</f>
        <v>0</v>
      </c>
      <c r="G53" s="195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92">
        <f>IF(E53="Vestdanmark",-IF(A53="Halm",SUMIFS(IF(D53=År1,'Resultater - Vestdanmark'!H$3:H$482,IF(D53=År2,'Resultater - Vestdanmark'!I$3:I$482,'Resultater - Vestdanmark'!J$3:J$482)),'Resultater - Vestdanmark'!$F$3:$F$482,$A53,'Resultater - Vestdanmark'!H$3:H$482,"&lt;0"),0),-IF(A53="Halm",SUMIFS(IF(D53=År1,'Resultater - Østdanmark'!H$3:H$482,IF(D53=År2,'Resultater - Østdanmark'!I$3:I$482,'Resultater - Østdanmark'!J$3:J$482)),'Resultater - Østdanmark'!$F$3:$F$482,$A53,'Resultater - Østdanmark'!H$3:H$482,"&lt;0"),0))</f>
        <v>0</v>
      </c>
      <c r="I53" s="195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5" t="e">
        <f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#REF!</v>
      </c>
      <c r="K53" s="195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5" t="e">
        <f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#REF!</v>
      </c>
      <c r="M53" s="157" t="e">
        <f>SUMIFS('Forbrug af biomasse'!E:E,'Forbrug af biomasse'!C:C,'Resultat-Produktion &amp; forbrug'!$A53,'Forbrug af biomasse'!D:D,'Resultat-Produktion &amp; forbrug'!$D53,'Forbrug af biomasse'!G:G,1,'Forbrug af biomasse'!B:B,$E53)</f>
        <v>#REF!</v>
      </c>
      <c r="N53" s="204" t="e">
        <f t="shared" si="9"/>
        <v>#REF!</v>
      </c>
      <c r="O53" s="195" t="e">
        <f t="shared" si="1"/>
        <v>#REF!</v>
      </c>
      <c r="P53" s="205" t="e">
        <f t="shared" si="10"/>
        <v>#REF!</v>
      </c>
      <c r="Q53" s="192" t="e">
        <f>IFERROR(VLOOKUP(A53,[1]Energiindhold!$A$2:$C$11,3,FALSE),IFERROR(VLOOKUP(A53,[1]Biogasudbytte!$A$2:$B$18,2,FALSE)*[1]Energiindhold!$C$10,0))*O53</f>
        <v>#REF!</v>
      </c>
      <c r="R53" s="192" t="e">
        <f>IF(A53&lt;&gt;"Biogas",IFERROR(VLOOKUP(A53,[1]Biogasudbytte!$A$2:$B$18,2,FALSE)*[1]Energiindhold!$C$10,0)*J53*IFERROR(VLOOKUP(A53,Biogasanlæg!$F$3:$G$8,2,FALSE),1)+IFERROR(VLOOKUP(A53,[1]Energiindhold!$A$2:$C$11,3,FALSE),0)*L53+IF(D53&lt;&gt;År1,Q53,0),0)</f>
        <v>#REF!</v>
      </c>
      <c r="S53" s="192" t="e">
        <f>IFERROR(VLOOKUP(A53,[1]Biogasudbytte!$A$2:$B$18,2,FALSE)*[1]Energiindhold!$C$10,0)*J53*IFERROR(VLOOKUP(A53,Biogasanlæg!$F$3:$G$8,2,FALSE),1)</f>
        <v>#REF!</v>
      </c>
      <c r="T53" s="193" t="e">
        <f t="shared" si="11"/>
        <v>#REF!</v>
      </c>
      <c r="U53" s="191" t="e">
        <f>O53*IFERROR(VLOOKUP(A53,[1]Tørstofindhold!A$2:B$24,2,FALSE),0)</f>
        <v>#REF!</v>
      </c>
      <c r="V53" s="192" t="e">
        <f>IF(D53=År1,P53,SUM(O53,P53))*IFERROR(VLOOKUP(A53,[1]Tørstofindhold!A$2:B$24,2,FALSE),0)</f>
        <v>#REF!</v>
      </c>
      <c r="W53" s="192" t="e">
        <f>J53*IFERROR(VLOOKUP(A53,[1]Tørstofindhold!A$2:B$24,2,FALSE),0)</f>
        <v>#REF!</v>
      </c>
      <c r="X53" s="193" t="e">
        <f t="shared" si="12"/>
        <v>#REF!</v>
      </c>
      <c r="Y53" s="171" t="e">
        <f t="shared" si="2"/>
        <v>#REF!</v>
      </c>
      <c r="Z53" s="103" t="e">
        <f t="shared" si="3"/>
        <v>#REF!</v>
      </c>
    </row>
    <row r="54" spans="1:26" x14ac:dyDescent="0.25">
      <c r="A54" s="194" t="str">
        <f t="shared" si="17"/>
        <v>Biogas</v>
      </c>
      <c r="B54" s="194" t="str">
        <f t="shared" si="18"/>
        <v/>
      </c>
      <c r="C54" s="194">
        <f>IF(COUNTIFS('Resultater - Danmark'!$D$3:$D$482,'Resultat-Produktion &amp; forbrug'!A54,'Resultater - Danmark'!$A$3:$A$482,"Til energi")+COUNTIFS('Resultater - Danmark'!$D$3:$D$482,'Resultat-Produktion &amp; forbrug'!A54,'Resultater - Danmark'!$A$3:$A$482,"Biogasanlæg")&gt;0,1,0)</f>
        <v>1</v>
      </c>
      <c r="D54" s="194">
        <f t="shared" si="19"/>
        <v>2030</v>
      </c>
      <c r="E54" s="192" t="s">
        <v>23</v>
      </c>
      <c r="F54" s="195">
        <f>IF(E54="Vestdanmark",SUMIFS(IF(D54=År1,'Resultater - Vestdanmark'!H$3:H$482,IF(D54=År2,'Resultater - Vestdanmark'!I$3:I$482,'Resultater - Vestdanmark'!J$3:J$482)),'Resultater - Vestdanmark'!$F$3:$F$482,$A54,IF(D54=År1,'Resultater - Vestdanmark'!H$3:H$482,IF(D54=År2,'Resultater - Vestdanmark'!I$3:I$482,'Resultater - Vestdanmark'!J$3:J$482)),"&gt;0"),SUMIFS(IF(D54=År1,'Resultater - Østdanmark'!H$3:H$482,IF(D54=År2,'Resultater - Østdanmark'!I$3:I$482,'Resultater - Østdanmark'!J$3:J$482)),'Resultater - Østdanmark'!$F$3:$F$482,$A54,IF(D54=År1,'Resultater - Østdanmark'!H$3:H$482,IF(D54=År2,'Resultater - Østdanmark'!I$3:I$482,'Resultater - Østdanmark'!J$3:J$482)),"&gt;0"))</f>
        <v>48345002.496000007</v>
      </c>
      <c r="G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92">
        <f>IF(E54="Vestdanmark",-IF(A54="Halm",SUMIFS(IF(D54=År1,'Resultater - Vestdanmark'!H$3:H$482,IF(D54=År2,'Resultater - Vestdanmark'!I$3:I$482,'Resultater - Vestdanmark'!J$3:J$482)),'Resultater - Vestdanmark'!$F$3:$F$482,$A54,'Resultater - Vestdanmark'!H$3:H$482,"&lt;0"),0),-IF(A54="Halm",SUMIFS(IF(D54=År1,'Resultater - Østdanmark'!H$3:H$482,IF(D54=År2,'Resultater - Østdanmark'!I$3:I$482,'Resultater - Østdanmark'!J$3:J$482)),'Resultater - Østdanmark'!$F$3:$F$482,$A54,'Resultater - Østdanmark'!H$3:H$482,"&lt;0"),0))</f>
        <v>0</v>
      </c>
      <c r="I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5">
        <f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48345002.496000007</v>
      </c>
      <c r="M54" s="157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204">
        <f t="shared" si="9"/>
        <v>0</v>
      </c>
      <c r="O54" s="195">
        <f t="shared" si="1"/>
        <v>0</v>
      </c>
      <c r="P54" s="205">
        <f t="shared" si="10"/>
        <v>48345002.496000007</v>
      </c>
      <c r="Q54" s="192">
        <f>IFERROR(VLOOKUP(A54,[1]Energiindhold!$A$2:$C$11,3,FALSE),IFERROR(VLOOKUP(A54,[1]Biogasudbytte!$A$2:$B$18,2,FALSE)*[1]Energiindhold!$C$10,0))*O54</f>
        <v>0</v>
      </c>
      <c r="R54" s="192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92">
        <f>IFERROR(VLOOKUP(A54,[1]Biogasudbytte!$A$2:$B$18,2,FALSE)*[1]Energiindhold!$C$10,0)*J54*IFERROR(VLOOKUP(A54,Biogasanlæg!$F$3:$G$8,2,FALSE),1)</f>
        <v>0</v>
      </c>
      <c r="T54" s="193">
        <f t="shared" si="11"/>
        <v>0</v>
      </c>
      <c r="U54" s="191">
        <f>O54*IFERROR(VLOOKUP(A54,[1]Tørstofindhold!A$2:B$24,2,FALSE),0)</f>
        <v>0</v>
      </c>
      <c r="V54" s="192">
        <f>IF(D54=År1,P54,SUM(O54,P54))*IFERROR(VLOOKUP(A54,[1]Tørstofindhold!A$2:B$24,2,FALSE),0)</f>
        <v>0</v>
      </c>
      <c r="W54" s="192">
        <f>J54*IFERROR(VLOOKUP(A54,[1]Tørstofindhold!A$2:B$24,2,FALSE),0)</f>
        <v>0</v>
      </c>
      <c r="X54" s="193">
        <f t="shared" si="12"/>
        <v>0</v>
      </c>
      <c r="Y54" s="171">
        <f t="shared" si="2"/>
        <v>0</v>
      </c>
      <c r="Z54" s="103">
        <f t="shared" si="3"/>
        <v>0</v>
      </c>
    </row>
    <row r="55" spans="1:26" x14ac:dyDescent="0.25">
      <c r="A55" s="194" t="str">
        <f t="shared" si="17"/>
        <v>Biogasgylle</v>
      </c>
      <c r="B55" s="194" t="str">
        <f t="shared" si="18"/>
        <v/>
      </c>
      <c r="C55" s="194">
        <f>IF(COUNTIFS('Resultater - Danmark'!$D$3:$D$482,'Resultat-Produktion &amp; forbrug'!A55,'Resultater - Danmark'!$A$3:$A$482,"Til energi")+COUNTIFS('Resultater - Danmark'!$D$3:$D$482,'Resultat-Produktion &amp; forbrug'!A55,'Resultater - Danmark'!$A$3:$A$482,"Biogasanlæg")&gt;0,1,0)</f>
        <v>0</v>
      </c>
      <c r="D55" s="194">
        <f t="shared" si="19"/>
        <v>2030</v>
      </c>
      <c r="E55" s="192" t="s">
        <v>23</v>
      </c>
      <c r="F55" s="195">
        <f>IF(E55="Vestdanmark",SUMIFS(IF(D55=År1,'Resultater - Vestdanmark'!H$3:H$482,IF(D55=År2,'Resultater - Vestdanmark'!I$3:I$482,'Resultater - Vestdanmark'!J$3:J$482)),'Resultater - Vestdanmark'!$F$3:$F$482,$A55,IF(D55=År1,'Resultater - Vestdanmark'!H$3:H$482,IF(D55=År2,'Resultater - Vestdanmark'!I$3:I$482,'Resultater - Vestdanmark'!J$3:J$482)),"&gt;0"),SUMIFS(IF(D55=År1,'Resultater - Østdanmark'!H$3:H$482,IF(D55=År2,'Resultater - Østdanmark'!I$3:I$482,'Resultater - Østdanmark'!J$3:J$482)),'Resultater - Østdanmark'!$F$3:$F$482,$A55,IF(D55=År1,'Resultater - Østdanmark'!H$3:H$482,IF(D55=År2,'Resultater - Østdanmark'!I$3:I$482,'Resultater - Østdanmark'!J$3:J$482)),"&gt;0"))</f>
        <v>0</v>
      </c>
      <c r="G55" s="195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92">
        <f>IF(E55="Vestdanmark",-IF(A55="Halm",SUMIFS(IF(D55=År1,'Resultater - Vestdanmark'!H$3:H$482,IF(D55=År2,'Resultater - Vestdanmark'!I$3:I$482,'Resultater - Vestdanmark'!J$3:J$482)),'Resultater - Vestdanmark'!$F$3:$F$482,$A55,'Resultater - Vestdanmark'!H$3:H$482,"&lt;0"),0),-IF(A55="Halm",SUMIFS(IF(D55=År1,'Resultater - Østdanmark'!H$3:H$482,IF(D55=År2,'Resultater - Østdanmark'!I$3:I$482,'Resultater - Østdanmark'!J$3:J$482)),'Resultater - Østdanmark'!$F$3:$F$482,$A55,'Resultater - Østdanmark'!H$3:H$482,"&lt;0"),0))</f>
        <v>0</v>
      </c>
      <c r="I55" s="195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5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5" t="e">
        <f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#REF!</v>
      </c>
      <c r="L55" s="195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7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204" t="e">
        <f t="shared" si="9"/>
        <v>#REF!</v>
      </c>
      <c r="O55" s="195">
        <f t="shared" si="1"/>
        <v>0</v>
      </c>
      <c r="P55" s="205">
        <f t="shared" si="10"/>
        <v>0</v>
      </c>
      <c r="Q55" s="192">
        <f>IFERROR(VLOOKUP(A55,[1]Energiindhold!$A$2:$C$11,3,FALSE),IFERROR(VLOOKUP(A55,[1]Biogasudbytte!$A$2:$B$18,2,FALSE)*[1]Energiindhold!$C$10,0))*O55</f>
        <v>0</v>
      </c>
      <c r="R55" s="192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92">
        <f>IFERROR(VLOOKUP(A55,[1]Biogasudbytte!$A$2:$B$18,2,FALSE)*[1]Energiindhold!$C$10,0)*J55*IFERROR(VLOOKUP(A55,Biogasanlæg!$F$3:$G$8,2,FALSE),1)</f>
        <v>0</v>
      </c>
      <c r="T55" s="193">
        <f t="shared" si="11"/>
        <v>0</v>
      </c>
      <c r="U55" s="191">
        <f>O55*IFERROR(VLOOKUP(A55,[1]Tørstofindhold!A$2:B$24,2,FALSE),0)</f>
        <v>0</v>
      </c>
      <c r="V55" s="192">
        <f>IF(D55=År1,P55,SUM(O55,P55))*IFERROR(VLOOKUP(A55,[1]Tørstofindhold!A$2:B$24,2,FALSE),0)</f>
        <v>0</v>
      </c>
      <c r="W55" s="192">
        <f>J55*IFERROR(VLOOKUP(A55,[1]Tørstofindhold!A$2:B$24,2,FALSE),0)</f>
        <v>0</v>
      </c>
      <c r="X55" s="193">
        <f t="shared" si="12"/>
        <v>0</v>
      </c>
      <c r="Y55" s="171" t="e">
        <f t="shared" si="2"/>
        <v>#REF!</v>
      </c>
      <c r="Z55" s="103" t="e">
        <f t="shared" si="3"/>
        <v>#REF!</v>
      </c>
    </row>
    <row r="56" spans="1:26" x14ac:dyDescent="0.25">
      <c r="A56" s="194" t="str">
        <f t="shared" si="17"/>
        <v>Brun saft</v>
      </c>
      <c r="B56" s="194" t="str">
        <f t="shared" si="18"/>
        <v>Bionedbrydeligt affald</v>
      </c>
      <c r="C56" s="194">
        <f>IF(COUNTIFS('Resultater - Danmark'!$D$3:$D$482,'Resultat-Produktion &amp; forbrug'!A56,'Resultater - Danmark'!$A$3:$A$482,"Til energi")+COUNTIFS('Resultater - Danmark'!$D$3:$D$482,'Resultat-Produktion &amp; forbrug'!A56,'Resultater - Danmark'!$A$3:$A$482,"Biogasanlæg")&gt;0,1,0)</f>
        <v>1</v>
      </c>
      <c r="D56" s="194">
        <f t="shared" si="19"/>
        <v>2030</v>
      </c>
      <c r="E56" s="192" t="s">
        <v>23</v>
      </c>
      <c r="F56" s="195">
        <f>IF(E56="Vestdanmark",SUMIFS(IF(D56=År1,'Resultater - Vestdanmark'!H$3:H$482,IF(D56=År2,'Resultater - Vestdanmark'!I$3:I$482,'Resultater - Vestdanmark'!J$3:J$482)),'Resultater - Vestdanmark'!$F$3:$F$482,$A56,IF(D56=År1,'Resultater - Vestdanmark'!H$3:H$482,IF(D56=År2,'Resultater - Vestdanmark'!I$3:I$482,'Resultater - Vestdanmark'!J$3:J$482)),"&gt;0"),SUMIFS(IF(D56=År1,'Resultater - Østdanmark'!H$3:H$482,IF(D56=År2,'Resultater - Østdanmark'!I$3:I$482,'Resultater - Østdanmark'!J$3:J$482)),'Resultater - Østdanmark'!$F$3:$F$482,$A56,IF(D56=År1,'Resultater - Østdanmark'!H$3:H$482,IF(D56=År2,'Resultater - Østdanmark'!I$3:I$482,'Resultater - Østdanmark'!J$3:J$482)),"&gt;0"))</f>
        <v>0</v>
      </c>
      <c r="G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92">
        <f>IF(E56="Vestdanmark",-IF(A56="Halm",SUMIFS(IF(D56=År1,'Resultater - Vestdanmark'!H$3:H$482,IF(D56=År2,'Resultater - Vestdanmark'!I$3:I$482,'Resultater - Vestdanmark'!J$3:J$482)),'Resultater - Vestdanmark'!$F$3:$F$482,$A56,'Resultater - Vestdanmark'!H$3:H$482,"&lt;0"),0),-IF(A56="Halm",SUMIFS(IF(D56=År1,'Resultater - Østdanmark'!H$3:H$482,IF(D56=År2,'Resultater - Østdanmark'!I$3:I$482,'Resultater - Østdanmark'!J$3:J$482)),'Resultater - Østdanmark'!$F$3:$F$482,$A56,'Resultater - Østdanmark'!H$3:H$482,"&lt;0"),0))</f>
        <v>0</v>
      </c>
      <c r="I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5" t="e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#REF!</v>
      </c>
      <c r="K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5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7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204" t="e">
        <f t="shared" si="9"/>
        <v>#REF!</v>
      </c>
      <c r="O56" s="195" t="e">
        <f t="shared" si="1"/>
        <v>#REF!</v>
      </c>
      <c r="P56" s="205" t="e">
        <f t="shared" si="10"/>
        <v>#REF!</v>
      </c>
      <c r="Q56" s="192" t="e">
        <f>IFERROR(VLOOKUP(A56,[1]Energiindhold!$A$2:$C$11,3,FALSE),IFERROR(VLOOKUP(A56,[1]Biogasudbytte!$A$2:$B$18,2,FALSE)*[1]Energiindhold!$C$10,0))*O56</f>
        <v>#REF!</v>
      </c>
      <c r="R56" s="192" t="e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#REF!</v>
      </c>
      <c r="S56" s="192" t="e">
        <f>IFERROR(VLOOKUP(A56,[1]Biogasudbytte!$A$2:$B$18,2,FALSE)*[1]Energiindhold!$C$10,0)*J56*IFERROR(VLOOKUP(A56,Biogasanlæg!$F$3:$G$8,2,FALSE),1)</f>
        <v>#REF!</v>
      </c>
      <c r="T56" s="193" t="e">
        <f t="shared" si="11"/>
        <v>#REF!</v>
      </c>
      <c r="U56" s="191" t="e">
        <f>O56*IFERROR(VLOOKUP(A56,[1]Tørstofindhold!A$2:B$24,2,FALSE),0)</f>
        <v>#REF!</v>
      </c>
      <c r="V56" s="192" t="e">
        <f>IF(D56=År1,P56,SUM(O56,P56))*IFERROR(VLOOKUP(A56,[1]Tørstofindhold!A$2:B$24,2,FALSE),0)</f>
        <v>#REF!</v>
      </c>
      <c r="W56" s="192" t="e">
        <f>J56*IFERROR(VLOOKUP(A56,[1]Tørstofindhold!A$2:B$24,2,FALSE),0)</f>
        <v>#REF!</v>
      </c>
      <c r="X56" s="193" t="e">
        <f t="shared" si="12"/>
        <v>#REF!</v>
      </c>
      <c r="Y56" s="171" t="e">
        <f t="shared" si="2"/>
        <v>#REF!</v>
      </c>
      <c r="Z56" s="103" t="e">
        <f t="shared" si="3"/>
        <v>#REF!</v>
      </c>
    </row>
    <row r="57" spans="1:26" x14ac:dyDescent="0.25">
      <c r="A57" s="194" t="str">
        <f t="shared" si="17"/>
        <v>Dybstrøelse</v>
      </c>
      <c r="B57" s="194" t="str">
        <f t="shared" si="18"/>
        <v>Husdyrgødning</v>
      </c>
      <c r="C57" s="194">
        <f>IF(COUNTIFS('Resultater - Danmark'!$D$3:$D$482,'Resultat-Produktion &amp; forbrug'!A57,'Resultater - Danmark'!$A$3:$A$482,"Til energi")+COUNTIFS('Resultater - Danmark'!$D$3:$D$482,'Resultat-Produktion &amp; forbrug'!A57,'Resultater - Danmark'!$A$3:$A$482,"Biogasanlæg")&gt;0,1,0)</f>
        <v>1</v>
      </c>
      <c r="D57" s="194">
        <f t="shared" si="19"/>
        <v>2030</v>
      </c>
      <c r="E57" s="192" t="s">
        <v>23</v>
      </c>
      <c r="F57" s="195">
        <f>IF(E57="Vestdanmark",SUMIFS(IF(D57=År1,'Resultater - Vestdanmark'!H$3:H$482,IF(D57=År2,'Resultater - Vestdanmark'!I$3:I$482,'Resultater - Vestdanmark'!J$3:J$482)),'Resultater - Vestdanmark'!$F$3:$F$482,$A57,IF(D57=År1,'Resultater - Vestdanmark'!H$3:H$482,IF(D57=År2,'Resultater - Vestdanmark'!I$3:I$482,'Resultater - Vestdanmark'!J$3:J$482)),"&gt;0"),SUMIFS(IF(D57=År1,'Resultater - Østdanmark'!H$3:H$482,IF(D57=År2,'Resultater - Østdanmark'!I$3:I$482,'Resultater - Østdanmark'!J$3:J$482)),'Resultater - Østdanmark'!$F$3:$F$482,$A57,IF(D57=År1,'Resultater - Østdanmark'!H$3:H$482,IF(D57=År2,'Resultater - Østdanmark'!I$3:I$482,'Resultater - Østdanmark'!J$3:J$482)),"&gt;0"))</f>
        <v>0</v>
      </c>
      <c r="G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92">
        <f>IF(E57="Vestdanmark",-IF(A57="Halm",SUMIFS(IF(D57=År1,'Resultater - Vestdanmark'!H$3:H$482,IF(D57=År2,'Resultater - Vestdanmark'!I$3:I$482,'Resultater - Vestdanmark'!J$3:J$482)),'Resultater - Vestdanmark'!$F$3:$F$482,$A57,'Resultater - Vestdanmark'!H$3:H$482,"&lt;0"),0),-IF(A57="Halm",SUMIFS(IF(D57=År1,'Resultater - Østdanmark'!H$3:H$482,IF(D57=År2,'Resultater - Østdanmark'!I$3:I$482,'Resultater - Østdanmark'!J$3:J$482)),'Resultater - Østdanmark'!$F$3:$F$482,$A57,'Resultater - Østdanmark'!H$3:H$482,"&lt;0"),0))</f>
        <v>0</v>
      </c>
      <c r="I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5" t="e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#REF!</v>
      </c>
      <c r="K57" s="195" t="e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#REF!</v>
      </c>
      <c r="L57" s="195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7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204" t="e">
        <f t="shared" si="9"/>
        <v>#REF!</v>
      </c>
      <c r="O57" s="195" t="e">
        <f t="shared" si="1"/>
        <v>#REF!</v>
      </c>
      <c r="P57" s="205" t="e">
        <f t="shared" si="10"/>
        <v>#REF!</v>
      </c>
      <c r="Q57" s="192" t="e">
        <f>IFERROR(VLOOKUP(A57,[1]Energiindhold!$A$2:$C$11,3,FALSE),IFERROR(VLOOKUP(A57,[1]Biogasudbytte!$A$2:$B$18,2,FALSE)*[1]Energiindhold!$C$10,0))*O57</f>
        <v>#REF!</v>
      </c>
      <c r="R57" s="192" t="e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#REF!</v>
      </c>
      <c r="S57" s="192" t="e">
        <f>IFERROR(VLOOKUP(A57,[1]Biogasudbytte!$A$2:$B$18,2,FALSE)*[1]Energiindhold!$C$10,0)*J57*IFERROR(VLOOKUP(A57,Biogasanlæg!$F$3:$G$8,2,FALSE),1)</f>
        <v>#REF!</v>
      </c>
      <c r="T57" s="193" t="e">
        <f t="shared" si="11"/>
        <v>#REF!</v>
      </c>
      <c r="U57" s="191" t="e">
        <f>O57*IFERROR(VLOOKUP(A57,[1]Tørstofindhold!A$2:B$24,2,FALSE),0)</f>
        <v>#REF!</v>
      </c>
      <c r="V57" s="192" t="e">
        <f>IF(D57=År1,P57,SUM(O57,P57))*IFERROR(VLOOKUP(A57,[1]Tørstofindhold!A$2:B$24,2,FALSE),0)</f>
        <v>#REF!</v>
      </c>
      <c r="W57" s="192" t="e">
        <f>J57*IFERROR(VLOOKUP(A57,[1]Tørstofindhold!A$2:B$24,2,FALSE),0)</f>
        <v>#REF!</v>
      </c>
      <c r="X57" s="193" t="e">
        <f t="shared" si="12"/>
        <v>#REF!</v>
      </c>
      <c r="Y57" s="171" t="e">
        <f t="shared" si="2"/>
        <v>#REF!</v>
      </c>
      <c r="Z57" s="103" t="e">
        <f t="shared" si="3"/>
        <v>#REF!</v>
      </c>
    </row>
    <row r="58" spans="1:26" x14ac:dyDescent="0.25">
      <c r="A58" s="194" t="str">
        <f t="shared" si="17"/>
        <v>Fiberfraktion</v>
      </c>
      <c r="B58" s="194" t="str">
        <f t="shared" si="18"/>
        <v/>
      </c>
      <c r="C58" s="194">
        <f>IF(COUNTIFS('Resultater - Danmark'!$D$3:$D$482,'Resultat-Produktion &amp; forbrug'!A58,'Resultater - Danmark'!$A$3:$A$482,"Til energi")+COUNTIFS('Resultater - Danmark'!$D$3:$D$482,'Resultat-Produktion &amp; forbrug'!A58,'Resultater - Danmark'!$A$3:$A$482,"Biogasanlæg")&gt;0,1,0)</f>
        <v>0</v>
      </c>
      <c r="D58" s="194">
        <f t="shared" si="19"/>
        <v>2030</v>
      </c>
      <c r="E58" s="192" t="s">
        <v>23</v>
      </c>
      <c r="F58" s="195">
        <f>IF(E58="Vestdanmark",SUMIFS(IF(D58=År1,'Resultater - Vestdanmark'!H$3:H$482,IF(D58=År2,'Resultater - Vestdanmark'!I$3:I$482,'Resultater - Vestdanmark'!J$3:J$482)),'Resultater - Vestdanmark'!$F$3:$F$482,$A58,IF(D58=År1,'Resultater - Vestdanmark'!H$3:H$482,IF(D58=År2,'Resultater - Vestdanmark'!I$3:I$482,'Resultater - Vestdanmark'!J$3:J$482)),"&gt;0"),SUMIFS(IF(D58=År1,'Resultater - Østdanmark'!H$3:H$482,IF(D58=År2,'Resultater - Østdanmark'!I$3:I$482,'Resultater - Østdanmark'!J$3:J$482)),'Resultater - Østdanmark'!$F$3:$F$482,$A58,IF(D58=År1,'Resultater - Østdanmark'!H$3:H$482,IF(D58=År2,'Resultater - Østdanmark'!I$3:I$482,'Resultater - Østdanmark'!J$3:J$482)),"&gt;0"))</f>
        <v>0</v>
      </c>
      <c r="G58" s="195" t="e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#REF!</v>
      </c>
      <c r="H58" s="192">
        <f>IF(E58="Vestdanmark",-IF(A58="Halm",SUMIFS(IF(D58=År1,'Resultater - Vestdanmark'!H$3:H$482,IF(D58=År2,'Resultater - Vestdanmark'!I$3:I$482,'Resultater - Vestdanmark'!J$3:J$482)),'Resultater - Vestdanmark'!$F$3:$F$482,$A58,'Resultater - Vestdanmark'!H$3:H$482,"&lt;0"),0),-IF(A58="Halm",SUMIFS(IF(D58=År1,'Resultater - Østdanmark'!H$3:H$482,IF(D58=År2,'Resultater - Østdanmark'!I$3:I$482,'Resultater - Østdanmark'!J$3:J$482)),'Resultater - Østdanmark'!$F$3:$F$482,$A58,'Resultater - Østdanmark'!H$3:H$482,"&lt;0"),0))</f>
        <v>0</v>
      </c>
      <c r="I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5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7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204" t="e">
        <f t="shared" si="9"/>
        <v>#REF!</v>
      </c>
      <c r="O58" s="195">
        <f t="shared" si="1"/>
        <v>0</v>
      </c>
      <c r="P58" s="205">
        <f t="shared" si="10"/>
        <v>0</v>
      </c>
      <c r="Q58" s="192">
        <f>IFERROR(VLOOKUP(A58,[1]Energiindhold!$A$2:$C$11,3,FALSE),IFERROR(VLOOKUP(A58,[1]Biogasudbytte!$A$2:$B$18,2,FALSE)*[1]Energiindhold!$C$10,0))*O58</f>
        <v>0</v>
      </c>
      <c r="R58" s="192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92">
        <f>IFERROR(VLOOKUP(A58,[1]Biogasudbytte!$A$2:$B$18,2,FALSE)*[1]Energiindhold!$C$10,0)*J58*IFERROR(VLOOKUP(A58,Biogasanlæg!$F$3:$G$8,2,FALSE),1)</f>
        <v>0</v>
      </c>
      <c r="T58" s="193">
        <f t="shared" si="11"/>
        <v>0</v>
      </c>
      <c r="U58" s="191">
        <f>O58*IFERROR(VLOOKUP(A58,[1]Tørstofindhold!A$2:B$24,2,FALSE),0)</f>
        <v>0</v>
      </c>
      <c r="V58" s="192">
        <f>IF(D58=År1,P58,SUM(O58,P58))*IFERROR(VLOOKUP(A58,[1]Tørstofindhold!A$2:B$24,2,FALSE),0)</f>
        <v>0</v>
      </c>
      <c r="W58" s="192">
        <f>J58*IFERROR(VLOOKUP(A58,[1]Tørstofindhold!A$2:B$24,2,FALSE),0)</f>
        <v>0</v>
      </c>
      <c r="X58" s="193">
        <f t="shared" si="12"/>
        <v>0</v>
      </c>
      <c r="Y58" s="171" t="e">
        <f t="shared" si="2"/>
        <v>#REF!</v>
      </c>
      <c r="Z58" s="103" t="e">
        <f t="shared" si="3"/>
        <v>#REF!</v>
      </c>
    </row>
    <row r="59" spans="1:26" x14ac:dyDescent="0.25">
      <c r="A59" s="194" t="str">
        <f t="shared" si="17"/>
        <v>Fjerkrægylle</v>
      </c>
      <c r="B59" s="194" t="str">
        <f t="shared" si="18"/>
        <v>Husdyrgødning</v>
      </c>
      <c r="C59" s="194">
        <f>IF(COUNTIFS('Resultater - Danmark'!$D$3:$D$482,'Resultat-Produktion &amp; forbrug'!A59,'Resultater - Danmark'!$A$3:$A$482,"Til energi")+COUNTIFS('Resultater - Danmark'!$D$3:$D$482,'Resultat-Produktion &amp; forbrug'!A59,'Resultater - Danmark'!$A$3:$A$482,"Biogasanlæg")&gt;0,1,0)</f>
        <v>1</v>
      </c>
      <c r="D59" s="194">
        <f t="shared" si="19"/>
        <v>2030</v>
      </c>
      <c r="E59" s="192" t="s">
        <v>23</v>
      </c>
      <c r="F59" s="195">
        <f>IF(E59="Vestdanmark",SUMIFS(IF(D59=År1,'Resultater - Vestdanmark'!H$3:H$482,IF(D59=År2,'Resultater - Vestdanmark'!I$3:I$482,'Resultater - Vestdanmark'!J$3:J$482)),'Resultater - Vestdanmark'!$F$3:$F$482,$A59,IF(D59=År1,'Resultater - Vestdanmark'!H$3:H$482,IF(D59=År2,'Resultater - Vestdanmark'!I$3:I$482,'Resultater - Vestdanmark'!J$3:J$482)),"&gt;0"),SUMIFS(IF(D59=År1,'Resultater - Østdanmark'!H$3:H$482,IF(D59=År2,'Resultater - Østdanmark'!I$3:I$482,'Resultater - Østdanmark'!J$3:J$482)),'Resultater - Østdanmark'!$F$3:$F$482,$A59,IF(D59=År1,'Resultater - Østdanmark'!H$3:H$482,IF(D59=År2,'Resultater - Østdanmark'!I$3:I$482,'Resultater - Østdanmark'!J$3:J$482)),"&gt;0"))</f>
        <v>0</v>
      </c>
      <c r="G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92">
        <f>IF(E59="Vestdanmark",-IF(A59="Halm",SUMIFS(IF(D59=År1,'Resultater - Vestdanmark'!H$3:H$482,IF(D59=År2,'Resultater - Vestdanmark'!I$3:I$482,'Resultater - Vestdanmark'!J$3:J$482)),'Resultater - Vestdanmark'!$F$3:$F$482,$A59,'Resultater - Vestdanmark'!H$3:H$482,"&lt;0"),0),-IF(A59="Halm",SUMIFS(IF(D59=År1,'Resultater - Østdanmark'!H$3:H$482,IF(D59=År2,'Resultater - Østdanmark'!I$3:I$482,'Resultater - Østdanmark'!J$3:J$482)),'Resultater - Østdanmark'!$F$3:$F$482,$A59,'Resultater - Østdanmark'!H$3:H$482,"&lt;0"),0))</f>
        <v>0</v>
      </c>
      <c r="I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5" t="e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#REF!</v>
      </c>
      <c r="K59" s="195" t="e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#REF!</v>
      </c>
      <c r="L59" s="195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7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204" t="e">
        <f t="shared" si="9"/>
        <v>#REF!</v>
      </c>
      <c r="O59" s="195" t="e">
        <f t="shared" si="1"/>
        <v>#REF!</v>
      </c>
      <c r="P59" s="205" t="e">
        <f t="shared" si="10"/>
        <v>#REF!</v>
      </c>
      <c r="Q59" s="192" t="e">
        <f>IFERROR(VLOOKUP(A59,[1]Energiindhold!$A$2:$C$11,3,FALSE),IFERROR(VLOOKUP(A59,[1]Biogasudbytte!$A$2:$B$18,2,FALSE)*[1]Energiindhold!$C$10,0))*O59</f>
        <v>#REF!</v>
      </c>
      <c r="R59" s="192" t="e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#REF!</v>
      </c>
      <c r="S59" s="192" t="e">
        <f>IFERROR(VLOOKUP(A59,[1]Biogasudbytte!$A$2:$B$18,2,FALSE)*[1]Energiindhold!$C$10,0)*J59*IFERROR(VLOOKUP(A59,Biogasanlæg!$F$3:$G$8,2,FALSE),1)</f>
        <v>#REF!</v>
      </c>
      <c r="T59" s="193" t="e">
        <f t="shared" si="11"/>
        <v>#REF!</v>
      </c>
      <c r="U59" s="191" t="e">
        <f>O59*IFERROR(VLOOKUP(A59,[1]Tørstofindhold!A$2:B$24,2,FALSE),0)</f>
        <v>#REF!</v>
      </c>
      <c r="V59" s="192" t="e">
        <f>IF(D59=År1,P59,SUM(O59,P59))*IFERROR(VLOOKUP(A59,[1]Tørstofindhold!A$2:B$24,2,FALSE),0)</f>
        <v>#REF!</v>
      </c>
      <c r="W59" s="192" t="e">
        <f>J59*IFERROR(VLOOKUP(A59,[1]Tørstofindhold!A$2:B$24,2,FALSE),0)</f>
        <v>#REF!</v>
      </c>
      <c r="X59" s="193" t="e">
        <f t="shared" si="12"/>
        <v>#REF!</v>
      </c>
      <c r="Y59" s="171" t="e">
        <f t="shared" si="2"/>
        <v>#REF!</v>
      </c>
      <c r="Z59" s="103" t="e">
        <f t="shared" si="3"/>
        <v>#REF!</v>
      </c>
    </row>
    <row r="60" spans="1:26" x14ac:dyDescent="0.25">
      <c r="A60" s="194" t="str">
        <f t="shared" si="17"/>
        <v>Fjerkrækød</v>
      </c>
      <c r="B60" s="194" t="str">
        <f t="shared" si="18"/>
        <v/>
      </c>
      <c r="C60" s="194">
        <f>IF(COUNTIFS('Resultater - Danmark'!$D$3:$D$482,'Resultat-Produktion &amp; forbrug'!A60,'Resultater - Danmark'!$A$3:$A$482,"Til energi")+COUNTIFS('Resultater - Danmark'!$D$3:$D$482,'Resultat-Produktion &amp; forbrug'!A60,'Resultater - Danmark'!$A$3:$A$482,"Biogasanlæg")&gt;0,1,0)</f>
        <v>0</v>
      </c>
      <c r="D60" s="194">
        <f t="shared" si="19"/>
        <v>2030</v>
      </c>
      <c r="E60" s="192" t="s">
        <v>23</v>
      </c>
      <c r="F60" s="195">
        <f>IF(E60="Vestdanmark",SUMIFS(IF(D60=År1,'Resultater - Vestdanmark'!H$3:H$482,IF(D60=År2,'Resultater - Vestdanmark'!I$3:I$482,'Resultater - Vestdanmark'!J$3:J$482)),'Resultater - Vestdanmark'!$F$3:$F$482,$A60,IF(D60=År1,'Resultater - Vestdanmark'!H$3:H$482,IF(D60=År2,'Resultater - Vestdanmark'!I$3:I$482,'Resultater - Vestdanmark'!J$3:J$482)),"&gt;0"),SUMIFS(IF(D60=År1,'Resultater - Østdanmark'!H$3:H$482,IF(D60=År2,'Resultater - Østdanmark'!I$3:I$482,'Resultater - Østdanmark'!J$3:J$482)),'Resultater - Østdanmark'!$F$3:$F$482,$A60,IF(D60=År1,'Resultater - Østdanmark'!H$3:H$482,IF(D60=År2,'Resultater - Østdanmark'!I$3:I$482,'Resultater - Østdanmark'!J$3:J$482)),"&gt;0"))</f>
        <v>0</v>
      </c>
      <c r="G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92">
        <f>IF(E60="Vestdanmark",-IF(A60="Halm",SUMIFS(IF(D60=År1,'Resultater - Vestdanmark'!H$3:H$482,IF(D60=År2,'Resultater - Vestdanmark'!I$3:I$482,'Resultater - Vestdanmark'!J$3:J$482)),'Resultater - Vestdanmark'!$F$3:$F$482,$A60,'Resultater - Vestdanmark'!H$3:H$482,"&lt;0"),0),-IF(A60="Halm",SUMIFS(IF(D60=År1,'Resultater - Østdanmark'!H$3:H$482,IF(D60=År2,'Resultater - Østdanmark'!I$3:I$482,'Resultater - Østdanmark'!J$3:J$482)),'Resultater - Østdanmark'!$F$3:$F$482,$A60,'Resultater - Østdanmark'!H$3:H$482,"&lt;0"),0))</f>
        <v>0</v>
      </c>
      <c r="I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5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7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204">
        <f t="shared" si="9"/>
        <v>-35294.766599083188</v>
      </c>
      <c r="O60" s="195">
        <f t="shared" si="1"/>
        <v>0</v>
      </c>
      <c r="P60" s="205">
        <f t="shared" si="10"/>
        <v>0</v>
      </c>
      <c r="Q60" s="192">
        <f>IFERROR(VLOOKUP(A60,[1]Energiindhold!$A$2:$C$11,3,FALSE),IFERROR(VLOOKUP(A60,[1]Biogasudbytte!$A$2:$B$18,2,FALSE)*[1]Energiindhold!$C$10,0))*O60</f>
        <v>0</v>
      </c>
      <c r="R60" s="192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92">
        <f>IFERROR(VLOOKUP(A60,[1]Biogasudbytte!$A$2:$B$18,2,FALSE)*[1]Energiindhold!$C$10,0)*J60*IFERROR(VLOOKUP(A60,Biogasanlæg!$F$3:$G$8,2,FALSE),1)</f>
        <v>0</v>
      </c>
      <c r="T60" s="193">
        <f t="shared" si="11"/>
        <v>0</v>
      </c>
      <c r="U60" s="191">
        <f>O60*IFERROR(VLOOKUP(A60,[1]Tørstofindhold!A$2:B$24,2,FALSE),0)</f>
        <v>0</v>
      </c>
      <c r="V60" s="192">
        <f>IF(D60=År1,P60,SUM(O60,P60))*IFERROR(VLOOKUP(A60,[1]Tørstofindhold!A$2:B$24,2,FALSE),0)</f>
        <v>0</v>
      </c>
      <c r="W60" s="192">
        <f>J60*IFERROR(VLOOKUP(A60,[1]Tørstofindhold!A$2:B$24,2,FALSE),0)</f>
        <v>0</v>
      </c>
      <c r="X60" s="193">
        <f t="shared" si="12"/>
        <v>0</v>
      </c>
      <c r="Y60" s="171">
        <f t="shared" si="2"/>
        <v>1</v>
      </c>
      <c r="Z60" s="103">
        <f t="shared" si="3"/>
        <v>0</v>
      </c>
    </row>
    <row r="61" spans="1:26" x14ac:dyDescent="0.25">
      <c r="A61" s="194" t="str">
        <f t="shared" si="17"/>
        <v>Frø</v>
      </c>
      <c r="B61" s="194" t="str">
        <f t="shared" si="18"/>
        <v/>
      </c>
      <c r="C61" s="194">
        <f>IF(COUNTIFS('Resultater - Danmark'!$D$3:$D$482,'Resultat-Produktion &amp; forbrug'!A61,'Resultater - Danmark'!$A$3:$A$482,"Til energi")+COUNTIFS('Resultater - Danmark'!$D$3:$D$482,'Resultat-Produktion &amp; forbrug'!A61,'Resultater - Danmark'!$A$3:$A$482,"Biogasanlæg")&gt;0,1,0)</f>
        <v>0</v>
      </c>
      <c r="D61" s="194">
        <f t="shared" si="19"/>
        <v>2030</v>
      </c>
      <c r="E61" s="192" t="s">
        <v>23</v>
      </c>
      <c r="F61" s="195">
        <f>IF(E61="Vestdanmark",SUMIFS(IF(D61=År1,'Resultater - Vestdanmark'!H$3:H$482,IF(D61=År2,'Resultater - Vestdanmark'!I$3:I$482,'Resultater - Vestdanmark'!J$3:J$482)),'Resultater - Vestdanmark'!$F$3:$F$482,$A61,IF(D61=År1,'Resultater - Vestdanmark'!H$3:H$482,IF(D61=År2,'Resultater - Vestdanmark'!I$3:I$482,'Resultater - Vestdanmark'!J$3:J$482)),"&gt;0"),SUMIFS(IF(D61=År1,'Resultater - Østdanmark'!H$3:H$482,IF(D61=År2,'Resultater - Østdanmark'!I$3:I$482,'Resultater - Østdanmark'!J$3:J$482)),'Resultater - Østdanmark'!$F$3:$F$482,$A61,IF(D61=År1,'Resultater - Østdanmark'!H$3:H$482,IF(D61=År2,'Resultater - Østdanmark'!I$3:I$482,'Resultater - Østdanmark'!J$3:J$482)),"&gt;0"))</f>
        <v>0</v>
      </c>
      <c r="G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92">
        <f>IF(E61="Vestdanmark",-IF(A61="Halm",SUMIFS(IF(D61=År1,'Resultater - Vestdanmark'!H$3:H$482,IF(D61=År2,'Resultater - Vestdanmark'!I$3:I$482,'Resultater - Vestdanmark'!J$3:J$482)),'Resultater - Vestdanmark'!$F$3:$F$482,$A61,'Resultater - Vestdanmark'!H$3:H$482,"&lt;0"),0),-IF(A61="Halm",SUMIFS(IF(D61=År1,'Resultater - Østdanmark'!H$3:H$482,IF(D61=År2,'Resultater - Østdanmark'!I$3:I$482,'Resultater - Østdanmark'!J$3:J$482)),'Resultater - Østdanmark'!$F$3:$F$482,$A61,'Resultater - Østdanmark'!H$3:H$482,"&lt;0"),0))</f>
        <v>0</v>
      </c>
      <c r="I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5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7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204">
        <f t="shared" si="9"/>
        <v>0</v>
      </c>
      <c r="O61" s="195">
        <f t="shared" si="1"/>
        <v>0</v>
      </c>
      <c r="P61" s="205">
        <f t="shared" si="10"/>
        <v>0</v>
      </c>
      <c r="Q61" s="192">
        <f>IFERROR(VLOOKUP(A61,[1]Energiindhold!$A$2:$C$11,3,FALSE),IFERROR(VLOOKUP(A61,[1]Biogasudbytte!$A$2:$B$18,2,FALSE)*[1]Energiindhold!$C$10,0))*O61</f>
        <v>0</v>
      </c>
      <c r="R61" s="192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92">
        <f>IFERROR(VLOOKUP(A61,[1]Biogasudbytte!$A$2:$B$18,2,FALSE)*[1]Energiindhold!$C$10,0)*J61*IFERROR(VLOOKUP(A61,Biogasanlæg!$F$3:$G$8,2,FALSE),1)</f>
        <v>0</v>
      </c>
      <c r="T61" s="193">
        <f t="shared" si="11"/>
        <v>0</v>
      </c>
      <c r="U61" s="191">
        <f>O61*IFERROR(VLOOKUP(A61,[1]Tørstofindhold!A$2:B$24,2,FALSE),0)</f>
        <v>0</v>
      </c>
      <c r="V61" s="192">
        <f>IF(D61=År1,P61,SUM(O61,P61))*IFERROR(VLOOKUP(A61,[1]Tørstofindhold!A$2:B$24,2,FALSE),0)</f>
        <v>0</v>
      </c>
      <c r="W61" s="192">
        <f>J61*IFERROR(VLOOKUP(A61,[1]Tørstofindhold!A$2:B$24,2,FALSE),0)</f>
        <v>0</v>
      </c>
      <c r="X61" s="193">
        <f t="shared" si="12"/>
        <v>0</v>
      </c>
      <c r="Y61" s="171">
        <f t="shared" si="2"/>
        <v>0</v>
      </c>
      <c r="Z61" s="103">
        <f t="shared" si="3"/>
        <v>0</v>
      </c>
    </row>
    <row r="62" spans="1:26" x14ac:dyDescent="0.25">
      <c r="A62" s="194" t="str">
        <f t="shared" si="17"/>
        <v>Frugt</v>
      </c>
      <c r="B62" s="194" t="str">
        <f t="shared" si="18"/>
        <v/>
      </c>
      <c r="C62" s="194">
        <f>IF(COUNTIFS('Resultater - Danmark'!$D$3:$D$482,'Resultat-Produktion &amp; forbrug'!A62,'Resultater - Danmark'!$A$3:$A$482,"Til energi")+COUNTIFS('Resultater - Danmark'!$D$3:$D$482,'Resultat-Produktion &amp; forbrug'!A62,'Resultater - Danmark'!$A$3:$A$482,"Biogasanlæg")&gt;0,1,0)</f>
        <v>0</v>
      </c>
      <c r="D62" s="194">
        <f t="shared" si="19"/>
        <v>2030</v>
      </c>
      <c r="E62" s="192" t="s">
        <v>23</v>
      </c>
      <c r="F62" s="195">
        <f>IF(E62="Vestdanmark",SUMIFS(IF(D62=År1,'Resultater - Vestdanmark'!H$3:H$482,IF(D62=År2,'Resultater - Vestdanmark'!I$3:I$482,'Resultater - Vestdanmark'!J$3:J$482)),'Resultater - Vestdanmark'!$F$3:$F$482,$A62,IF(D62=År1,'Resultater - Vestdanmark'!H$3:H$482,IF(D62=År2,'Resultater - Vestdanmark'!I$3:I$482,'Resultater - Vestdanmark'!J$3:J$482)),"&gt;0"),SUMIFS(IF(D62=År1,'Resultater - Østdanmark'!H$3:H$482,IF(D62=År2,'Resultater - Østdanmark'!I$3:I$482,'Resultater - Østdanmark'!J$3:J$482)),'Resultater - Østdanmark'!$F$3:$F$482,$A62,IF(D62=År1,'Resultater - Østdanmark'!H$3:H$482,IF(D62=År2,'Resultater - Østdanmark'!I$3:I$482,'Resultater - Østdanmark'!J$3:J$482)),"&gt;0"))</f>
        <v>0</v>
      </c>
      <c r="G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92">
        <f>IF(E62="Vestdanmark",-IF(A62="Halm",SUMIFS(IF(D62=År1,'Resultater - Vestdanmark'!H$3:H$482,IF(D62=År2,'Resultater - Vestdanmark'!I$3:I$482,'Resultater - Vestdanmark'!J$3:J$482)),'Resultater - Vestdanmark'!$F$3:$F$482,$A62,'Resultater - Vestdanmark'!H$3:H$482,"&lt;0"),0),-IF(A62="Halm",SUMIFS(IF(D62=År1,'Resultater - Østdanmark'!H$3:H$482,IF(D62=År2,'Resultater - Østdanmark'!I$3:I$482,'Resultater - Østdanmark'!J$3:J$482)),'Resultater - Østdanmark'!$F$3:$F$482,$A62,'Resultater - Østdanmark'!H$3:H$482,"&lt;0"),0))</f>
        <v>0</v>
      </c>
      <c r="I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5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7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204">
        <f t="shared" si="9"/>
        <v>-257923.29437791562</v>
      </c>
      <c r="O62" s="195">
        <f t="shared" si="1"/>
        <v>0</v>
      </c>
      <c r="P62" s="205">
        <f t="shared" si="10"/>
        <v>0</v>
      </c>
      <c r="Q62" s="192">
        <f>IFERROR(VLOOKUP(A62,[1]Energiindhold!$A$2:$C$11,3,FALSE),IFERROR(VLOOKUP(A62,[1]Biogasudbytte!$A$2:$B$18,2,FALSE)*[1]Energiindhold!$C$10,0))*O62</f>
        <v>0</v>
      </c>
      <c r="R62" s="192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92">
        <f>IFERROR(VLOOKUP(A62,[1]Biogasudbytte!$A$2:$B$18,2,FALSE)*[1]Energiindhold!$C$10,0)*J62*IFERROR(VLOOKUP(A62,Biogasanlæg!$F$3:$G$8,2,FALSE),1)</f>
        <v>0</v>
      </c>
      <c r="T62" s="193">
        <f t="shared" si="11"/>
        <v>0</v>
      </c>
      <c r="U62" s="191">
        <f>O62*IFERROR(VLOOKUP(A62,[1]Tørstofindhold!A$2:B$24,2,FALSE),0)</f>
        <v>0</v>
      </c>
      <c r="V62" s="192">
        <f>IF(D62=År1,P62,SUM(O62,P62))*IFERROR(VLOOKUP(A62,[1]Tørstofindhold!A$2:B$24,2,FALSE),0)</f>
        <v>0</v>
      </c>
      <c r="W62" s="192">
        <f>J62*IFERROR(VLOOKUP(A62,[1]Tørstofindhold!A$2:B$24,2,FALSE),0)</f>
        <v>0</v>
      </c>
      <c r="X62" s="193">
        <f t="shared" si="12"/>
        <v>0</v>
      </c>
      <c r="Y62" s="171">
        <f t="shared" si="2"/>
        <v>1</v>
      </c>
      <c r="Z62" s="103">
        <f t="shared" si="3"/>
        <v>0</v>
      </c>
    </row>
    <row r="63" spans="1:26" x14ac:dyDescent="0.25">
      <c r="A63" s="194" t="str">
        <f t="shared" si="17"/>
        <v>Glycerin</v>
      </c>
      <c r="B63" s="194" t="str">
        <f t="shared" si="18"/>
        <v>Glycerin</v>
      </c>
      <c r="C63" s="194">
        <f>IF(COUNTIFS('Resultater - Danmark'!$D$3:$D$482,'Resultat-Produktion &amp; forbrug'!A63,'Resultater - Danmark'!$A$3:$A$482,"Til energi")+COUNTIFS('Resultater - Danmark'!$D$3:$D$482,'Resultat-Produktion &amp; forbrug'!A63,'Resultater - Danmark'!$A$3:$A$482,"Biogasanlæg")&gt;0,1,0)</f>
        <v>1</v>
      </c>
      <c r="D63" s="194">
        <f t="shared" si="19"/>
        <v>2030</v>
      </c>
      <c r="E63" s="192" t="s">
        <v>23</v>
      </c>
      <c r="F63" s="195">
        <f>IF(E63="Vestdanmark",SUMIFS(IF(D63=År1,'Resultater - Vestdanmark'!H$3:H$482,IF(D63=År2,'Resultater - Vestdanmark'!I$3:I$482,'Resultater - Vestdanmark'!J$3:J$482)),'Resultater - Vestdanmark'!$F$3:$F$482,$A63,IF(D63=År1,'Resultater - Vestdanmark'!H$3:H$482,IF(D63=År2,'Resultater - Vestdanmark'!I$3:I$482,'Resultater - Vestdanmark'!J$3:J$482)),"&gt;0"),SUMIFS(IF(D63=År1,'Resultater - Østdanmark'!H$3:H$482,IF(D63=År2,'Resultater - Østdanmark'!I$3:I$482,'Resultater - Østdanmark'!J$3:J$482)),'Resultater - Østdanmark'!$F$3:$F$482,$A63,IF(D63=År1,'Resultater - Østdanmark'!H$3:H$482,IF(D63=År2,'Resultater - Østdanmark'!I$3:I$482,'Resultater - Østdanmark'!J$3:J$482)),"&gt;0"))</f>
        <v>0</v>
      </c>
      <c r="G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92">
        <f>IF(E63="Vestdanmark",-IF(A63="Halm",SUMIFS(IF(D63=År1,'Resultater - Vestdanmark'!H$3:H$482,IF(D63=År2,'Resultater - Vestdanmark'!I$3:I$482,'Resultater - Vestdanmark'!J$3:J$482)),'Resultater - Vestdanmark'!$F$3:$F$482,$A63,'Resultater - Vestdanmark'!H$3:H$482,"&lt;0"),0),-IF(A63="Halm",SUMIFS(IF(D63=År1,'Resultater - Østdanmark'!H$3:H$482,IF(D63=År2,'Resultater - Østdanmark'!I$3:I$482,'Resultater - Østdanmark'!J$3:J$482)),'Resultater - Østdanmark'!$F$3:$F$482,$A63,'Resultater - Østdanmark'!H$3:H$482,"&lt;0"),0))</f>
        <v>0</v>
      </c>
      <c r="I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5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7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204">
        <f t="shared" si="9"/>
        <v>-114193.60000000001</v>
      </c>
      <c r="O63" s="195">
        <f t="shared" si="1"/>
        <v>0</v>
      </c>
      <c r="P63" s="205">
        <f t="shared" si="10"/>
        <v>114193.60000000001</v>
      </c>
      <c r="Q63" s="192">
        <f>IFERROR(VLOOKUP(A63,[1]Energiindhold!$A$2:$C$11,3,FALSE),IFERROR(VLOOKUP(A63,[1]Biogasudbytte!$A$2:$B$18,2,FALSE)*[1]Energiindhold!$C$10,0))*O63</f>
        <v>0</v>
      </c>
      <c r="R63" s="192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92">
        <f>IFERROR(VLOOKUP(A63,[1]Biogasudbytte!$A$2:$B$18,2,FALSE)*[1]Energiindhold!$C$10,0)*J63*IFERROR(VLOOKUP(A63,Biogasanlæg!$F$3:$G$8,2,FALSE),1)</f>
        <v>1.7355855896064003</v>
      </c>
      <c r="T63" s="193">
        <f t="shared" si="11"/>
        <v>0</v>
      </c>
      <c r="U63" s="191">
        <f>O63*IFERROR(VLOOKUP(A63,[1]Tørstofindhold!A$2:B$24,2,FALSE),0)</f>
        <v>0</v>
      </c>
      <c r="V63" s="192">
        <f>IF(D63=År1,P63,SUM(O63,P63))*IFERROR(VLOOKUP(A63,[1]Tørstofindhold!A$2:B$24,2,FALSE),0)</f>
        <v>102774.24</v>
      </c>
      <c r="W63" s="192">
        <f>J63*IFERROR(VLOOKUP(A63,[1]Tørstofindhold!A$2:B$24,2,FALSE),0)</f>
        <v>102774.24</v>
      </c>
      <c r="X63" s="193">
        <f t="shared" si="12"/>
        <v>0</v>
      </c>
      <c r="Y63" s="171">
        <f t="shared" si="2"/>
        <v>1</v>
      </c>
      <c r="Z63" s="103">
        <f t="shared" si="3"/>
        <v>0</v>
      </c>
    </row>
    <row r="64" spans="1:26" x14ac:dyDescent="0.25">
      <c r="A64" s="194" t="str">
        <f t="shared" si="17"/>
        <v>Græs</v>
      </c>
      <c r="B64" s="194" t="str">
        <f t="shared" si="18"/>
        <v>Græs og urter</v>
      </c>
      <c r="C64" s="194">
        <f>IF(COUNTIFS('Resultater - Danmark'!$D$3:$D$482,'Resultat-Produktion &amp; forbrug'!A64,'Resultater - Danmark'!$A$3:$A$482,"Til energi")+COUNTIFS('Resultater - Danmark'!$D$3:$D$482,'Resultat-Produktion &amp; forbrug'!A64,'Resultater - Danmark'!$A$3:$A$482,"Biogasanlæg")&gt;0,1,0)</f>
        <v>1</v>
      </c>
      <c r="D64" s="194">
        <f t="shared" si="19"/>
        <v>2030</v>
      </c>
      <c r="E64" s="192" t="s">
        <v>23</v>
      </c>
      <c r="F64" s="195">
        <f>IF(E64="Vestdanmark",SUMIFS(IF(D64=År1,'Resultater - Vestdanmark'!H$3:H$482,IF(D64=År2,'Resultater - Vestdanmark'!I$3:I$482,'Resultater - Vestdanmark'!J$3:J$482)),'Resultater - Vestdanmark'!$F$3:$F$482,$A64,IF(D64=År1,'Resultater - Vestdanmark'!H$3:H$482,IF(D64=År2,'Resultater - Vestdanmark'!I$3:I$482,'Resultater - Vestdanmark'!J$3:J$482)),"&gt;0"),SUMIFS(IF(D64=År1,'Resultater - Østdanmark'!H$3:H$482,IF(D64=År2,'Resultater - Østdanmark'!I$3:I$482,'Resultater - Østdanmark'!J$3:J$482)),'Resultater - Østdanmark'!$F$3:$F$482,$A64,IF(D64=År1,'Resultater - Østdanmark'!H$3:H$482,IF(D64=År2,'Resultater - Østdanmark'!I$3:I$482,'Resultater - Østdanmark'!J$3:J$482)),"&gt;0"))</f>
        <v>0</v>
      </c>
      <c r="G64" s="195" t="e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#REF!</v>
      </c>
      <c r="H64" s="192">
        <f>IF(E64="Vestdanmark",-IF(A64="Halm",SUMIFS(IF(D64=År1,'Resultater - Vestdanmark'!H$3:H$482,IF(D64=År2,'Resultater - Vestdanmark'!I$3:I$482,'Resultater - Vestdanmark'!J$3:J$482)),'Resultater - Vestdanmark'!$F$3:$F$482,$A64,'Resultater - Vestdanmark'!H$3:H$482,"&lt;0"),0),-IF(A64="Halm",SUMIFS(IF(D64=År1,'Resultater - Østdanmark'!H$3:H$482,IF(D64=År2,'Resultater - Østdanmark'!I$3:I$482,'Resultater - Østdanmark'!J$3:J$482)),'Resultater - Østdanmark'!$F$3:$F$482,$A64,'Resultater - Østdanmark'!H$3:H$482,"&lt;0"),0))</f>
        <v>0</v>
      </c>
      <c r="I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5" t="e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#REF!</v>
      </c>
      <c r="K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5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7" t="e">
        <f>SUMIFS('Forbrug af biomasse'!E:E,'Forbrug af biomasse'!C:C,'Resultat-Produktion &amp; forbrug'!$A64,'Forbrug af biomasse'!D:D,'Resultat-Produktion &amp; forbrug'!$D64,'Forbrug af biomasse'!G:G,1,'Forbrug af biomasse'!B:B,$E64)</f>
        <v>#REF!</v>
      </c>
      <c r="N64" s="204" t="e">
        <f t="shared" si="9"/>
        <v>#REF!</v>
      </c>
      <c r="O64" s="195" t="e">
        <f t="shared" si="1"/>
        <v>#REF!</v>
      </c>
      <c r="P64" s="205" t="e">
        <f t="shared" si="10"/>
        <v>#REF!</v>
      </c>
      <c r="Q64" s="192" t="e">
        <f>IFERROR(VLOOKUP(A64,[1]Energiindhold!$A$2:$C$11,3,FALSE),IFERROR(VLOOKUP(A64,[1]Biogasudbytte!$A$2:$B$18,2,FALSE)*[1]Energiindhold!$C$10,0))*O64</f>
        <v>#REF!</v>
      </c>
      <c r="R64" s="192" t="e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#REF!</v>
      </c>
      <c r="S64" s="192" t="e">
        <f>IFERROR(VLOOKUP(A64,[1]Biogasudbytte!$A$2:$B$18,2,FALSE)*[1]Energiindhold!$C$10,0)*J64*IFERROR(VLOOKUP(A64,Biogasanlæg!$F$3:$G$8,2,FALSE),1)</f>
        <v>#REF!</v>
      </c>
      <c r="T64" s="193" t="e">
        <f t="shared" si="11"/>
        <v>#REF!</v>
      </c>
      <c r="U64" s="191" t="e">
        <f>O64*IFERROR(VLOOKUP(A64,[1]Tørstofindhold!A$2:B$24,2,FALSE),0)</f>
        <v>#REF!</v>
      </c>
      <c r="V64" s="192" t="e">
        <f>IF(D64=År1,P64,SUM(O64,P64))*IFERROR(VLOOKUP(A64,[1]Tørstofindhold!A$2:B$24,2,FALSE),0)</f>
        <v>#REF!</v>
      </c>
      <c r="W64" s="192" t="e">
        <f>J64*IFERROR(VLOOKUP(A64,[1]Tørstofindhold!A$2:B$24,2,FALSE),0)</f>
        <v>#REF!</v>
      </c>
      <c r="X64" s="193" t="e">
        <f t="shared" si="12"/>
        <v>#REF!</v>
      </c>
      <c r="Y64" s="171" t="e">
        <f t="shared" si="2"/>
        <v>#REF!</v>
      </c>
      <c r="Z64" s="103" t="e">
        <f t="shared" si="3"/>
        <v>#REF!</v>
      </c>
    </row>
    <row r="65" spans="1:26" x14ac:dyDescent="0.25">
      <c r="A65" s="194" t="str">
        <f t="shared" si="17"/>
        <v>Græsprotein</v>
      </c>
      <c r="B65" s="194" t="str">
        <f t="shared" si="18"/>
        <v/>
      </c>
      <c r="C65" s="194">
        <f>IF(COUNTIFS('Resultater - Danmark'!$D$3:$D$482,'Resultat-Produktion &amp; forbrug'!A65,'Resultater - Danmark'!$A$3:$A$482,"Til energi")+COUNTIFS('Resultater - Danmark'!$D$3:$D$482,'Resultat-Produktion &amp; forbrug'!A65,'Resultater - Danmark'!$A$3:$A$482,"Biogasanlæg")&gt;0,1,0)</f>
        <v>0</v>
      </c>
      <c r="D65" s="194">
        <f t="shared" si="19"/>
        <v>2030</v>
      </c>
      <c r="E65" s="192" t="s">
        <v>23</v>
      </c>
      <c r="F65" s="195">
        <f>IF(E65="Vestdanmark",SUMIFS(IF(D65=År1,'Resultater - Vestdanmark'!H$3:H$482,IF(D65=År2,'Resultater - Vestdanmark'!I$3:I$482,'Resultater - Vestdanmark'!J$3:J$482)),'Resultater - Vestdanmark'!$F$3:$F$482,$A65,IF(D65=År1,'Resultater - Vestdanmark'!H$3:H$482,IF(D65=År2,'Resultater - Vestdanmark'!I$3:I$482,'Resultater - Vestdanmark'!J$3:J$482)),"&gt;0"),SUMIFS(IF(D65=År1,'Resultater - Østdanmark'!H$3:H$482,IF(D65=År2,'Resultater - Østdanmark'!I$3:I$482,'Resultater - Østdanmark'!J$3:J$482)),'Resultater - Østdanmark'!$F$3:$F$482,$A65,IF(D65=År1,'Resultater - Østdanmark'!H$3:H$482,IF(D65=År2,'Resultater - Østdanmark'!I$3:I$482,'Resultater - Østdanmark'!J$3:J$482)),"&gt;0"))</f>
        <v>0</v>
      </c>
      <c r="G65" s="195" t="e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#REF!</v>
      </c>
      <c r="H65" s="192">
        <f>IF(E65="Vestdanmark",-IF(A65="Halm",SUMIFS(IF(D65=År1,'Resultater - Vestdanmark'!H$3:H$482,IF(D65=År2,'Resultater - Vestdanmark'!I$3:I$482,'Resultater - Vestdanmark'!J$3:J$482)),'Resultater - Vestdanmark'!$F$3:$F$482,$A65,'Resultater - Vestdanmark'!H$3:H$482,"&lt;0"),0),-IF(A65="Halm",SUMIFS(IF(D65=År1,'Resultater - Østdanmark'!H$3:H$482,IF(D65=År2,'Resultater - Østdanmark'!I$3:I$482,'Resultater - Østdanmark'!J$3:J$482)),'Resultater - Østdanmark'!$F$3:$F$482,$A65,'Resultater - Østdanmark'!H$3:H$482,"&lt;0"),0))</f>
        <v>0</v>
      </c>
      <c r="I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5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7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204" t="e">
        <f t="shared" si="9"/>
        <v>#REF!</v>
      </c>
      <c r="O65" s="195">
        <f t="shared" si="1"/>
        <v>0</v>
      </c>
      <c r="P65" s="205">
        <f t="shared" si="10"/>
        <v>0</v>
      </c>
      <c r="Q65" s="192">
        <f>IFERROR(VLOOKUP(A65,[1]Energiindhold!$A$2:$C$11,3,FALSE),IFERROR(VLOOKUP(A65,[1]Biogasudbytte!$A$2:$B$18,2,FALSE)*[1]Energiindhold!$C$10,0))*O65</f>
        <v>0</v>
      </c>
      <c r="R65" s="192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92">
        <f>IFERROR(VLOOKUP(A65,[1]Biogasudbytte!$A$2:$B$18,2,FALSE)*[1]Energiindhold!$C$10,0)*J65*IFERROR(VLOOKUP(A65,Biogasanlæg!$F$3:$G$8,2,FALSE),1)</f>
        <v>0</v>
      </c>
      <c r="T65" s="193">
        <f t="shared" si="11"/>
        <v>0</v>
      </c>
      <c r="U65" s="191">
        <f>O65*IFERROR(VLOOKUP(A65,[1]Tørstofindhold!A$2:B$24,2,FALSE),0)</f>
        <v>0</v>
      </c>
      <c r="V65" s="192">
        <f>IF(D65=År1,P65,SUM(O65,P65))*IFERROR(VLOOKUP(A65,[1]Tørstofindhold!A$2:B$24,2,FALSE),0)</f>
        <v>0</v>
      </c>
      <c r="W65" s="192">
        <f>J65*IFERROR(VLOOKUP(A65,[1]Tørstofindhold!A$2:B$24,2,FALSE),0)</f>
        <v>0</v>
      </c>
      <c r="X65" s="193">
        <f t="shared" si="12"/>
        <v>0</v>
      </c>
      <c r="Y65" s="171" t="e">
        <f t="shared" si="2"/>
        <v>#REF!</v>
      </c>
      <c r="Z65" s="103" t="e">
        <f t="shared" si="3"/>
        <v>#REF!</v>
      </c>
    </row>
    <row r="66" spans="1:26" x14ac:dyDescent="0.25">
      <c r="A66" s="194" t="str">
        <f t="shared" si="17"/>
        <v>Grøntsager</v>
      </c>
      <c r="B66" s="194" t="str">
        <f t="shared" si="18"/>
        <v/>
      </c>
      <c r="C66" s="194">
        <f>IF(COUNTIFS('Resultater - Danmark'!$D$3:$D$482,'Resultat-Produktion &amp; forbrug'!A66,'Resultater - Danmark'!$A$3:$A$482,"Til energi")+COUNTIFS('Resultater - Danmark'!$D$3:$D$482,'Resultat-Produktion &amp; forbrug'!A66,'Resultater - Danmark'!$A$3:$A$482,"Biogasanlæg")&gt;0,1,0)</f>
        <v>0</v>
      </c>
      <c r="D66" s="194">
        <f t="shared" si="19"/>
        <v>2030</v>
      </c>
      <c r="E66" s="192" t="s">
        <v>23</v>
      </c>
      <c r="F66" s="195">
        <f>IF(E66="Vestdanmark",SUMIFS(IF(D66=År1,'Resultater - Vestdanmark'!H$3:H$482,IF(D66=År2,'Resultater - Vestdanmark'!I$3:I$482,'Resultater - Vestdanmark'!J$3:J$482)),'Resultater - Vestdanmark'!$F$3:$F$482,$A66,IF(D66=År1,'Resultater - Vestdanmark'!H$3:H$482,IF(D66=År2,'Resultater - Vestdanmark'!I$3:I$482,'Resultater - Vestdanmark'!J$3:J$482)),"&gt;0"),SUMIFS(IF(D66=År1,'Resultater - Østdanmark'!H$3:H$482,IF(D66=År2,'Resultater - Østdanmark'!I$3:I$482,'Resultater - Østdanmark'!J$3:J$482)),'Resultater - Østdanmark'!$F$3:$F$482,$A66,IF(D66=År1,'Resultater - Østdanmark'!H$3:H$482,IF(D66=År2,'Resultater - Østdanmark'!I$3:I$482,'Resultater - Østdanmark'!J$3:J$482)),"&gt;0"))</f>
        <v>0</v>
      </c>
      <c r="G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92">
        <f>IF(E66="Vestdanmark",-IF(A66="Halm",SUMIFS(IF(D66=År1,'Resultater - Vestdanmark'!H$3:H$482,IF(D66=År2,'Resultater - Vestdanmark'!I$3:I$482,'Resultater - Vestdanmark'!J$3:J$482)),'Resultater - Vestdanmark'!$F$3:$F$482,$A66,'Resultater - Vestdanmark'!H$3:H$482,"&lt;0"),0),-IF(A66="Halm",SUMIFS(IF(D66=År1,'Resultater - Østdanmark'!H$3:H$482,IF(D66=År2,'Resultater - Østdanmark'!I$3:I$482,'Resultater - Østdanmark'!J$3:J$482)),'Resultater - Østdanmark'!$F$3:$F$482,$A66,'Resultater - Østdanmark'!H$3:H$482,"&lt;0"),0))</f>
        <v>0</v>
      </c>
      <c r="I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5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7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204">
        <f t="shared" si="9"/>
        <v>-270140.71358529059</v>
      </c>
      <c r="O66" s="195">
        <f t="shared" si="1"/>
        <v>0</v>
      </c>
      <c r="P66" s="205">
        <f t="shared" si="10"/>
        <v>0</v>
      </c>
      <c r="Q66" s="192">
        <f>IFERROR(VLOOKUP(A66,[1]Energiindhold!$A$2:$C$11,3,FALSE),IFERROR(VLOOKUP(A66,[1]Biogasudbytte!$A$2:$B$18,2,FALSE)*[1]Energiindhold!$C$10,0))*O66</f>
        <v>0</v>
      </c>
      <c r="R66" s="192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92">
        <f>IFERROR(VLOOKUP(A66,[1]Biogasudbytte!$A$2:$B$18,2,FALSE)*[1]Energiindhold!$C$10,0)*J66*IFERROR(VLOOKUP(A66,Biogasanlæg!$F$3:$G$8,2,FALSE),1)</f>
        <v>0</v>
      </c>
      <c r="T66" s="193">
        <f t="shared" si="11"/>
        <v>0</v>
      </c>
      <c r="U66" s="191">
        <f>O66*IFERROR(VLOOKUP(A66,[1]Tørstofindhold!A$2:B$24,2,FALSE),0)</f>
        <v>0</v>
      </c>
      <c r="V66" s="192">
        <f>IF(D66=År1,P66,SUM(O66,P66))*IFERROR(VLOOKUP(A66,[1]Tørstofindhold!A$2:B$24,2,FALSE),0)</f>
        <v>0</v>
      </c>
      <c r="W66" s="192">
        <f>J66*IFERROR(VLOOKUP(A66,[1]Tørstofindhold!A$2:B$24,2,FALSE),0)</f>
        <v>0</v>
      </c>
      <c r="X66" s="193">
        <f t="shared" si="12"/>
        <v>0</v>
      </c>
      <c r="Y66" s="171">
        <f t="shared" si="2"/>
        <v>1</v>
      </c>
      <c r="Z66" s="103">
        <f t="shared" si="3"/>
        <v>0</v>
      </c>
    </row>
    <row r="67" spans="1:26" x14ac:dyDescent="0.25">
      <c r="A67" s="194" t="str">
        <f t="shared" si="17"/>
        <v>Halm</v>
      </c>
      <c r="B67" s="194" t="str">
        <f t="shared" si="18"/>
        <v>Halm og strå</v>
      </c>
      <c r="C67" s="194">
        <f>IF(COUNTIFS('Resultater - Danmark'!$D$3:$D$482,'Resultat-Produktion &amp; forbrug'!A67,'Resultater - Danmark'!$A$3:$A$482,"Til energi")+COUNTIFS('Resultater - Danmark'!$D$3:$D$482,'Resultat-Produktion &amp; forbrug'!A67,'Resultater - Danmark'!$A$3:$A$482,"Biogasanlæg")&gt;0,1,0)</f>
        <v>1</v>
      </c>
      <c r="D67" s="194">
        <f t="shared" si="19"/>
        <v>2030</v>
      </c>
      <c r="E67" s="192" t="s">
        <v>23</v>
      </c>
      <c r="F67" s="195">
        <f>IF(E67="Vestdanmark",SUMIFS(IF(D67=År1,'Resultater - Vestdanmark'!H$3:H$482,IF(D67=År2,'Resultater - Vestdanmark'!I$3:I$482,'Resultater - Vestdanmark'!J$3:J$482)),'Resultater - Vestdanmark'!$F$3:$F$482,$A67,IF(D67=År1,'Resultater - Vestdanmark'!H$3:H$482,IF(D67=År2,'Resultater - Vestdanmark'!I$3:I$482,'Resultater - Vestdanmark'!J$3:J$482)),"&gt;0"),SUMIFS(IF(D67=År1,'Resultater - Østdanmark'!H$3:H$482,IF(D67=År2,'Resultater - Østdanmark'!I$3:I$482,'Resultater - Østdanmark'!J$3:J$482)),'Resultater - Østdanmark'!$F$3:$F$482,$A67,IF(D67=År1,'Resultater - Østdanmark'!H$3:H$482,IF(D67=År2,'Resultater - Østdanmark'!I$3:I$482,'Resultater - Østdanmark'!J$3:J$482)),"&gt;0"))</f>
        <v>0</v>
      </c>
      <c r="G67" s="195" t="e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#REF!</v>
      </c>
      <c r="H67" s="192">
        <f>IF(E67="Vestdanmark",-IF(A67="Halm",SUMIFS(IF(D67=År1,'Resultater - Vestdanmark'!H$3:H$482,IF(D67=År2,'Resultater - Vestdanmark'!I$3:I$482,'Resultater - Vestdanmark'!J$3:J$482)),'Resultater - Vestdanmark'!$F$3:$F$482,$A67,'Resultater - Vestdanmark'!H$3:H$482,"&lt;0"),0),-IF(A67="Halm",SUMIFS(IF(D67=År1,'Resultater - Østdanmark'!H$3:H$482,IF(D67=År2,'Resultater - Østdanmark'!I$3:I$482,'Resultater - Østdanmark'!J$3:J$482)),'Resultater - Østdanmark'!$F$3:$F$482,$A67,'Resultater - Østdanmark'!H$3:H$482,"&lt;0"),0))</f>
        <v>0</v>
      </c>
      <c r="I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5" t="e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#REF!</v>
      </c>
      <c r="K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5" t="e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#REF!</v>
      </c>
      <c r="M67" s="157" t="e">
        <f>SUMIFS('Forbrug af biomasse'!E:E,'Forbrug af biomasse'!C:C,'Resultat-Produktion &amp; forbrug'!$A67,'Forbrug af biomasse'!D:D,'Resultat-Produktion &amp; forbrug'!$D67,'Forbrug af biomasse'!G:G,1,'Forbrug af biomasse'!B:B,$E67)</f>
        <v>#REF!</v>
      </c>
      <c r="N67" s="204" t="e">
        <f t="shared" si="9"/>
        <v>#REF!</v>
      </c>
      <c r="O67" s="195" t="e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#REF!</v>
      </c>
      <c r="P67" s="205" t="e">
        <f t="shared" si="10"/>
        <v>#REF!</v>
      </c>
      <c r="Q67" s="192" t="e">
        <f>IFERROR(VLOOKUP(A67,[1]Energiindhold!$A$2:$C$11,3,FALSE),IFERROR(VLOOKUP(A67,[1]Biogasudbytte!$A$2:$B$18,2,FALSE)*[1]Energiindhold!$C$10,0))*O67</f>
        <v>#REF!</v>
      </c>
      <c r="R67" s="192" t="e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#REF!</v>
      </c>
      <c r="S67" s="192" t="e">
        <f>IFERROR(VLOOKUP(A67,[1]Biogasudbytte!$A$2:$B$18,2,FALSE)*[1]Energiindhold!$C$10,0)*J67*IFERROR(VLOOKUP(A67,Biogasanlæg!$F$3:$G$8,2,FALSE),1)</f>
        <v>#REF!</v>
      </c>
      <c r="T67" s="193" t="e">
        <f t="shared" si="11"/>
        <v>#REF!</v>
      </c>
      <c r="U67" s="191" t="e">
        <f>O67*IFERROR(VLOOKUP(A67,[1]Tørstofindhold!A$2:B$24,2,FALSE),0)</f>
        <v>#REF!</v>
      </c>
      <c r="V67" s="192" t="e">
        <f>IF(D67=År1,P67,SUM(O67,P67))*IFERROR(VLOOKUP(A67,[1]Tørstofindhold!A$2:B$24,2,FALSE),0)</f>
        <v>#REF!</v>
      </c>
      <c r="W67" s="192" t="e">
        <f>J67*IFERROR(VLOOKUP(A67,[1]Tørstofindhold!A$2:B$24,2,FALSE),0)</f>
        <v>#REF!</v>
      </c>
      <c r="X67" s="193" t="e">
        <f t="shared" si="12"/>
        <v>#REF!</v>
      </c>
      <c r="Y67" s="171" t="e">
        <f t="shared" ref="Y67:Y130" si="21">IF(SUMIFS($N$3:$N$290,$A$3:$A$290,A67,$D$3:$D$290,D67)&lt;0,1,0)</f>
        <v>#REF!</v>
      </c>
      <c r="Z67" s="103" t="e">
        <f t="shared" ref="Z67:Z130" si="22">IF(SUMIFS($N$3:$N$290,$A$3:$A$290,A67,$D$3:$D$290,D67)&gt;0,1,0)</f>
        <v>#REF!</v>
      </c>
    </row>
    <row r="68" spans="1:26" x14ac:dyDescent="0.25">
      <c r="A68" s="194" t="str">
        <f t="shared" si="17"/>
        <v>Have/parkaffald</v>
      </c>
      <c r="B68" s="194" t="str">
        <f t="shared" si="18"/>
        <v>Bionedbrydeligt affald</v>
      </c>
      <c r="C68" s="194">
        <f>IF(COUNTIFS('Resultater - Danmark'!$D$3:$D$482,'Resultat-Produktion &amp; forbrug'!A68,'Resultater - Danmark'!$A$3:$A$482,"Til energi")+COUNTIFS('Resultater - Danmark'!$D$3:$D$482,'Resultat-Produktion &amp; forbrug'!A68,'Resultater - Danmark'!$A$3:$A$482,"Biogasanlæg")&gt;0,1,0)</f>
        <v>1</v>
      </c>
      <c r="D68" s="194">
        <f t="shared" si="19"/>
        <v>2030</v>
      </c>
      <c r="E68" s="192" t="s">
        <v>23</v>
      </c>
      <c r="F68" s="195">
        <f>IF(E68="Vestdanmark",SUMIFS(IF(D68=År1,'Resultater - Vestdanmark'!H$3:H$482,IF(D68=År2,'Resultater - Vestdanmark'!I$3:I$482,'Resultater - Vestdanmark'!J$3:J$482)),'Resultater - Vestdanmark'!$F$3:$F$482,$A68,IF(D68=År1,'Resultater - Vestdanmark'!H$3:H$482,IF(D68=År2,'Resultater - Vestdanmark'!I$3:I$482,'Resultater - Vestdanmark'!J$3:J$482)),"&gt;0"),SUMIFS(IF(D68=År1,'Resultater - Østdanmark'!H$3:H$482,IF(D68=År2,'Resultater - Østdanmark'!I$3:I$482,'Resultater - Østdanmark'!J$3:J$482)),'Resultater - Østdanmark'!$F$3:$F$482,$A68,IF(D68=År1,'Resultater - Østdanmark'!H$3:H$482,IF(D68=År2,'Resultater - Østdanmark'!I$3:I$482,'Resultater - Østdanmark'!J$3:J$482)),"&gt;0"))</f>
        <v>0</v>
      </c>
      <c r="G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92">
        <f>IF(E68="Vestdanmark",-IF(A68="Halm",SUMIFS(IF(D68=År1,'Resultater - Vestdanmark'!H$3:H$482,IF(D68=År2,'Resultater - Vestdanmark'!I$3:I$482,'Resultater - Vestdanmark'!J$3:J$482)),'Resultater - Vestdanmark'!$F$3:$F$482,$A68,'Resultater - Vestdanmark'!H$3:H$482,"&lt;0"),0),-IF(A68="Halm",SUMIFS(IF(D68=År1,'Resultater - Østdanmark'!H$3:H$482,IF(D68=År2,'Resultater - Østdanmark'!I$3:I$482,'Resultater - Østdanmark'!J$3:J$482)),'Resultater - Østdanmark'!$F$3:$F$482,$A68,'Resultater - Østdanmark'!H$3:H$482,"&lt;0"),0))</f>
        <v>0</v>
      </c>
      <c r="I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5" t="e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#REF!</v>
      </c>
      <c r="K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5" t="e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#REF!</v>
      </c>
      <c r="M68" s="157" t="e">
        <f>SUMIFS('Forbrug af biomasse'!E:E,'Forbrug af biomasse'!C:C,'Resultat-Produktion &amp; forbrug'!$A68,'Forbrug af biomasse'!D:D,'Resultat-Produktion &amp; forbrug'!$D68,'Forbrug af biomasse'!G:G,1,'Forbrug af biomasse'!B:B,$E68)</f>
        <v>#REF!</v>
      </c>
      <c r="N68" s="204" t="e">
        <f t="shared" si="9"/>
        <v>#REF!</v>
      </c>
      <c r="O68" s="195" t="e">
        <f t="shared" si="20"/>
        <v>#REF!</v>
      </c>
      <c r="P68" s="205" t="e">
        <f t="shared" si="10"/>
        <v>#REF!</v>
      </c>
      <c r="Q68" s="192" t="e">
        <f>IFERROR(VLOOKUP(A68,[1]Energiindhold!$A$2:$C$11,3,FALSE),IFERROR(VLOOKUP(A68,[1]Biogasudbytte!$A$2:$B$18,2,FALSE)*[1]Energiindhold!$C$10,0))*O68</f>
        <v>#REF!</v>
      </c>
      <c r="R68" s="192" t="e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#REF!</v>
      </c>
      <c r="S68" s="192" t="e">
        <f>IFERROR(VLOOKUP(A68,[1]Biogasudbytte!$A$2:$B$18,2,FALSE)*[1]Energiindhold!$C$10,0)*J68*IFERROR(VLOOKUP(A68,Biogasanlæg!$F$3:$G$8,2,FALSE),1)</f>
        <v>#REF!</v>
      </c>
      <c r="T68" s="193" t="e">
        <f t="shared" si="11"/>
        <v>#REF!</v>
      </c>
      <c r="U68" s="191" t="e">
        <f>O68*IFERROR(VLOOKUP(A68,[1]Tørstofindhold!A$2:B$24,2,FALSE),0)</f>
        <v>#REF!</v>
      </c>
      <c r="V68" s="192" t="e">
        <f>IF(D68=År1,P68,SUM(O68,P68))*IFERROR(VLOOKUP(A68,[1]Tørstofindhold!A$2:B$24,2,FALSE),0)</f>
        <v>#REF!</v>
      </c>
      <c r="W68" s="192" t="e">
        <f>J68*IFERROR(VLOOKUP(A68,[1]Tørstofindhold!A$2:B$24,2,FALSE),0)</f>
        <v>#REF!</v>
      </c>
      <c r="X68" s="193" t="e">
        <f t="shared" si="12"/>
        <v>#REF!</v>
      </c>
      <c r="Y68" s="171" t="e">
        <f t="shared" si="21"/>
        <v>#REF!</v>
      </c>
      <c r="Z68" s="103" t="e">
        <f t="shared" si="22"/>
        <v>#REF!</v>
      </c>
    </row>
    <row r="69" spans="1:26" x14ac:dyDescent="0.25">
      <c r="A69" s="194" t="str">
        <f t="shared" si="17"/>
        <v>Import af foder</v>
      </c>
      <c r="B69" s="194" t="str">
        <f t="shared" si="18"/>
        <v/>
      </c>
      <c r="C69" s="194">
        <f>IF(COUNTIFS('Resultater - Danmark'!$D$3:$D$482,'Resultat-Produktion &amp; forbrug'!A69,'Resultater - Danmark'!$A$3:$A$482,"Til energi")+COUNTIFS('Resultater - Danmark'!$D$3:$D$482,'Resultat-Produktion &amp; forbrug'!A69,'Resultater - Danmark'!$A$3:$A$482,"Biogasanlæg")&gt;0,1,0)</f>
        <v>0</v>
      </c>
      <c r="D69" s="194">
        <f t="shared" si="19"/>
        <v>2030</v>
      </c>
      <c r="E69" s="192" t="s">
        <v>23</v>
      </c>
      <c r="F69" s="195">
        <f>IF(E69="Vestdanmark",SUMIFS(IF(D69=År1,'Resultater - Vestdanmark'!H$3:H$482,IF(D69=År2,'Resultater - Vestdanmark'!I$3:I$482,'Resultater - Vestdanmark'!J$3:J$482)),'Resultater - Vestdanmark'!$F$3:$F$482,$A69,IF(D69=År1,'Resultater - Vestdanmark'!H$3:H$482,IF(D69=År2,'Resultater - Vestdanmark'!I$3:I$482,'Resultater - Vestdanmark'!J$3:J$482)),"&gt;0"),SUMIFS(IF(D69=År1,'Resultater - Østdanmark'!H$3:H$482,IF(D69=År2,'Resultater - Østdanmark'!I$3:I$482,'Resultater - Østdanmark'!J$3:J$482)),'Resultater - Østdanmark'!$F$3:$F$482,$A69,IF(D69=År1,'Resultater - Østdanmark'!H$3:H$482,IF(D69=År2,'Resultater - Østdanmark'!I$3:I$482,'Resultater - Østdanmark'!J$3:J$482)),"&gt;0"))</f>
        <v>0</v>
      </c>
      <c r="G69" s="195" t="e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#REF!</v>
      </c>
      <c r="H69" s="192">
        <f>IF(E69="Vestdanmark",-IF(A69="Halm",SUMIFS(IF(D69=År1,'Resultater - Vestdanmark'!H$3:H$482,IF(D69=År2,'Resultater - Vestdanmark'!I$3:I$482,'Resultater - Vestdanmark'!J$3:J$482)),'Resultater - Vestdanmark'!$F$3:$F$482,$A69,'Resultater - Vestdanmark'!H$3:H$482,"&lt;0"),0),-IF(A69="Halm",SUMIFS(IF(D69=År1,'Resultater - Østdanmark'!H$3:H$482,IF(D69=År2,'Resultater - Østdanmark'!I$3:I$482,'Resultater - Østdanmark'!J$3:J$482)),'Resultater - Østdanmark'!$F$3:$F$482,$A69,'Resultater - Østdanmark'!H$3:H$482,"&lt;0"),0))</f>
        <v>0</v>
      </c>
      <c r="I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5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7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204" t="e">
        <f t="shared" si="9"/>
        <v>#REF!</v>
      </c>
      <c r="O69" s="195">
        <f t="shared" si="20"/>
        <v>0</v>
      </c>
      <c r="P69" s="205">
        <f t="shared" si="10"/>
        <v>0</v>
      </c>
      <c r="Q69" s="192">
        <f>IFERROR(VLOOKUP(A69,[1]Energiindhold!$A$2:$C$11,3,FALSE),IFERROR(VLOOKUP(A69,[1]Biogasudbytte!$A$2:$B$18,2,FALSE)*[1]Energiindhold!$C$10,0))*O69</f>
        <v>0</v>
      </c>
      <c r="R69" s="192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92">
        <f>IFERROR(VLOOKUP(A69,[1]Biogasudbytte!$A$2:$B$18,2,FALSE)*[1]Energiindhold!$C$10,0)*J69*IFERROR(VLOOKUP(A69,Biogasanlæg!$F$3:$G$8,2,FALSE),1)</f>
        <v>0</v>
      </c>
      <c r="T69" s="193">
        <f t="shared" si="11"/>
        <v>0</v>
      </c>
      <c r="U69" s="191">
        <f>O69*IFERROR(VLOOKUP(A69,[1]Tørstofindhold!A$2:B$24,2,FALSE),0)</f>
        <v>0</v>
      </c>
      <c r="V69" s="192">
        <f>IF(D69=År1,P69,SUM(O69,P69))*IFERROR(VLOOKUP(A69,[1]Tørstofindhold!A$2:B$24,2,FALSE),0)</f>
        <v>0</v>
      </c>
      <c r="W69" s="192">
        <f>J69*IFERROR(VLOOKUP(A69,[1]Tørstofindhold!A$2:B$24,2,FALSE),0)</f>
        <v>0</v>
      </c>
      <c r="X69" s="193">
        <f t="shared" si="12"/>
        <v>0</v>
      </c>
      <c r="Y69" s="171" t="e">
        <f t="shared" si="21"/>
        <v>#REF!</v>
      </c>
      <c r="Z69" s="103" t="e">
        <f t="shared" si="22"/>
        <v>#REF!</v>
      </c>
    </row>
    <row r="70" spans="1:26" x14ac:dyDescent="0.25">
      <c r="A70" s="194" t="str">
        <f t="shared" si="17"/>
        <v>Industriaffald</v>
      </c>
      <c r="B70" s="194" t="str">
        <f t="shared" si="18"/>
        <v>Bionedbrydeligt affald</v>
      </c>
      <c r="C70" s="194">
        <f>IF(COUNTIFS('Resultater - Danmark'!$D$3:$D$482,'Resultat-Produktion &amp; forbrug'!A70,'Resultater - Danmark'!$A$3:$A$482,"Til energi")+COUNTIFS('Resultater - Danmark'!$D$3:$D$482,'Resultat-Produktion &amp; forbrug'!A70,'Resultater - Danmark'!$A$3:$A$482,"Biogasanlæg")&gt;0,1,0)</f>
        <v>1</v>
      </c>
      <c r="D70" s="194">
        <f t="shared" si="19"/>
        <v>2030</v>
      </c>
      <c r="E70" s="192" t="s">
        <v>23</v>
      </c>
      <c r="F70" s="195">
        <f>IF(E70="Vestdanmark",SUMIFS(IF(D70=År1,'Resultater - Vestdanmark'!H$3:H$482,IF(D70=År2,'Resultater - Vestdanmark'!I$3:I$482,'Resultater - Vestdanmark'!J$3:J$482)),'Resultater - Vestdanmark'!$F$3:$F$482,$A70,IF(D70=År1,'Resultater - Vestdanmark'!H$3:H$482,IF(D70=År2,'Resultater - Vestdanmark'!I$3:I$482,'Resultater - Vestdanmark'!J$3:J$482)),"&gt;0"),SUMIFS(IF(D70=År1,'Resultater - Østdanmark'!H$3:H$482,IF(D70=År2,'Resultater - Østdanmark'!I$3:I$482,'Resultater - Østdanmark'!J$3:J$482)),'Resultater - Østdanmark'!$F$3:$F$482,$A70,IF(D70=År1,'Resultater - Østdanmark'!H$3:H$482,IF(D70=År2,'Resultater - Østdanmark'!I$3:I$482,'Resultater - Østdanmark'!J$3:J$482)),"&gt;0"))</f>
        <v>0</v>
      </c>
      <c r="G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92">
        <f>IF(E70="Vestdanmark",-IF(A70="Halm",SUMIFS(IF(D70=År1,'Resultater - Vestdanmark'!H$3:H$482,IF(D70=År2,'Resultater - Vestdanmark'!I$3:I$482,'Resultater - Vestdanmark'!J$3:J$482)),'Resultater - Vestdanmark'!$F$3:$F$482,$A70,'Resultater - Vestdanmark'!H$3:H$482,"&lt;0"),0),-IF(A70="Halm",SUMIFS(IF(D70=År1,'Resultater - Østdanmark'!H$3:H$482,IF(D70=År2,'Resultater - Østdanmark'!I$3:I$482,'Resultater - Østdanmark'!J$3:J$482)),'Resultater - Østdanmark'!$F$3:$F$482,$A70,'Resultater - Østdanmark'!H$3:H$482,"&lt;0"),0))</f>
        <v>0</v>
      </c>
      <c r="I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5" t="e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#REF!</v>
      </c>
      <c r="K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5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7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204" t="e">
        <f t="shared" si="9"/>
        <v>#REF!</v>
      </c>
      <c r="O70" s="195" t="e">
        <f t="shared" si="20"/>
        <v>#REF!</v>
      </c>
      <c r="P70" s="205" t="e">
        <f t="shared" si="10"/>
        <v>#REF!</v>
      </c>
      <c r="Q70" s="192" t="e">
        <f>IFERROR(VLOOKUP(A70,[1]Energiindhold!$A$2:$C$11,3,FALSE),IFERROR(VLOOKUP(A70,[1]Biogasudbytte!$A$2:$B$18,2,FALSE)*[1]Energiindhold!$C$10,0))*O70</f>
        <v>#REF!</v>
      </c>
      <c r="R70" s="192" t="e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#REF!</v>
      </c>
      <c r="S70" s="192" t="e">
        <f>IFERROR(VLOOKUP(A70,[1]Biogasudbytte!$A$2:$B$18,2,FALSE)*[1]Energiindhold!$C$10,0)*J70*IFERROR(VLOOKUP(A70,Biogasanlæg!$F$3:$G$8,2,FALSE),1)</f>
        <v>#REF!</v>
      </c>
      <c r="T70" s="193" t="e">
        <f t="shared" si="11"/>
        <v>#REF!</v>
      </c>
      <c r="U70" s="191" t="e">
        <f>O70*IFERROR(VLOOKUP(A70,[1]Tørstofindhold!A$2:B$24,2,FALSE),0)</f>
        <v>#REF!</v>
      </c>
      <c r="V70" s="192" t="e">
        <f>IF(D70=År1,P70,SUM(O70,P70))*IFERROR(VLOOKUP(A70,[1]Tørstofindhold!A$2:B$24,2,FALSE),0)</f>
        <v>#REF!</v>
      </c>
      <c r="W70" s="192" t="e">
        <f>J70*IFERROR(VLOOKUP(A70,[1]Tørstofindhold!A$2:B$24,2,FALSE),0)</f>
        <v>#REF!</v>
      </c>
      <c r="X70" s="193" t="e">
        <f t="shared" si="12"/>
        <v>#REF!</v>
      </c>
      <c r="Y70" s="171" t="e">
        <f t="shared" si="21"/>
        <v>#REF!</v>
      </c>
      <c r="Z70" s="103" t="e">
        <f t="shared" si="22"/>
        <v>#REF!</v>
      </c>
    </row>
    <row r="71" spans="1:26" x14ac:dyDescent="0.25">
      <c r="A71" s="194" t="str">
        <f t="shared" si="17"/>
        <v>Juletræer</v>
      </c>
      <c r="B71" s="194" t="str">
        <f t="shared" si="18"/>
        <v/>
      </c>
      <c r="C71" s="194">
        <f>IF(COUNTIFS('Resultater - Danmark'!$D$3:$D$482,'Resultat-Produktion &amp; forbrug'!A71,'Resultater - Danmark'!$A$3:$A$482,"Til energi")+COUNTIFS('Resultater - Danmark'!$D$3:$D$482,'Resultat-Produktion &amp; forbrug'!A71,'Resultater - Danmark'!$A$3:$A$482,"Biogasanlæg")&gt;0,1,0)</f>
        <v>0</v>
      </c>
      <c r="D71" s="194">
        <f t="shared" si="19"/>
        <v>2030</v>
      </c>
      <c r="E71" s="192" t="s">
        <v>23</v>
      </c>
      <c r="F71" s="195">
        <f>IF(E71="Vestdanmark",SUMIFS(IF(D71=År1,'Resultater - Vestdanmark'!H$3:H$482,IF(D71=År2,'Resultater - Vestdanmark'!I$3:I$482,'Resultater - Vestdanmark'!J$3:J$482)),'Resultater - Vestdanmark'!$F$3:$F$482,$A71,IF(D71=År1,'Resultater - Vestdanmark'!H$3:H$482,IF(D71=År2,'Resultater - Vestdanmark'!I$3:I$482,'Resultater - Vestdanmark'!J$3:J$482)),"&gt;0"),SUMIFS(IF(D71=År1,'Resultater - Østdanmark'!H$3:H$482,IF(D71=År2,'Resultater - Østdanmark'!I$3:I$482,'Resultater - Østdanmark'!J$3:J$482)),'Resultater - Østdanmark'!$F$3:$F$482,$A71,IF(D71=År1,'Resultater - Østdanmark'!H$3:H$482,IF(D71=År2,'Resultater - Østdanmark'!I$3:I$482,'Resultater - Østdanmark'!J$3:J$482)),"&gt;0"))</f>
        <v>0</v>
      </c>
      <c r="G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92">
        <f>IF(E71="Vestdanmark",-IF(A71="Halm",SUMIFS(IF(D71=År1,'Resultater - Vestdanmark'!H$3:H$482,IF(D71=År2,'Resultater - Vestdanmark'!I$3:I$482,'Resultater - Vestdanmark'!J$3:J$482)),'Resultater - Vestdanmark'!$F$3:$F$482,$A71,'Resultater - Vestdanmark'!H$3:H$482,"&lt;0"),0),-IF(A71="Halm",SUMIFS(IF(D71=År1,'Resultater - Østdanmark'!H$3:H$482,IF(D71=År2,'Resultater - Østdanmark'!I$3:I$482,'Resultater - Østdanmark'!J$3:J$482)),'Resultater - Østdanmark'!$F$3:$F$482,$A71,'Resultater - Østdanmark'!H$3:H$482,"&lt;0"),0))</f>
        <v>0</v>
      </c>
      <c r="I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5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7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204">
        <f t="shared" si="9"/>
        <v>0</v>
      </c>
      <c r="O71" s="195">
        <f t="shared" si="20"/>
        <v>0</v>
      </c>
      <c r="P71" s="205">
        <f t="shared" si="10"/>
        <v>0</v>
      </c>
      <c r="Q71" s="192">
        <f>IFERROR(VLOOKUP(A71,[1]Energiindhold!$A$2:$C$11,3,FALSE),IFERROR(VLOOKUP(A71,[1]Biogasudbytte!$A$2:$B$18,2,FALSE)*[1]Energiindhold!$C$10,0))*O71</f>
        <v>0</v>
      </c>
      <c r="R71" s="192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92">
        <f>IFERROR(VLOOKUP(A71,[1]Biogasudbytte!$A$2:$B$18,2,FALSE)*[1]Energiindhold!$C$10,0)*J71*IFERROR(VLOOKUP(A71,Biogasanlæg!$F$3:$G$8,2,FALSE),1)</f>
        <v>0</v>
      </c>
      <c r="T71" s="193">
        <f t="shared" si="11"/>
        <v>0</v>
      </c>
      <c r="U71" s="191">
        <f>O71*IFERROR(VLOOKUP(A71,[1]Tørstofindhold!A$2:B$24,2,FALSE),0)</f>
        <v>0</v>
      </c>
      <c r="V71" s="192">
        <f>IF(D71=År1,P71,SUM(O71,P71))*IFERROR(VLOOKUP(A71,[1]Tørstofindhold!A$2:B$24,2,FALSE),0)</f>
        <v>0</v>
      </c>
      <c r="W71" s="192">
        <f>J71*IFERROR(VLOOKUP(A71,[1]Tørstofindhold!A$2:B$24,2,FALSE),0)</f>
        <v>0</v>
      </c>
      <c r="X71" s="193">
        <f t="shared" si="12"/>
        <v>0</v>
      </c>
      <c r="Y71" s="171">
        <f t="shared" si="21"/>
        <v>0</v>
      </c>
      <c r="Z71" s="103">
        <f t="shared" si="22"/>
        <v>0</v>
      </c>
    </row>
    <row r="72" spans="1:26" x14ac:dyDescent="0.25">
      <c r="A72" s="194" t="str">
        <f t="shared" si="17"/>
        <v>Kartofler</v>
      </c>
      <c r="B72" s="194" t="str">
        <f t="shared" si="18"/>
        <v/>
      </c>
      <c r="C72" s="194">
        <f>IF(COUNTIFS('Resultater - Danmark'!$D$3:$D$482,'Resultat-Produktion &amp; forbrug'!A72,'Resultater - Danmark'!$A$3:$A$482,"Til energi")+COUNTIFS('Resultater - Danmark'!$D$3:$D$482,'Resultat-Produktion &amp; forbrug'!A72,'Resultater - Danmark'!$A$3:$A$482,"Biogasanlæg")&gt;0,1,0)</f>
        <v>0</v>
      </c>
      <c r="D72" s="194">
        <f t="shared" si="19"/>
        <v>2030</v>
      </c>
      <c r="E72" s="192" t="s">
        <v>23</v>
      </c>
      <c r="F72" s="195">
        <f>IF(E72="Vestdanmark",SUMIFS(IF(D72=År1,'Resultater - Vestdanmark'!H$3:H$482,IF(D72=År2,'Resultater - Vestdanmark'!I$3:I$482,'Resultater - Vestdanmark'!J$3:J$482)),'Resultater - Vestdanmark'!$F$3:$F$482,$A72,IF(D72=År1,'Resultater - Vestdanmark'!H$3:H$482,IF(D72=År2,'Resultater - Vestdanmark'!I$3:I$482,'Resultater - Vestdanmark'!J$3:J$482)),"&gt;0"),SUMIFS(IF(D72=År1,'Resultater - Østdanmark'!H$3:H$482,IF(D72=År2,'Resultater - Østdanmark'!I$3:I$482,'Resultater - Østdanmark'!J$3:J$482)),'Resultater - Østdanmark'!$F$3:$F$482,$A72,IF(D72=År1,'Resultater - Østdanmark'!H$3:H$482,IF(D72=År2,'Resultater - Østdanmark'!I$3:I$482,'Resultater - Østdanmark'!J$3:J$482)),"&gt;0"))</f>
        <v>0</v>
      </c>
      <c r="G72" s="195" t="e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#REF!</v>
      </c>
      <c r="H72" s="192">
        <f>IF(E72="Vestdanmark",-IF(A72="Halm",SUMIFS(IF(D72=År1,'Resultater - Vestdanmark'!H$3:H$482,IF(D72=År2,'Resultater - Vestdanmark'!I$3:I$482,'Resultater - Vestdanmark'!J$3:J$482)),'Resultater - Vestdanmark'!$F$3:$F$482,$A72,'Resultater - Vestdanmark'!H$3:H$482,"&lt;0"),0),-IF(A72="Halm",SUMIFS(IF(D72=År1,'Resultater - Østdanmark'!H$3:H$482,IF(D72=År2,'Resultater - Østdanmark'!I$3:I$482,'Resultater - Østdanmark'!J$3:J$482)),'Resultater - Østdanmark'!$F$3:$F$482,$A72,'Resultater - Østdanmark'!H$3:H$482,"&lt;0"),0))</f>
        <v>0</v>
      </c>
      <c r="I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5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7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204" t="e">
        <f t="shared" si="9"/>
        <v>#REF!</v>
      </c>
      <c r="O72" s="195">
        <f t="shared" si="20"/>
        <v>0</v>
      </c>
      <c r="P72" s="205">
        <f t="shared" si="10"/>
        <v>0</v>
      </c>
      <c r="Q72" s="192">
        <f>IFERROR(VLOOKUP(A72,[1]Energiindhold!$A$2:$C$11,3,FALSE),IFERROR(VLOOKUP(A72,[1]Biogasudbytte!$A$2:$B$18,2,FALSE)*[1]Energiindhold!$C$10,0))*O72</f>
        <v>0</v>
      </c>
      <c r="R72" s="192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92">
        <f>IFERROR(VLOOKUP(A72,[1]Biogasudbytte!$A$2:$B$18,2,FALSE)*[1]Energiindhold!$C$10,0)*J72*IFERROR(VLOOKUP(A72,Biogasanlæg!$F$3:$G$8,2,FALSE),1)</f>
        <v>0</v>
      </c>
      <c r="T72" s="193">
        <f t="shared" si="11"/>
        <v>0</v>
      </c>
      <c r="U72" s="191">
        <f>O72*IFERROR(VLOOKUP(A72,[1]Tørstofindhold!A$2:B$24,2,FALSE),0)</f>
        <v>0</v>
      </c>
      <c r="V72" s="192">
        <f>IF(D72=År1,P72,SUM(O72,P72))*IFERROR(VLOOKUP(A72,[1]Tørstofindhold!A$2:B$24,2,FALSE),0)</f>
        <v>0</v>
      </c>
      <c r="W72" s="192">
        <f>J72*IFERROR(VLOOKUP(A72,[1]Tørstofindhold!A$2:B$24,2,FALSE),0)</f>
        <v>0</v>
      </c>
      <c r="X72" s="193">
        <f t="shared" si="12"/>
        <v>0</v>
      </c>
      <c r="Y72" s="171" t="e">
        <f t="shared" si="21"/>
        <v>#REF!</v>
      </c>
      <c r="Z72" s="103" t="e">
        <f t="shared" si="22"/>
        <v>#REF!</v>
      </c>
    </row>
    <row r="73" spans="1:26" x14ac:dyDescent="0.25">
      <c r="A73" s="194" t="str">
        <f t="shared" si="17"/>
        <v>Korn</v>
      </c>
      <c r="B73" s="194" t="str">
        <f t="shared" si="18"/>
        <v>Halm og strå</v>
      </c>
      <c r="C73" s="194">
        <f>IF(COUNTIFS('Resultater - Danmark'!$D$3:$D$482,'Resultat-Produktion &amp; forbrug'!A73,'Resultater - Danmark'!$A$3:$A$482,"Til energi")+COUNTIFS('Resultater - Danmark'!$D$3:$D$482,'Resultat-Produktion &amp; forbrug'!A73,'Resultater - Danmark'!$A$3:$A$482,"Biogasanlæg")&gt;0,1,0)</f>
        <v>1</v>
      </c>
      <c r="D73" s="194">
        <f t="shared" si="19"/>
        <v>2030</v>
      </c>
      <c r="E73" s="192" t="s">
        <v>23</v>
      </c>
      <c r="F73" s="195">
        <f>IF(E73="Vestdanmark",SUMIFS(IF(D73=År1,'Resultater - Vestdanmark'!H$3:H$482,IF(D73=År2,'Resultater - Vestdanmark'!I$3:I$482,'Resultater - Vestdanmark'!J$3:J$482)),'Resultater - Vestdanmark'!$F$3:$F$482,$A73,IF(D73=År1,'Resultater - Vestdanmark'!H$3:H$482,IF(D73=År2,'Resultater - Vestdanmark'!I$3:I$482,'Resultater - Vestdanmark'!J$3:J$482)),"&gt;0"),SUMIFS(IF(D73=År1,'Resultater - Østdanmark'!H$3:H$482,IF(D73=År2,'Resultater - Østdanmark'!I$3:I$482,'Resultater - Østdanmark'!J$3:J$482)),'Resultater - Østdanmark'!$F$3:$F$482,$A73,IF(D73=År1,'Resultater - Østdanmark'!H$3:H$482,IF(D73=År2,'Resultater - Østdanmark'!I$3:I$482,'Resultater - Østdanmark'!J$3:J$482)),"&gt;0"))</f>
        <v>0</v>
      </c>
      <c r="G73" s="195" t="e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#REF!</v>
      </c>
      <c r="H73" s="192">
        <f>IF(E73="Vestdanmark",-IF(A73="Halm",SUMIFS(IF(D73=År1,'Resultater - Vestdanmark'!H$3:H$482,IF(D73=År2,'Resultater - Vestdanmark'!I$3:I$482,'Resultater - Vestdanmark'!J$3:J$482)),'Resultater - Vestdanmark'!$F$3:$F$482,$A73,'Resultater - Vestdanmark'!H$3:H$482,"&lt;0"),0),-IF(A73="Halm",SUMIFS(IF(D73=År1,'Resultater - Østdanmark'!H$3:H$482,IF(D73=År2,'Resultater - Østdanmark'!I$3:I$482,'Resultater - Østdanmark'!J$3:J$482)),'Resultater - Østdanmark'!$F$3:$F$482,$A73,'Resultater - Østdanmark'!H$3:H$482,"&lt;0"),0))</f>
        <v>0</v>
      </c>
      <c r="I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5" t="e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#REF!</v>
      </c>
      <c r="K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5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7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204" t="e">
        <f t="shared" si="9"/>
        <v>#REF!</v>
      </c>
      <c r="O73" s="195" t="e">
        <f t="shared" si="20"/>
        <v>#REF!</v>
      </c>
      <c r="P73" s="205" t="e">
        <f t="shared" si="10"/>
        <v>#REF!</v>
      </c>
      <c r="Q73" s="192" t="e">
        <f>IFERROR(VLOOKUP(A73,[1]Energiindhold!$A$2:$C$11,3,FALSE),IFERROR(VLOOKUP(A73,[1]Biogasudbytte!$A$2:$B$18,2,FALSE)*[1]Energiindhold!$C$10,0))*O73</f>
        <v>#REF!</v>
      </c>
      <c r="R73" s="192" t="e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#REF!</v>
      </c>
      <c r="S73" s="192" t="e">
        <f>IFERROR(VLOOKUP(A73,[1]Biogasudbytte!$A$2:$B$18,2,FALSE)*[1]Energiindhold!$C$10,0)*J73*IFERROR(VLOOKUP(A73,Biogasanlæg!$F$3:$G$8,2,FALSE),1)</f>
        <v>#REF!</v>
      </c>
      <c r="T73" s="193" t="e">
        <f t="shared" si="11"/>
        <v>#REF!</v>
      </c>
      <c r="U73" s="191" t="e">
        <f>O73*IFERROR(VLOOKUP(A73,[1]Tørstofindhold!A$2:B$24,2,FALSE),0)</f>
        <v>#REF!</v>
      </c>
      <c r="V73" s="192" t="e">
        <f>IF(D73=År1,P73,SUM(O73,P73))*IFERROR(VLOOKUP(A73,[1]Tørstofindhold!A$2:B$24,2,FALSE),0)</f>
        <v>#REF!</v>
      </c>
      <c r="W73" s="192" t="e">
        <f>J73*IFERROR(VLOOKUP(A73,[1]Tørstofindhold!A$2:B$24,2,FALSE),0)</f>
        <v>#REF!</v>
      </c>
      <c r="X73" s="193" t="e">
        <f t="shared" si="12"/>
        <v>#REF!</v>
      </c>
      <c r="Y73" s="171" t="e">
        <f t="shared" si="21"/>
        <v>#REF!</v>
      </c>
      <c r="Z73" s="103" t="e">
        <f t="shared" si="22"/>
        <v>#REF!</v>
      </c>
    </row>
    <row r="74" spans="1:26" x14ac:dyDescent="0.25">
      <c r="A74" s="194" t="str">
        <f t="shared" si="17"/>
        <v>Kunstgødning</v>
      </c>
      <c r="B74" s="194" t="str">
        <f t="shared" si="18"/>
        <v/>
      </c>
      <c r="C74" s="194">
        <f>IF(COUNTIFS('Resultater - Danmark'!$D$3:$D$482,'Resultat-Produktion &amp; forbrug'!A74,'Resultater - Danmark'!$A$3:$A$482,"Til energi")+COUNTIFS('Resultater - Danmark'!$D$3:$D$482,'Resultat-Produktion &amp; forbrug'!A74,'Resultater - Danmark'!$A$3:$A$482,"Biogasanlæg")&gt;0,1,0)</f>
        <v>0</v>
      </c>
      <c r="D74" s="194">
        <f t="shared" si="19"/>
        <v>2030</v>
      </c>
      <c r="E74" s="192" t="s">
        <v>23</v>
      </c>
      <c r="F74" s="195">
        <f>IF(E74="Vestdanmark",SUMIFS(IF(D74=År1,'Resultater - Vestdanmark'!H$3:H$482,IF(D74=År2,'Resultater - Vestdanmark'!I$3:I$482,'Resultater - Vestdanmark'!J$3:J$482)),'Resultater - Vestdanmark'!$F$3:$F$482,$A74,IF(D74=År1,'Resultater - Vestdanmark'!H$3:H$482,IF(D74=År2,'Resultater - Vestdanmark'!I$3:I$482,'Resultater - Vestdanmark'!J$3:J$482)),"&gt;0"),SUMIFS(IF(D74=År1,'Resultater - Østdanmark'!H$3:H$482,IF(D74=År2,'Resultater - Østdanmark'!I$3:I$482,'Resultater - Østdanmark'!J$3:J$482)),'Resultater - Østdanmark'!$F$3:$F$482,$A74,IF(D74=År1,'Resultater - Østdanmark'!H$3:H$482,IF(D74=År2,'Resultater - Østdanmark'!I$3:I$482,'Resultater - Østdanmark'!J$3:J$482)),"&gt;0"))</f>
        <v>0</v>
      </c>
      <c r="G74" s="195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92">
        <f>IF(E74="Vestdanmark",-IF(A74="Halm",SUMIFS(IF(D74=År1,'Resultater - Vestdanmark'!H$3:H$482,IF(D74=År2,'Resultater - Vestdanmark'!I$3:I$482,'Resultater - Vestdanmark'!J$3:J$482)),'Resultater - Vestdanmark'!$F$3:$F$482,$A74,'Resultater - Vestdanmark'!H$3:H$482,"&lt;0"),0),-IF(A74="Halm",SUMIFS(IF(D74=År1,'Resultater - Østdanmark'!H$3:H$482,IF(D74=År2,'Resultater - Østdanmark'!I$3:I$482,'Resultater - Østdanmark'!J$3:J$482)),'Resultater - Østdanmark'!$F$3:$F$482,$A74,'Resultater - Østdanmark'!H$3:H$482,"&lt;0"),0))</f>
        <v>0</v>
      </c>
      <c r="I74" s="195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5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5" t="e">
        <f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#REF!</v>
      </c>
      <c r="L74" s="195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7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204" t="e">
        <f t="shared" si="9"/>
        <v>#REF!</v>
      </c>
      <c r="O74" s="195">
        <f t="shared" si="20"/>
        <v>0</v>
      </c>
      <c r="P74" s="205">
        <f t="shared" si="10"/>
        <v>0</v>
      </c>
      <c r="Q74" s="192">
        <f>IFERROR(VLOOKUP(A74,[1]Energiindhold!$A$2:$C$11,3,FALSE),IFERROR(VLOOKUP(A74,[1]Biogasudbytte!$A$2:$B$18,2,FALSE)*[1]Energiindhold!$C$10,0))*O74</f>
        <v>0</v>
      </c>
      <c r="R74" s="192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92">
        <f>IFERROR(VLOOKUP(A74,[1]Biogasudbytte!$A$2:$B$18,2,FALSE)*[1]Energiindhold!$C$10,0)*J74*IFERROR(VLOOKUP(A74,Biogasanlæg!$F$3:$G$8,2,FALSE),1)</f>
        <v>0</v>
      </c>
      <c r="T74" s="193">
        <f t="shared" si="11"/>
        <v>0</v>
      </c>
      <c r="U74" s="191">
        <f>O74*IFERROR(VLOOKUP(A74,[1]Tørstofindhold!A$2:B$24,2,FALSE),0)</f>
        <v>0</v>
      </c>
      <c r="V74" s="192">
        <f>IF(D74=År1,P74,SUM(O74,P74))*IFERROR(VLOOKUP(A74,[1]Tørstofindhold!A$2:B$24,2,FALSE),0)</f>
        <v>0</v>
      </c>
      <c r="W74" s="192">
        <f>J74*IFERROR(VLOOKUP(A74,[1]Tørstofindhold!A$2:B$24,2,FALSE),0)</f>
        <v>0</v>
      </c>
      <c r="X74" s="193">
        <f t="shared" si="12"/>
        <v>0</v>
      </c>
      <c r="Y74" s="171" t="e">
        <f t="shared" si="21"/>
        <v>#REF!</v>
      </c>
      <c r="Z74" s="103" t="e">
        <f t="shared" si="22"/>
        <v>#REF!</v>
      </c>
    </row>
    <row r="75" spans="1:26" x14ac:dyDescent="0.25">
      <c r="A75" s="194" t="str">
        <f t="shared" si="17"/>
        <v>Kvæggylle</v>
      </c>
      <c r="B75" s="194" t="str">
        <f t="shared" si="18"/>
        <v>Husdyrgødning</v>
      </c>
      <c r="C75" s="194">
        <f>IF(COUNTIFS('Resultater - Danmark'!$D$3:$D$482,'Resultat-Produktion &amp; forbrug'!A75,'Resultater - Danmark'!$A$3:$A$482,"Til energi")+COUNTIFS('Resultater - Danmark'!$D$3:$D$482,'Resultat-Produktion &amp; forbrug'!A75,'Resultater - Danmark'!$A$3:$A$482,"Biogasanlæg")&gt;0,1,0)</f>
        <v>1</v>
      </c>
      <c r="D75" s="194">
        <f t="shared" si="19"/>
        <v>2030</v>
      </c>
      <c r="E75" s="192" t="s">
        <v>23</v>
      </c>
      <c r="F75" s="195">
        <f>IF(E75="Vestdanmark",SUMIFS(IF(D75=År1,'Resultater - Vestdanmark'!H$3:H$482,IF(D75=År2,'Resultater - Vestdanmark'!I$3:I$482,'Resultater - Vestdanmark'!J$3:J$482)),'Resultater - Vestdanmark'!$F$3:$F$482,$A75,IF(D75=År1,'Resultater - Vestdanmark'!H$3:H$482,IF(D75=År2,'Resultater - Vestdanmark'!I$3:I$482,'Resultater - Vestdanmark'!J$3:J$482)),"&gt;0"),SUMIFS(IF(D75=År1,'Resultater - Østdanmark'!H$3:H$482,IF(D75=År2,'Resultater - Østdanmark'!I$3:I$482,'Resultater - Østdanmark'!J$3:J$482)),'Resultater - Østdanmark'!$F$3:$F$482,$A75,IF(D75=År1,'Resultater - Østdanmark'!H$3:H$482,IF(D75=År2,'Resultater - Østdanmark'!I$3:I$482,'Resultater - Østdanmark'!J$3:J$482)),"&gt;0"))</f>
        <v>0</v>
      </c>
      <c r="G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92">
        <f>IF(E75="Vestdanmark",-IF(A75="Halm",SUMIFS(IF(D75=År1,'Resultater - Vestdanmark'!H$3:H$482,IF(D75=År2,'Resultater - Vestdanmark'!I$3:I$482,'Resultater - Vestdanmark'!J$3:J$482)),'Resultater - Vestdanmark'!$F$3:$F$482,$A75,'Resultater - Vestdanmark'!H$3:H$482,"&lt;0"),0),-IF(A75="Halm",SUMIFS(IF(D75=År1,'Resultater - Østdanmark'!H$3:H$482,IF(D75=År2,'Resultater - Østdanmark'!I$3:I$482,'Resultater - Østdanmark'!J$3:J$482)),'Resultater - Østdanmark'!$F$3:$F$482,$A75,'Resultater - Østdanmark'!H$3:H$482,"&lt;0"),0))</f>
        <v>0</v>
      </c>
      <c r="I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5" t="e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#REF!</v>
      </c>
      <c r="K75" s="195" t="e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#REF!</v>
      </c>
      <c r="L75" s="195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7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204" t="e">
        <f t="shared" si="9"/>
        <v>#REF!</v>
      </c>
      <c r="O75" s="195" t="e">
        <f t="shared" si="20"/>
        <v>#REF!</v>
      </c>
      <c r="P75" s="205" t="e">
        <f t="shared" si="10"/>
        <v>#REF!</v>
      </c>
      <c r="Q75" s="192" t="e">
        <f>IFERROR(VLOOKUP(A75,[1]Energiindhold!$A$2:$C$11,3,FALSE),IFERROR(VLOOKUP(A75,[1]Biogasudbytte!$A$2:$B$18,2,FALSE)*[1]Energiindhold!$C$10,0))*O75</f>
        <v>#REF!</v>
      </c>
      <c r="R75" s="192" t="e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#REF!</v>
      </c>
      <c r="S75" s="192" t="e">
        <f>IFERROR(VLOOKUP(A75,[1]Biogasudbytte!$A$2:$B$18,2,FALSE)*[1]Energiindhold!$C$10,0)*J75*IFERROR(VLOOKUP(A75,Biogasanlæg!$F$3:$G$8,2,FALSE),1)</f>
        <v>#REF!</v>
      </c>
      <c r="T75" s="193" t="e">
        <f t="shared" si="11"/>
        <v>#REF!</v>
      </c>
      <c r="U75" s="191" t="e">
        <f>O75*IFERROR(VLOOKUP(A75,[1]Tørstofindhold!A$2:B$24,2,FALSE),0)</f>
        <v>#REF!</v>
      </c>
      <c r="V75" s="192" t="e">
        <f>IF(D75=År1,P75,SUM(O75,P75))*IFERROR(VLOOKUP(A75,[1]Tørstofindhold!A$2:B$24,2,FALSE),0)</f>
        <v>#REF!</v>
      </c>
      <c r="W75" s="192" t="e">
        <f>J75*IFERROR(VLOOKUP(A75,[1]Tørstofindhold!A$2:B$24,2,FALSE),0)</f>
        <v>#REF!</v>
      </c>
      <c r="X75" s="193" t="e">
        <f t="shared" si="12"/>
        <v>#REF!</v>
      </c>
      <c r="Y75" s="171" t="e">
        <f t="shared" si="21"/>
        <v>#REF!</v>
      </c>
      <c r="Z75" s="103" t="e">
        <f t="shared" si="22"/>
        <v>#REF!</v>
      </c>
    </row>
    <row r="76" spans="1:26" x14ac:dyDescent="0.25">
      <c r="A76" s="194" t="str">
        <f t="shared" si="17"/>
        <v>Mælk til foder</v>
      </c>
      <c r="B76" s="194" t="str">
        <f t="shared" si="18"/>
        <v/>
      </c>
      <c r="C76" s="194">
        <f>IF(COUNTIFS('Resultater - Danmark'!$D$3:$D$482,'Resultat-Produktion &amp; forbrug'!A76,'Resultater - Danmark'!$A$3:$A$482,"Til energi")+COUNTIFS('Resultater - Danmark'!$D$3:$D$482,'Resultat-Produktion &amp; forbrug'!A76,'Resultater - Danmark'!$A$3:$A$482,"Biogasanlæg")&gt;0,1,0)</f>
        <v>0</v>
      </c>
      <c r="D76" s="194">
        <f t="shared" si="19"/>
        <v>2030</v>
      </c>
      <c r="E76" s="192" t="s">
        <v>23</v>
      </c>
      <c r="F76" s="195">
        <f>IF(E76="Vestdanmark",SUMIFS(IF(D76=År1,'Resultater - Vestdanmark'!H$3:H$482,IF(D76=År2,'Resultater - Vestdanmark'!I$3:I$482,'Resultater - Vestdanmark'!J$3:J$482)),'Resultater - Vestdanmark'!$F$3:$F$482,$A76,IF(D76=År1,'Resultater - Vestdanmark'!H$3:H$482,IF(D76=År2,'Resultater - Vestdanmark'!I$3:I$482,'Resultater - Vestdanmark'!J$3:J$482)),"&gt;0"),SUMIFS(IF(D76=År1,'Resultater - Østdanmark'!H$3:H$482,IF(D76=År2,'Resultater - Østdanmark'!I$3:I$482,'Resultater - Østdanmark'!J$3:J$482)),'Resultater - Østdanmark'!$F$3:$F$482,$A76,IF(D76=År1,'Resultater - Østdanmark'!H$3:H$482,IF(D76=År2,'Resultater - Østdanmark'!I$3:I$482,'Resultater - Østdanmark'!J$3:J$482)),"&gt;0"))</f>
        <v>0</v>
      </c>
      <c r="G76" s="195" t="e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#REF!</v>
      </c>
      <c r="H76" s="192">
        <f>IF(E76="Vestdanmark",-IF(A76="Halm",SUMIFS(IF(D76=År1,'Resultater - Vestdanmark'!H$3:H$482,IF(D76=År2,'Resultater - Vestdanmark'!I$3:I$482,'Resultater - Vestdanmark'!J$3:J$482)),'Resultater - Vestdanmark'!$F$3:$F$482,$A76,'Resultater - Vestdanmark'!H$3:H$482,"&lt;0"),0),-IF(A76="Halm",SUMIFS(IF(D76=År1,'Resultater - Østdanmark'!H$3:H$482,IF(D76=År2,'Resultater - Østdanmark'!I$3:I$482,'Resultater - Østdanmark'!J$3:J$482)),'Resultater - Østdanmark'!$F$3:$F$482,$A76,'Resultater - Østdanmark'!H$3:H$482,"&lt;0"),0))</f>
        <v>0</v>
      </c>
      <c r="I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5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7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204" t="e">
        <f t="shared" si="9"/>
        <v>#REF!</v>
      </c>
      <c r="O76" s="195">
        <f t="shared" si="20"/>
        <v>0</v>
      </c>
      <c r="P76" s="205">
        <f t="shared" si="10"/>
        <v>0</v>
      </c>
      <c r="Q76" s="192">
        <f>IFERROR(VLOOKUP(A76,[1]Energiindhold!$A$2:$C$11,3,FALSE),IFERROR(VLOOKUP(A76,[1]Biogasudbytte!$A$2:$B$18,2,FALSE)*[1]Energiindhold!$C$10,0))*O76</f>
        <v>0</v>
      </c>
      <c r="R76" s="192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92">
        <f>IFERROR(VLOOKUP(A76,[1]Biogasudbytte!$A$2:$B$18,2,FALSE)*[1]Energiindhold!$C$10,0)*J76*IFERROR(VLOOKUP(A76,Biogasanlæg!$F$3:$G$8,2,FALSE),1)</f>
        <v>0</v>
      </c>
      <c r="T76" s="193">
        <f t="shared" si="11"/>
        <v>0</v>
      </c>
      <c r="U76" s="191">
        <f>O76*IFERROR(VLOOKUP(A76,[1]Tørstofindhold!A$2:B$24,2,FALSE),0)</f>
        <v>0</v>
      </c>
      <c r="V76" s="192">
        <f>IF(D76=År1,P76,SUM(O76,P76))*IFERROR(VLOOKUP(A76,[1]Tørstofindhold!A$2:B$24,2,FALSE),0)</f>
        <v>0</v>
      </c>
      <c r="W76" s="192">
        <f>J76*IFERROR(VLOOKUP(A76,[1]Tørstofindhold!A$2:B$24,2,FALSE),0)</f>
        <v>0</v>
      </c>
      <c r="X76" s="193">
        <f t="shared" si="12"/>
        <v>0</v>
      </c>
      <c r="Y76" s="171" t="e">
        <f t="shared" si="21"/>
        <v>#REF!</v>
      </c>
      <c r="Z76" s="103" t="e">
        <f t="shared" si="22"/>
        <v>#REF!</v>
      </c>
    </row>
    <row r="77" spans="1:26" x14ac:dyDescent="0.25">
      <c r="A77" s="194" t="str">
        <f t="shared" si="17"/>
        <v>Majs</v>
      </c>
      <c r="B77" s="194" t="str">
        <f t="shared" si="18"/>
        <v>Græs og urter</v>
      </c>
      <c r="C77" s="194">
        <f>IF(COUNTIFS('Resultater - Danmark'!$D$3:$D$482,'Resultat-Produktion &amp; forbrug'!A77,'Resultater - Danmark'!$A$3:$A$482,"Til energi")+COUNTIFS('Resultater - Danmark'!$D$3:$D$482,'Resultat-Produktion &amp; forbrug'!A77,'Resultater - Danmark'!$A$3:$A$482,"Biogasanlæg")&gt;0,1,0)</f>
        <v>1</v>
      </c>
      <c r="D77" s="194">
        <f t="shared" si="19"/>
        <v>2030</v>
      </c>
      <c r="E77" s="192" t="s">
        <v>23</v>
      </c>
      <c r="F77" s="195">
        <f>IF(E77="Vestdanmark",SUMIFS(IF(D77=År1,'Resultater - Vestdanmark'!H$3:H$482,IF(D77=År2,'Resultater - Vestdanmark'!I$3:I$482,'Resultater - Vestdanmark'!J$3:J$482)),'Resultater - Vestdanmark'!$F$3:$F$482,$A77,IF(D77=År1,'Resultater - Vestdanmark'!H$3:H$482,IF(D77=År2,'Resultater - Vestdanmark'!I$3:I$482,'Resultater - Vestdanmark'!J$3:J$482)),"&gt;0"),SUMIFS(IF(D77=År1,'Resultater - Østdanmark'!H$3:H$482,IF(D77=År2,'Resultater - Østdanmark'!I$3:I$482,'Resultater - Østdanmark'!J$3:J$482)),'Resultater - Østdanmark'!$F$3:$F$482,$A77,IF(D77=År1,'Resultater - Østdanmark'!H$3:H$482,IF(D77=År2,'Resultater - Østdanmark'!I$3:I$482,'Resultater - Østdanmark'!J$3:J$482)),"&gt;0"))</f>
        <v>0</v>
      </c>
      <c r="G77" s="195" t="e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#REF!</v>
      </c>
      <c r="H77" s="192">
        <f>IF(E77="Vestdanmark",-IF(A77="Halm",SUMIFS(IF(D77=År1,'Resultater - Vestdanmark'!H$3:H$482,IF(D77=År2,'Resultater - Vestdanmark'!I$3:I$482,'Resultater - Vestdanmark'!J$3:J$482)),'Resultater - Vestdanmark'!$F$3:$F$482,$A77,'Resultater - Vestdanmark'!H$3:H$482,"&lt;0"),0),-IF(A77="Halm",SUMIFS(IF(D77=År1,'Resultater - Østdanmark'!H$3:H$482,IF(D77=År2,'Resultater - Østdanmark'!I$3:I$482,'Resultater - Østdanmark'!J$3:J$482)),'Resultater - Østdanmark'!$F$3:$F$482,$A77,'Resultater - Østdanmark'!H$3:H$482,"&lt;0"),0))</f>
        <v>0</v>
      </c>
      <c r="I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5" t="e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#REF!</v>
      </c>
      <c r="K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5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7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204" t="e">
        <f t="shared" si="9"/>
        <v>#REF!</v>
      </c>
      <c r="O77" s="195" t="e">
        <f t="shared" si="20"/>
        <v>#REF!</v>
      </c>
      <c r="P77" s="205" t="e">
        <f t="shared" si="10"/>
        <v>#REF!</v>
      </c>
      <c r="Q77" s="192" t="e">
        <f>IFERROR(VLOOKUP(A77,[1]Energiindhold!$A$2:$C$11,3,FALSE),IFERROR(VLOOKUP(A77,[1]Biogasudbytte!$A$2:$B$18,2,FALSE)*[1]Energiindhold!$C$10,0))*O77</f>
        <v>#REF!</v>
      </c>
      <c r="R77" s="192" t="e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#REF!</v>
      </c>
      <c r="S77" s="192" t="e">
        <f>IFERROR(VLOOKUP(A77,[1]Biogasudbytte!$A$2:$B$18,2,FALSE)*[1]Energiindhold!$C$10,0)*J77*IFERROR(VLOOKUP(A77,Biogasanlæg!$F$3:$G$8,2,FALSE),1)</f>
        <v>#REF!</v>
      </c>
      <c r="T77" s="193" t="e">
        <f t="shared" si="11"/>
        <v>#REF!</v>
      </c>
      <c r="U77" s="191" t="e">
        <f>O77*IFERROR(VLOOKUP(A77,[1]Tørstofindhold!A$2:B$24,2,FALSE),0)</f>
        <v>#REF!</v>
      </c>
      <c r="V77" s="192" t="e">
        <f>IF(D77=År1,P77,SUM(O77,P77))*IFERROR(VLOOKUP(A77,[1]Tørstofindhold!A$2:B$24,2,FALSE),0)</f>
        <v>#REF!</v>
      </c>
      <c r="W77" s="192" t="e">
        <f>J77*IFERROR(VLOOKUP(A77,[1]Tørstofindhold!A$2:B$24,2,FALSE),0)</f>
        <v>#REF!</v>
      </c>
      <c r="X77" s="193" t="e">
        <f t="shared" si="12"/>
        <v>#REF!</v>
      </c>
      <c r="Y77" s="171" t="e">
        <f t="shared" si="21"/>
        <v>#REF!</v>
      </c>
      <c r="Z77" s="103" t="e">
        <f t="shared" si="22"/>
        <v>#REF!</v>
      </c>
    </row>
    <row r="78" spans="1:26" x14ac:dyDescent="0.25">
      <c r="A78" s="194" t="str">
        <f t="shared" si="17"/>
        <v>Mejeriprodukter</v>
      </c>
      <c r="B78" s="194" t="str">
        <f t="shared" si="18"/>
        <v/>
      </c>
      <c r="C78" s="194">
        <f>IF(COUNTIFS('Resultater - Danmark'!$D$3:$D$482,'Resultat-Produktion &amp; forbrug'!A78,'Resultater - Danmark'!$A$3:$A$482,"Til energi")+COUNTIFS('Resultater - Danmark'!$D$3:$D$482,'Resultat-Produktion &amp; forbrug'!A78,'Resultater - Danmark'!$A$3:$A$482,"Biogasanlæg")&gt;0,1,0)</f>
        <v>0</v>
      </c>
      <c r="D78" s="194">
        <f t="shared" si="19"/>
        <v>2030</v>
      </c>
      <c r="E78" s="192" t="s">
        <v>23</v>
      </c>
      <c r="F78" s="195">
        <f>IF(E78="Vestdanmark",SUMIFS(IF(D78=År1,'Resultater - Vestdanmark'!H$3:H$482,IF(D78=År2,'Resultater - Vestdanmark'!I$3:I$482,'Resultater - Vestdanmark'!J$3:J$482)),'Resultater - Vestdanmark'!$F$3:$F$482,$A78,IF(D78=År1,'Resultater - Vestdanmark'!H$3:H$482,IF(D78=År2,'Resultater - Vestdanmark'!I$3:I$482,'Resultater - Vestdanmark'!J$3:J$482)),"&gt;0"),SUMIFS(IF(D78=År1,'Resultater - Østdanmark'!H$3:H$482,IF(D78=År2,'Resultater - Østdanmark'!I$3:I$482,'Resultater - Østdanmark'!J$3:J$482)),'Resultater - Østdanmark'!$F$3:$F$482,$A78,IF(D78=År1,'Resultater - Østdanmark'!H$3:H$482,IF(D78=År2,'Resultater - Østdanmark'!I$3:I$482,'Resultater - Østdanmark'!J$3:J$482)),"&gt;0"))</f>
        <v>0</v>
      </c>
      <c r="G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92">
        <f>IF(E78="Vestdanmark",-IF(A78="Halm",SUMIFS(IF(D78=År1,'Resultater - Vestdanmark'!H$3:H$482,IF(D78=År2,'Resultater - Vestdanmark'!I$3:I$482,'Resultater - Vestdanmark'!J$3:J$482)),'Resultater - Vestdanmark'!$F$3:$F$482,$A78,'Resultater - Vestdanmark'!H$3:H$482,"&lt;0"),0),-IF(A78="Halm",SUMIFS(IF(D78=År1,'Resultater - Østdanmark'!H$3:H$482,IF(D78=År2,'Resultater - Østdanmark'!I$3:I$482,'Resultater - Østdanmark'!J$3:J$482)),'Resultater - Østdanmark'!$F$3:$F$482,$A78,'Resultater - Østdanmark'!H$3:H$482,"&lt;0"),0))</f>
        <v>0</v>
      </c>
      <c r="I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5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7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204">
        <f t="shared" si="9"/>
        <v>-472406.87601849809</v>
      </c>
      <c r="O78" s="195">
        <f t="shared" si="20"/>
        <v>0</v>
      </c>
      <c r="P78" s="205">
        <f t="shared" si="10"/>
        <v>0</v>
      </c>
      <c r="Q78" s="192">
        <f>IFERROR(VLOOKUP(A78,[1]Energiindhold!$A$2:$C$11,3,FALSE),IFERROR(VLOOKUP(A78,[1]Biogasudbytte!$A$2:$B$18,2,FALSE)*[1]Energiindhold!$C$10,0))*O78</f>
        <v>0</v>
      </c>
      <c r="R78" s="192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92">
        <f>IFERROR(VLOOKUP(A78,[1]Biogasudbytte!$A$2:$B$18,2,FALSE)*[1]Energiindhold!$C$10,0)*J78*IFERROR(VLOOKUP(A78,Biogasanlæg!$F$3:$G$8,2,FALSE),1)</f>
        <v>0</v>
      </c>
      <c r="T78" s="193">
        <f t="shared" si="11"/>
        <v>0</v>
      </c>
      <c r="U78" s="191">
        <f>O78*IFERROR(VLOOKUP(A78,[1]Tørstofindhold!A$2:B$24,2,FALSE),0)</f>
        <v>0</v>
      </c>
      <c r="V78" s="192">
        <f>IF(D78=År1,P78,SUM(O78,P78))*IFERROR(VLOOKUP(A78,[1]Tørstofindhold!A$2:B$24,2,FALSE),0)</f>
        <v>0</v>
      </c>
      <c r="W78" s="192">
        <f>J78*IFERROR(VLOOKUP(A78,[1]Tørstofindhold!A$2:B$24,2,FALSE),0)</f>
        <v>0</v>
      </c>
      <c r="X78" s="193">
        <f t="shared" si="12"/>
        <v>0</v>
      </c>
      <c r="Y78" s="171">
        <f t="shared" si="21"/>
        <v>1</v>
      </c>
      <c r="Z78" s="103">
        <f t="shared" si="22"/>
        <v>0</v>
      </c>
    </row>
    <row r="79" spans="1:26" x14ac:dyDescent="0.25">
      <c r="A79" s="194" t="str">
        <f t="shared" si="17"/>
        <v>Muslinger</v>
      </c>
      <c r="B79" s="194" t="str">
        <f t="shared" si="18"/>
        <v>Havbiomasse</v>
      </c>
      <c r="C79" s="194">
        <f>IF(COUNTIFS('Resultater - Danmark'!$D$3:$D$482,'Resultat-Produktion &amp; forbrug'!A79,'Resultater - Danmark'!$A$3:$A$482,"Til energi")+COUNTIFS('Resultater - Danmark'!$D$3:$D$482,'Resultat-Produktion &amp; forbrug'!A79,'Resultater - Danmark'!$A$3:$A$482,"Biogasanlæg")&gt;0,1,0)</f>
        <v>1</v>
      </c>
      <c r="D79" s="194">
        <f t="shared" si="19"/>
        <v>2030</v>
      </c>
      <c r="E79" s="192" t="s">
        <v>23</v>
      </c>
      <c r="F79" s="195">
        <f>IF(E79="Vestdanmark",SUMIFS(IF(D79=År1,'Resultater - Vestdanmark'!H$3:H$482,IF(D79=År2,'Resultater - Vestdanmark'!I$3:I$482,'Resultater - Vestdanmark'!J$3:J$482)),'Resultater - Vestdanmark'!$F$3:$F$482,$A79,IF(D79=År1,'Resultater - Vestdanmark'!H$3:H$482,IF(D79=År2,'Resultater - Vestdanmark'!I$3:I$482,'Resultater - Vestdanmark'!J$3:J$482)),"&gt;0"),SUMIFS(IF(D79=År1,'Resultater - Østdanmark'!H$3:H$482,IF(D79=År2,'Resultater - Østdanmark'!I$3:I$482,'Resultater - Østdanmark'!J$3:J$482)),'Resultater - Østdanmark'!$F$3:$F$482,$A79,IF(D79=År1,'Resultater - Østdanmark'!H$3:H$482,IF(D79=År2,'Resultater - Østdanmark'!I$3:I$482,'Resultater - Østdanmark'!J$3:J$482)),"&gt;0"))</f>
        <v>0</v>
      </c>
      <c r="G79" s="195" t="e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#REF!</v>
      </c>
      <c r="H79" s="192">
        <f>IF(E79="Vestdanmark",-IF(A79="Halm",SUMIFS(IF(D79=År1,'Resultater - Vestdanmark'!H$3:H$482,IF(D79=År2,'Resultater - Vestdanmark'!I$3:I$482,'Resultater - Vestdanmark'!J$3:J$482)),'Resultater - Vestdanmark'!$F$3:$F$482,$A79,'Resultater - Vestdanmark'!H$3:H$482,"&lt;0"),0),-IF(A79="Halm",SUMIFS(IF(D79=År1,'Resultater - Østdanmark'!H$3:H$482,IF(D79=År2,'Resultater - Østdanmark'!I$3:I$482,'Resultater - Østdanmark'!J$3:J$482)),'Resultater - Østdanmark'!$F$3:$F$482,$A79,'Resultater - Østdanmark'!H$3:H$482,"&lt;0"),0))</f>
        <v>0</v>
      </c>
      <c r="I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5" t="e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#REF!</v>
      </c>
      <c r="K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5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7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204" t="e">
        <f t="shared" si="9"/>
        <v>#REF!</v>
      </c>
      <c r="O79" s="195" t="e">
        <f t="shared" si="20"/>
        <v>#REF!</v>
      </c>
      <c r="P79" s="205" t="e">
        <f t="shared" si="10"/>
        <v>#REF!</v>
      </c>
      <c r="Q79" s="192" t="e">
        <f>IFERROR(VLOOKUP(A79,[1]Energiindhold!$A$2:$C$11,3,FALSE),IFERROR(VLOOKUP(A79,[1]Biogasudbytte!$A$2:$B$18,2,FALSE)*[1]Energiindhold!$C$10,0))*O79</f>
        <v>#REF!</v>
      </c>
      <c r="R79" s="192" t="e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#REF!</v>
      </c>
      <c r="S79" s="192" t="e">
        <f>IFERROR(VLOOKUP(A79,[1]Biogasudbytte!$A$2:$B$18,2,FALSE)*[1]Energiindhold!$C$10,0)*J79*IFERROR(VLOOKUP(A79,Biogasanlæg!$F$3:$G$8,2,FALSE),1)</f>
        <v>#REF!</v>
      </c>
      <c r="T79" s="193" t="e">
        <f t="shared" si="11"/>
        <v>#REF!</v>
      </c>
      <c r="U79" s="191" t="e">
        <f>O79*IFERROR(VLOOKUP(A79,[1]Tørstofindhold!A$2:B$24,2,FALSE),0)</f>
        <v>#REF!</v>
      </c>
      <c r="V79" s="192" t="e">
        <f>IF(D79=År1,P79,SUM(O79,P79))*IFERROR(VLOOKUP(A79,[1]Tørstofindhold!A$2:B$24,2,FALSE),0)</f>
        <v>#REF!</v>
      </c>
      <c r="W79" s="192" t="e">
        <f>J79*IFERROR(VLOOKUP(A79,[1]Tørstofindhold!A$2:B$24,2,FALSE),0)</f>
        <v>#REF!</v>
      </c>
      <c r="X79" s="193" t="e">
        <f t="shared" si="12"/>
        <v>#REF!</v>
      </c>
      <c r="Y79" s="171" t="e">
        <f t="shared" si="21"/>
        <v>#REF!</v>
      </c>
      <c r="Z79" s="103" t="e">
        <f t="shared" si="22"/>
        <v>#REF!</v>
      </c>
    </row>
    <row r="80" spans="1:26" x14ac:dyDescent="0.25">
      <c r="A80" s="194" t="str">
        <f t="shared" si="17"/>
        <v>Oksekød</v>
      </c>
      <c r="B80" s="194" t="str">
        <f t="shared" si="18"/>
        <v/>
      </c>
      <c r="C80" s="194">
        <f>IF(COUNTIFS('Resultater - Danmark'!$D$3:$D$482,'Resultat-Produktion &amp; forbrug'!A80,'Resultater - Danmark'!$A$3:$A$482,"Til energi")+COUNTIFS('Resultater - Danmark'!$D$3:$D$482,'Resultat-Produktion &amp; forbrug'!A80,'Resultater - Danmark'!$A$3:$A$482,"Biogasanlæg")&gt;0,1,0)</f>
        <v>0</v>
      </c>
      <c r="D80" s="194">
        <f t="shared" si="19"/>
        <v>2030</v>
      </c>
      <c r="E80" s="192" t="s">
        <v>23</v>
      </c>
      <c r="F80" s="195">
        <f>IF(E80="Vestdanmark",SUMIFS(IF(D80=År1,'Resultater - Vestdanmark'!H$3:H$482,IF(D80=År2,'Resultater - Vestdanmark'!I$3:I$482,'Resultater - Vestdanmark'!J$3:J$482)),'Resultater - Vestdanmark'!$F$3:$F$482,$A80,IF(D80=År1,'Resultater - Vestdanmark'!H$3:H$482,IF(D80=År2,'Resultater - Vestdanmark'!I$3:I$482,'Resultater - Vestdanmark'!J$3:J$482)),"&gt;0"),SUMIFS(IF(D80=År1,'Resultater - Østdanmark'!H$3:H$482,IF(D80=År2,'Resultater - Østdanmark'!I$3:I$482,'Resultater - Østdanmark'!J$3:J$482)),'Resultater - Østdanmark'!$F$3:$F$482,$A80,IF(D80=År1,'Resultater - Østdanmark'!H$3:H$482,IF(D80=År2,'Resultater - Østdanmark'!I$3:I$482,'Resultater - Østdanmark'!J$3:J$482)),"&gt;0"))</f>
        <v>0</v>
      </c>
      <c r="G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92">
        <f>IF(E80="Vestdanmark",-IF(A80="Halm",SUMIFS(IF(D80=År1,'Resultater - Vestdanmark'!H$3:H$482,IF(D80=År2,'Resultater - Vestdanmark'!I$3:I$482,'Resultater - Vestdanmark'!J$3:J$482)),'Resultater - Vestdanmark'!$F$3:$F$482,$A80,'Resultater - Vestdanmark'!H$3:H$482,"&lt;0"),0),-IF(A80="Halm",SUMIFS(IF(D80=År1,'Resultater - Østdanmark'!H$3:H$482,IF(D80=År2,'Resultater - Østdanmark'!I$3:I$482,'Resultater - Østdanmark'!J$3:J$482)),'Resultater - Østdanmark'!$F$3:$F$482,$A80,'Resultater - Østdanmark'!H$3:H$482,"&lt;0"),0))</f>
        <v>0</v>
      </c>
      <c r="I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5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7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204">
        <f t="shared" si="9"/>
        <v>-60028.253038902265</v>
      </c>
      <c r="O80" s="195">
        <f t="shared" si="20"/>
        <v>0</v>
      </c>
      <c r="P80" s="205">
        <f t="shared" si="10"/>
        <v>0</v>
      </c>
      <c r="Q80" s="192">
        <f>IFERROR(VLOOKUP(A80,[1]Energiindhold!$A$2:$C$11,3,FALSE),IFERROR(VLOOKUP(A80,[1]Biogasudbytte!$A$2:$B$18,2,FALSE)*[1]Energiindhold!$C$10,0))*O80</f>
        <v>0</v>
      </c>
      <c r="R80" s="192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92">
        <f>IFERROR(VLOOKUP(A80,[1]Biogasudbytte!$A$2:$B$18,2,FALSE)*[1]Energiindhold!$C$10,0)*J80*IFERROR(VLOOKUP(A80,Biogasanlæg!$F$3:$G$8,2,FALSE),1)</f>
        <v>0</v>
      </c>
      <c r="T80" s="193">
        <f t="shared" si="11"/>
        <v>0</v>
      </c>
      <c r="U80" s="191">
        <f>O80*IFERROR(VLOOKUP(A80,[1]Tørstofindhold!A$2:B$24,2,FALSE),0)</f>
        <v>0</v>
      </c>
      <c r="V80" s="192">
        <f>IF(D80=År1,P80,SUM(O80,P80))*IFERROR(VLOOKUP(A80,[1]Tørstofindhold!A$2:B$24,2,FALSE),0)</f>
        <v>0</v>
      </c>
      <c r="W80" s="192">
        <f>J80*IFERROR(VLOOKUP(A80,[1]Tørstofindhold!A$2:B$24,2,FALSE),0)</f>
        <v>0</v>
      </c>
      <c r="X80" s="193">
        <f t="shared" si="12"/>
        <v>0</v>
      </c>
      <c r="Y80" s="171">
        <f t="shared" si="21"/>
        <v>1</v>
      </c>
      <c r="Z80" s="103">
        <f t="shared" si="22"/>
        <v>0</v>
      </c>
    </row>
    <row r="81" spans="1:26" x14ac:dyDescent="0.25">
      <c r="A81" s="194" t="str">
        <f t="shared" si="17"/>
        <v>Øvrige</v>
      </c>
      <c r="B81" s="194" t="str">
        <f t="shared" si="18"/>
        <v/>
      </c>
      <c r="C81" s="194">
        <f>IF(COUNTIFS('Resultater - Danmark'!$D$3:$D$482,'Resultat-Produktion &amp; forbrug'!A81,'Resultater - Danmark'!$A$3:$A$482,"Til energi")+COUNTIFS('Resultater - Danmark'!$D$3:$D$482,'Resultat-Produktion &amp; forbrug'!A81,'Resultater - Danmark'!$A$3:$A$482,"Biogasanlæg")&gt;0,1,0)</f>
        <v>0</v>
      </c>
      <c r="D81" s="194">
        <f t="shared" si="19"/>
        <v>2030</v>
      </c>
      <c r="E81" s="192" t="s">
        <v>23</v>
      </c>
      <c r="F81" s="195">
        <f>IF(E81="Vestdanmark",SUMIFS(IF(D81=År1,'Resultater - Vestdanmark'!H$3:H$482,IF(D81=År2,'Resultater - Vestdanmark'!I$3:I$482,'Resultater - Vestdanmark'!J$3:J$482)),'Resultater - Vestdanmark'!$F$3:$F$482,$A81,IF(D81=År1,'Resultater - Vestdanmark'!H$3:H$482,IF(D81=År2,'Resultater - Vestdanmark'!I$3:I$482,'Resultater - Vestdanmark'!J$3:J$482)),"&gt;0"),SUMIFS(IF(D81=År1,'Resultater - Østdanmark'!H$3:H$482,IF(D81=År2,'Resultater - Østdanmark'!I$3:I$482,'Resultater - Østdanmark'!J$3:J$482)),'Resultater - Østdanmark'!$F$3:$F$482,$A81,IF(D81=År1,'Resultater - Østdanmark'!H$3:H$482,IF(D81=År2,'Resultater - Østdanmark'!I$3:I$482,'Resultater - Østdanmark'!J$3:J$482)),"&gt;0"))</f>
        <v>0</v>
      </c>
      <c r="G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92">
        <f>IF(E81="Vestdanmark",-IF(A81="Halm",SUMIFS(IF(D81=År1,'Resultater - Vestdanmark'!H$3:H$482,IF(D81=År2,'Resultater - Vestdanmark'!I$3:I$482,'Resultater - Vestdanmark'!J$3:J$482)),'Resultater - Vestdanmark'!$F$3:$F$482,$A81,'Resultater - Vestdanmark'!H$3:H$482,"&lt;0"),0),-IF(A81="Halm",SUMIFS(IF(D81=År1,'Resultater - Østdanmark'!H$3:H$482,IF(D81=År2,'Resultater - Østdanmark'!I$3:I$482,'Resultater - Østdanmark'!J$3:J$482)),'Resultater - Østdanmark'!$F$3:$F$482,$A81,'Resultater - Østdanmark'!H$3:H$482,"&lt;0"),0))</f>
        <v>0</v>
      </c>
      <c r="I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5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7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204">
        <f t="shared" si="9"/>
        <v>0</v>
      </c>
      <c r="O81" s="195">
        <f t="shared" si="20"/>
        <v>0</v>
      </c>
      <c r="P81" s="205">
        <f t="shared" si="10"/>
        <v>0</v>
      </c>
      <c r="Q81" s="192">
        <f>IFERROR(VLOOKUP(A81,[1]Energiindhold!$A$2:$C$11,3,FALSE),IFERROR(VLOOKUP(A81,[1]Biogasudbytte!$A$2:$B$18,2,FALSE)*[1]Energiindhold!$C$10,0))*O81</f>
        <v>0</v>
      </c>
      <c r="R81" s="192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92">
        <f>IFERROR(VLOOKUP(A81,[1]Biogasudbytte!$A$2:$B$18,2,FALSE)*[1]Energiindhold!$C$10,0)*J81*IFERROR(VLOOKUP(A81,Biogasanlæg!$F$3:$G$8,2,FALSE),1)</f>
        <v>0</v>
      </c>
      <c r="T81" s="193">
        <f t="shared" si="11"/>
        <v>0</v>
      </c>
      <c r="U81" s="191">
        <f>O81*IFERROR(VLOOKUP(A81,[1]Tørstofindhold!A$2:B$24,2,FALSE),0)</f>
        <v>0</v>
      </c>
      <c r="V81" s="192">
        <f>IF(D81=År1,P81,SUM(O81,P81))*IFERROR(VLOOKUP(A81,[1]Tørstofindhold!A$2:B$24,2,FALSE),0)</f>
        <v>0</v>
      </c>
      <c r="W81" s="192">
        <f>J81*IFERROR(VLOOKUP(A81,[1]Tørstofindhold!A$2:B$24,2,FALSE),0)</f>
        <v>0</v>
      </c>
      <c r="X81" s="193">
        <f t="shared" si="12"/>
        <v>0</v>
      </c>
      <c r="Y81" s="171">
        <f t="shared" si="21"/>
        <v>0</v>
      </c>
      <c r="Z81" s="103">
        <f t="shared" si="22"/>
        <v>0</v>
      </c>
    </row>
    <row r="82" spans="1:26" x14ac:dyDescent="0.25">
      <c r="A82" s="194" t="str">
        <f t="shared" si="17"/>
        <v>Pil &amp; poppel</v>
      </c>
      <c r="B82" s="194" t="str">
        <f t="shared" si="18"/>
        <v>Vedmasse</v>
      </c>
      <c r="C82" s="194">
        <f>IF(COUNTIFS('Resultater - Danmark'!$D$3:$D$482,'Resultat-Produktion &amp; forbrug'!A82,'Resultater - Danmark'!$A$3:$A$482,"Til energi")+COUNTIFS('Resultater - Danmark'!$D$3:$D$482,'Resultat-Produktion &amp; forbrug'!A82,'Resultater - Danmark'!$A$3:$A$482,"Biogasanlæg")&gt;0,1,0)</f>
        <v>1</v>
      </c>
      <c r="D82" s="194">
        <f t="shared" si="19"/>
        <v>2030</v>
      </c>
      <c r="E82" s="192" t="s">
        <v>23</v>
      </c>
      <c r="F82" s="195">
        <f>IF(E82="Vestdanmark",SUMIFS(IF(D82=År1,'Resultater - Vestdanmark'!H$3:H$482,IF(D82=År2,'Resultater - Vestdanmark'!I$3:I$482,'Resultater - Vestdanmark'!J$3:J$482)),'Resultater - Vestdanmark'!$F$3:$F$482,$A82,IF(D82=År1,'Resultater - Vestdanmark'!H$3:H$482,IF(D82=År2,'Resultater - Vestdanmark'!I$3:I$482,'Resultater - Vestdanmark'!J$3:J$482)),"&gt;0"),SUMIFS(IF(D82=År1,'Resultater - Østdanmark'!H$3:H$482,IF(D82=År2,'Resultater - Østdanmark'!I$3:I$482,'Resultater - Østdanmark'!J$3:J$482)),'Resultater - Østdanmark'!$F$3:$F$482,$A82,IF(D82=År1,'Resultater - Østdanmark'!H$3:H$482,IF(D82=År2,'Resultater - Østdanmark'!I$3:I$482,'Resultater - Østdanmark'!J$3:J$482)),"&gt;0"))</f>
        <v>0</v>
      </c>
      <c r="G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92">
        <f>IF(E82="Vestdanmark",-IF(A82="Halm",SUMIFS(IF(D82=År1,'Resultater - Vestdanmark'!H$3:H$482,IF(D82=År2,'Resultater - Vestdanmark'!I$3:I$482,'Resultater - Vestdanmark'!J$3:J$482)),'Resultater - Vestdanmark'!$F$3:$F$482,$A82,'Resultater - Vestdanmark'!H$3:H$482,"&lt;0"),0),-IF(A82="Halm",SUMIFS(IF(D82=År1,'Resultater - Østdanmark'!H$3:H$482,IF(D82=År2,'Resultater - Østdanmark'!I$3:I$482,'Resultater - Østdanmark'!J$3:J$482)),'Resultater - Østdanmark'!$F$3:$F$482,$A82,'Resultater - Østdanmark'!H$3:H$482,"&lt;0"),0))</f>
        <v>0</v>
      </c>
      <c r="I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5" t="e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#REF!</v>
      </c>
      <c r="M82" s="157" t="e">
        <f>SUMIFS('Forbrug af biomasse'!E:E,'Forbrug af biomasse'!C:C,'Resultat-Produktion &amp; forbrug'!$A82,'Forbrug af biomasse'!D:D,'Resultat-Produktion &amp; forbrug'!$D82,'Forbrug af biomasse'!G:G,1,'Forbrug af biomasse'!B:B,$E82)</f>
        <v>#REF!</v>
      </c>
      <c r="N82" s="204" t="e">
        <f t="shared" ref="N82:N149" si="23">F82-SUM(G82:M82)</f>
        <v>#REF!</v>
      </c>
      <c r="O82" s="195" t="e">
        <f t="shared" si="20"/>
        <v>#REF!</v>
      </c>
      <c r="P82" s="205" t="e">
        <f t="shared" ref="P82:P149" si="24">SUM(J82,L82)</f>
        <v>#REF!</v>
      </c>
      <c r="Q82" s="192" t="e">
        <f>IFERROR(VLOOKUP(A82,[1]Energiindhold!$A$2:$C$11,3,FALSE),IFERROR(VLOOKUP(A82,[1]Biogasudbytte!$A$2:$B$18,2,FALSE)*[1]Energiindhold!$C$10,0))*O82</f>
        <v>#REF!</v>
      </c>
      <c r="R82" s="192" t="e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#REF!</v>
      </c>
      <c r="S82" s="192">
        <f>IFERROR(VLOOKUP(A82,[1]Biogasudbytte!$A$2:$B$18,2,FALSE)*[1]Energiindhold!$C$10,0)*J82*IFERROR(VLOOKUP(A82,Biogasanlæg!$F$3:$G$8,2,FALSE),1)</f>
        <v>0</v>
      </c>
      <c r="T82" s="193" t="e">
        <f t="shared" ref="T82:T149" si="25">R82-S82</f>
        <v>#REF!</v>
      </c>
      <c r="U82" s="191" t="e">
        <f>O82*IFERROR(VLOOKUP(A82,[1]Tørstofindhold!A$2:B$24,2,FALSE),0)</f>
        <v>#REF!</v>
      </c>
      <c r="V82" s="192" t="e">
        <f>IF(D82=År1,P82,SUM(O82,P82))*IFERROR(VLOOKUP(A82,[1]Tørstofindhold!A$2:B$24,2,FALSE),0)</f>
        <v>#REF!</v>
      </c>
      <c r="W82" s="192">
        <f>J82*IFERROR(VLOOKUP(A82,[1]Tørstofindhold!A$2:B$24,2,FALSE),0)</f>
        <v>0</v>
      </c>
      <c r="X82" s="193" t="e">
        <f t="shared" ref="X82:X149" si="26">V82-W82</f>
        <v>#REF!</v>
      </c>
      <c r="Y82" s="171" t="e">
        <f t="shared" si="21"/>
        <v>#REF!</v>
      </c>
      <c r="Z82" s="103" t="e">
        <f t="shared" si="22"/>
        <v>#REF!</v>
      </c>
    </row>
    <row r="83" spans="1:26" x14ac:dyDescent="0.25">
      <c r="A83" s="194" t="str">
        <f t="shared" ref="A83:A84" si="27">A35</f>
        <v>Pyrolysegas</v>
      </c>
      <c r="B83" s="194" t="str">
        <f t="shared" ref="B83:B84" si="28">IF(B35&lt;&gt;"",B35,"")</f>
        <v>Pyrolyseprodukter</v>
      </c>
      <c r="C83" s="194">
        <f>IF(COUNTIFS('Resultater - Danmark'!$D$3:$D$482,'Resultat-Produktion &amp; forbrug'!A83,'Resultater - Danmark'!$A$3:$A$482,"Til energi")+COUNTIFS('Resultater - Danmark'!$D$3:$D$482,'Resultat-Produktion &amp; forbrug'!A83,'Resultater - Danmark'!$A$3:$A$482,"Biogasanlæg")&gt;0,1,0)</f>
        <v>1</v>
      </c>
      <c r="D83" s="194">
        <f t="shared" si="19"/>
        <v>2030</v>
      </c>
      <c r="E83" s="192" t="s">
        <v>23</v>
      </c>
      <c r="F83" s="195">
        <f>IF(E83="Vestdanmark",SUMIFS(IF(D83=År1,'Resultater - Vestdanmark'!H$3:H$482,IF(D83=År2,'Resultater - Vestdanmark'!I$3:I$482,'Resultater - Vestdanmark'!J$3:J$482)),'Resultater - Vestdanmark'!$F$3:$F$482,$A83,IF(D83=År1,'Resultater - Vestdanmark'!H$3:H$482,IF(D83=År2,'Resultater - Vestdanmark'!I$3:I$482,'Resultater - Vestdanmark'!J$3:J$482)),"&gt;0"),SUMIFS(IF(D83=År1,'Resultater - Østdanmark'!H$3:H$482,IF(D83=År2,'Resultater - Østdanmark'!I$3:I$482,'Resultater - Østdanmark'!J$3:J$482)),'Resultater - Østdanmark'!$F$3:$F$482,$A83,IF(D83=År1,'Resultater - Østdanmark'!H$3:H$482,IF(D83=År2,'Resultater - Østdanmark'!I$3:I$482,'Resultater - Østdanmark'!J$3:J$482)),"&gt;0"))</f>
        <v>0</v>
      </c>
      <c r="G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92">
        <f>IF(E83="Vestdanmark",-IF(A83="Halm",SUMIFS(IF(D83=År1,'Resultater - Vestdanmark'!H$3:H$482,IF(D83=År2,'Resultater - Vestdanmark'!I$3:I$482,'Resultater - Vestdanmark'!J$3:J$482)),'Resultater - Vestdanmark'!$F$3:$F$482,$A83,'Resultater - Vestdanmark'!H$3:H$482,"&lt;0"),0),-IF(A83="Halm",SUMIFS(IF(D83=År1,'Resultater - Østdanmark'!H$3:H$482,IF(D83=År2,'Resultater - Østdanmark'!I$3:I$482,'Resultater - Østdanmark'!J$3:J$482)),'Resultater - Østdanmark'!$F$3:$F$482,$A83,'Resultater - Østdanmark'!H$3:H$482,"&lt;0"),0))</f>
        <v>0</v>
      </c>
      <c r="I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5" t="e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#REF!</v>
      </c>
      <c r="M83" s="157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204" t="e">
        <f t="shared" ref="N83:N84" si="29">F83-SUM(G83:M83)</f>
        <v>#REF!</v>
      </c>
      <c r="O83" s="195" t="e">
        <f t="shared" si="20"/>
        <v>#REF!</v>
      </c>
      <c r="P83" s="205" t="e">
        <f t="shared" ref="P83:P84" si="30">SUM(J83,L83)</f>
        <v>#REF!</v>
      </c>
      <c r="Q83" s="192" t="e">
        <f>IFERROR(VLOOKUP(A83,[1]Energiindhold!$A$2:$C$11,3,FALSE),IFERROR(VLOOKUP(A83,[1]Biogasudbytte!$A$2:$B$18,2,FALSE)*[1]Energiindhold!$C$10,0))*O83</f>
        <v>#REF!</v>
      </c>
      <c r="R83" s="192" t="e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#REF!</v>
      </c>
      <c r="S83" s="192">
        <f>IFERROR(VLOOKUP(A83,[1]Biogasudbytte!$A$2:$B$18,2,FALSE)*[1]Energiindhold!$C$10,0)*J83*IFERROR(VLOOKUP(A83,Biogasanlæg!$F$3:$G$8,2,FALSE),1)</f>
        <v>0</v>
      </c>
      <c r="T83" s="193" t="e">
        <f t="shared" ref="T83:T84" si="31">R83-S83</f>
        <v>#REF!</v>
      </c>
      <c r="U83" s="191" t="e">
        <f>O83*IFERROR(VLOOKUP(A83,[1]Tørstofindhold!A$2:B$24,2,FALSE),0)</f>
        <v>#REF!</v>
      </c>
      <c r="V83" s="192" t="e">
        <f>IF(D83=År1,P83,SUM(O83,P83))*IFERROR(VLOOKUP(A83,[1]Tørstofindhold!A$2:B$24,2,FALSE),0)</f>
        <v>#REF!</v>
      </c>
      <c r="W83" s="192">
        <f>J83*IFERROR(VLOOKUP(A83,[1]Tørstofindhold!A$2:B$24,2,FALSE),0)</f>
        <v>0</v>
      </c>
      <c r="X83" s="193" t="e">
        <f t="shared" ref="X83:X84" si="32">V83-W83</f>
        <v>#REF!</v>
      </c>
      <c r="Y83" s="171" t="e">
        <f t="shared" si="21"/>
        <v>#REF!</v>
      </c>
      <c r="Z83" s="103" t="e">
        <f t="shared" si="22"/>
        <v>#REF!</v>
      </c>
    </row>
    <row r="84" spans="1:26" x14ac:dyDescent="0.25">
      <c r="A84" s="194" t="str">
        <f t="shared" si="27"/>
        <v>Pyrolyseolie</v>
      </c>
      <c r="B84" s="194" t="str">
        <f t="shared" si="28"/>
        <v>Pyrolyseprodukter</v>
      </c>
      <c r="C84" s="194">
        <f>IF(COUNTIFS('Resultater - Danmark'!$D$3:$D$482,'Resultat-Produktion &amp; forbrug'!A84,'Resultater - Danmark'!$A$3:$A$482,"Til energi")+COUNTIFS('Resultater - Danmark'!$D$3:$D$482,'Resultat-Produktion &amp; forbrug'!A84,'Resultater - Danmark'!$A$3:$A$482,"Biogasanlæg")&gt;0,1,0)</f>
        <v>1</v>
      </c>
      <c r="D84" s="194">
        <f t="shared" si="19"/>
        <v>2030</v>
      </c>
      <c r="E84" s="192" t="s">
        <v>23</v>
      </c>
      <c r="F84" s="195">
        <f>IF(E84="Vestdanmark",SUMIFS(IF(D84=År1,'Resultater - Vestdanmark'!H$3:H$482,IF(D84=År2,'Resultater - Vestdanmark'!I$3:I$482,'Resultater - Vestdanmark'!J$3:J$482)),'Resultater - Vestdanmark'!$F$3:$F$482,$A84,IF(D84=År1,'Resultater - Vestdanmark'!H$3:H$482,IF(D84=År2,'Resultater - Vestdanmark'!I$3:I$482,'Resultater - Vestdanmark'!J$3:J$482)),"&gt;0"),SUMIFS(IF(D84=År1,'Resultater - Østdanmark'!H$3:H$482,IF(D84=År2,'Resultater - Østdanmark'!I$3:I$482,'Resultater - Østdanmark'!J$3:J$482)),'Resultater - Østdanmark'!$F$3:$F$482,$A84,IF(D84=År1,'Resultater - Østdanmark'!H$3:H$482,IF(D84=År2,'Resultater - Østdanmark'!I$3:I$482,'Resultater - Østdanmark'!J$3:J$482)),"&gt;0"))</f>
        <v>0</v>
      </c>
      <c r="G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92">
        <f>IF(E84="Vestdanmark",-IF(A84="Halm",SUMIFS(IF(D84=År1,'Resultater - Vestdanmark'!H$3:H$482,IF(D84=År2,'Resultater - Vestdanmark'!I$3:I$482,'Resultater - Vestdanmark'!J$3:J$482)),'Resultater - Vestdanmark'!$F$3:$F$482,$A84,'Resultater - Vestdanmark'!H$3:H$482,"&lt;0"),0),-IF(A84="Halm",SUMIFS(IF(D84=År1,'Resultater - Østdanmark'!H$3:H$482,IF(D84=År2,'Resultater - Østdanmark'!I$3:I$482,'Resultater - Østdanmark'!J$3:J$482)),'Resultater - Østdanmark'!$F$3:$F$482,$A84,'Resultater - Østdanmark'!H$3:H$482,"&lt;0"),0))</f>
        <v>0</v>
      </c>
      <c r="I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5" t="e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#REF!</v>
      </c>
      <c r="M84" s="157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204" t="e">
        <f t="shared" si="29"/>
        <v>#REF!</v>
      </c>
      <c r="O84" s="195" t="e">
        <f t="shared" si="20"/>
        <v>#REF!</v>
      </c>
      <c r="P84" s="205" t="e">
        <f t="shared" si="30"/>
        <v>#REF!</v>
      </c>
      <c r="Q84" s="192" t="e">
        <f>IFERROR(VLOOKUP(A84,[1]Energiindhold!$A$2:$C$11,3,FALSE),IFERROR(VLOOKUP(A84,[1]Biogasudbytte!$A$2:$B$18,2,FALSE)*[1]Energiindhold!$C$10,0))*O84</f>
        <v>#REF!</v>
      </c>
      <c r="R84" s="192" t="e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#REF!</v>
      </c>
      <c r="S84" s="192">
        <f>IFERROR(VLOOKUP(A84,[1]Biogasudbytte!$A$2:$B$18,2,FALSE)*[1]Energiindhold!$C$10,0)*J84*IFERROR(VLOOKUP(A84,Biogasanlæg!$F$3:$G$8,2,FALSE),1)</f>
        <v>0</v>
      </c>
      <c r="T84" s="193" t="e">
        <f t="shared" si="31"/>
        <v>#REF!</v>
      </c>
      <c r="U84" s="191" t="e">
        <f>O84*IFERROR(VLOOKUP(A84,[1]Tørstofindhold!A$2:B$24,2,FALSE),0)</f>
        <v>#REF!</v>
      </c>
      <c r="V84" s="192" t="e">
        <f>IF(D84=År1,P84,SUM(O84,P84))*IFERROR(VLOOKUP(A84,[1]Tørstofindhold!A$2:B$24,2,FALSE),0)</f>
        <v>#REF!</v>
      </c>
      <c r="W84" s="192">
        <f>J84*IFERROR(VLOOKUP(A84,[1]Tørstofindhold!A$2:B$24,2,FALSE),0)</f>
        <v>0</v>
      </c>
      <c r="X84" s="193" t="e">
        <f t="shared" si="32"/>
        <v>#REF!</v>
      </c>
      <c r="Y84" s="171" t="e">
        <f t="shared" si="21"/>
        <v>#REF!</v>
      </c>
      <c r="Z84" s="103" t="e">
        <f t="shared" si="22"/>
        <v>#REF!</v>
      </c>
    </row>
    <row r="85" spans="1:26" x14ac:dyDescent="0.25">
      <c r="A85" s="194" t="str">
        <f t="shared" ref="A85:A130" si="33">A37</f>
        <v>Råmælk</v>
      </c>
      <c r="B85" s="194" t="str">
        <f t="shared" ref="B85:B130" si="34">IF(B37&lt;&gt;"",B37,"")</f>
        <v/>
      </c>
      <c r="C85" s="194">
        <f>IF(COUNTIFS('Resultater - Danmark'!$D$3:$D$482,'Resultat-Produktion &amp; forbrug'!A85,'Resultater - Danmark'!$A$3:$A$482,"Til energi")+COUNTIFS('Resultater - Danmark'!$D$3:$D$482,'Resultat-Produktion &amp; forbrug'!A85,'Resultater - Danmark'!$A$3:$A$482,"Biogasanlæg")&gt;0,1,0)</f>
        <v>0</v>
      </c>
      <c r="D85" s="194">
        <f t="shared" si="19"/>
        <v>2030</v>
      </c>
      <c r="E85" s="192" t="s">
        <v>23</v>
      </c>
      <c r="F85" s="195">
        <f>IF(E85="Vestdanmark",SUMIFS(IF(D85=År1,'Resultater - Vestdanmark'!H$3:H$482,IF(D85=År2,'Resultater - Vestdanmark'!I$3:I$482,'Resultater - Vestdanmark'!J$3:J$482)),'Resultater - Vestdanmark'!$F$3:$F$482,$A85,IF(D85=År1,'Resultater - Vestdanmark'!H$3:H$482,IF(D85=År2,'Resultater - Vestdanmark'!I$3:I$482,'Resultater - Vestdanmark'!J$3:J$482)),"&gt;0"),SUMIFS(IF(D85=År1,'Resultater - Østdanmark'!H$3:H$482,IF(D85=År2,'Resultater - Østdanmark'!I$3:I$482,'Resultater - Østdanmark'!J$3:J$482)),'Resultater - Østdanmark'!$F$3:$F$482,$A85,IF(D85=År1,'Resultater - Østdanmark'!H$3:H$482,IF(D85=År2,'Resultater - Østdanmark'!I$3:I$482,'Resultater - Østdanmark'!J$3:J$482)),"&gt;0"))</f>
        <v>0</v>
      </c>
      <c r="G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92">
        <f>IF(E85="Vestdanmark",-IF(A85="Halm",SUMIFS(IF(D85=År1,'Resultater - Vestdanmark'!H$3:H$482,IF(D85=År2,'Resultater - Vestdanmark'!I$3:I$482,'Resultater - Vestdanmark'!J$3:J$482)),'Resultater - Vestdanmark'!$F$3:$F$482,$A85,'Resultater - Vestdanmark'!H$3:H$482,"&lt;0"),0),-IF(A85="Halm",SUMIFS(IF(D85=År1,'Resultater - Østdanmark'!H$3:H$482,IF(D85=År2,'Resultater - Østdanmark'!I$3:I$482,'Resultater - Østdanmark'!J$3:J$482)),'Resultater - Østdanmark'!$F$3:$F$482,$A85,'Resultater - Østdanmark'!H$3:H$482,"&lt;0"),0))</f>
        <v>0</v>
      </c>
      <c r="I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5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7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204">
        <f t="shared" si="23"/>
        <v>0</v>
      </c>
      <c r="O85" s="195">
        <f t="shared" si="20"/>
        <v>0</v>
      </c>
      <c r="P85" s="205">
        <f t="shared" si="24"/>
        <v>0</v>
      </c>
      <c r="Q85" s="192">
        <f>IFERROR(VLOOKUP(A85,[1]Energiindhold!$A$2:$C$11,3,FALSE),IFERROR(VLOOKUP(A85,[1]Biogasudbytte!$A$2:$B$18,2,FALSE)*[1]Energiindhold!$C$10,0))*O85</f>
        <v>0</v>
      </c>
      <c r="R85" s="192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92">
        <f>IFERROR(VLOOKUP(A85,[1]Biogasudbytte!$A$2:$B$18,2,FALSE)*[1]Energiindhold!$C$10,0)*J85*IFERROR(VLOOKUP(A85,Biogasanlæg!$F$3:$G$8,2,FALSE),1)</f>
        <v>0</v>
      </c>
      <c r="T85" s="193">
        <f t="shared" si="25"/>
        <v>0</v>
      </c>
      <c r="U85" s="191">
        <f>O85*IFERROR(VLOOKUP(A85,[1]Tørstofindhold!A$2:B$24,2,FALSE),0)</f>
        <v>0</v>
      </c>
      <c r="V85" s="192">
        <f>IF(D85=År1,P85,SUM(O85,P85))*IFERROR(VLOOKUP(A85,[1]Tørstofindhold!A$2:B$24,2,FALSE),0)</f>
        <v>0</v>
      </c>
      <c r="W85" s="192">
        <f>J85*IFERROR(VLOOKUP(A85,[1]Tørstofindhold!A$2:B$24,2,FALSE),0)</f>
        <v>0</v>
      </c>
      <c r="X85" s="193">
        <f t="shared" si="26"/>
        <v>0</v>
      </c>
      <c r="Y85" s="171">
        <f t="shared" si="21"/>
        <v>0</v>
      </c>
      <c r="Z85" s="103">
        <f t="shared" si="22"/>
        <v>0</v>
      </c>
    </row>
    <row r="86" spans="1:26" x14ac:dyDescent="0.25">
      <c r="A86" s="194" t="str">
        <f t="shared" si="33"/>
        <v>Raps</v>
      </c>
      <c r="B86" s="194" t="str">
        <f t="shared" si="34"/>
        <v/>
      </c>
      <c r="C86" s="194">
        <f>IF(COUNTIFS('Resultater - Danmark'!$D$3:$D$482,'Resultat-Produktion &amp; forbrug'!A86,'Resultater - Danmark'!$A$3:$A$482,"Til energi")+COUNTIFS('Resultater - Danmark'!$D$3:$D$482,'Resultat-Produktion &amp; forbrug'!A86,'Resultater - Danmark'!$A$3:$A$482,"Biogasanlæg")&gt;0,1,0)</f>
        <v>0</v>
      </c>
      <c r="D86" s="194">
        <f t="shared" si="19"/>
        <v>2030</v>
      </c>
      <c r="E86" s="192" t="s">
        <v>23</v>
      </c>
      <c r="F86" s="195">
        <f>IF(E86="Vestdanmark",SUMIFS(IF(D86=År1,'Resultater - Vestdanmark'!H$3:H$482,IF(D86=År2,'Resultater - Vestdanmark'!I$3:I$482,'Resultater - Vestdanmark'!J$3:J$482)),'Resultater - Vestdanmark'!$F$3:$F$482,$A86,IF(D86=År1,'Resultater - Vestdanmark'!H$3:H$482,IF(D86=År2,'Resultater - Vestdanmark'!I$3:I$482,'Resultater - Vestdanmark'!J$3:J$482)),"&gt;0"),SUMIFS(IF(D86=År1,'Resultater - Østdanmark'!H$3:H$482,IF(D86=År2,'Resultater - Østdanmark'!I$3:I$482,'Resultater - Østdanmark'!J$3:J$482)),'Resultater - Østdanmark'!$F$3:$F$482,$A86,IF(D86=År1,'Resultater - Østdanmark'!H$3:H$482,IF(D86=År2,'Resultater - Østdanmark'!I$3:I$482,'Resultater - Østdanmark'!J$3:J$482)),"&gt;0"))</f>
        <v>0</v>
      </c>
      <c r="G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92">
        <f>IF(E86="Vestdanmark",-IF(A86="Halm",SUMIFS(IF(D86=År1,'Resultater - Vestdanmark'!H$3:H$482,IF(D86=År2,'Resultater - Vestdanmark'!I$3:I$482,'Resultater - Vestdanmark'!J$3:J$482)),'Resultater - Vestdanmark'!$F$3:$F$482,$A86,'Resultater - Vestdanmark'!H$3:H$482,"&lt;0"),0),-IF(A86="Halm",SUMIFS(IF(D86=År1,'Resultater - Østdanmark'!H$3:H$482,IF(D86=År2,'Resultater - Østdanmark'!I$3:I$482,'Resultater - Østdanmark'!J$3:J$482)),'Resultater - Østdanmark'!$F$3:$F$482,$A86,'Resultater - Østdanmark'!H$3:H$482,"&lt;0"),0))</f>
        <v>0</v>
      </c>
      <c r="I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5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7" t="e">
        <f>SUMIFS('Forbrug af biomasse'!E:E,'Forbrug af biomasse'!C:C,'Resultat-Produktion &amp; forbrug'!$A86,'Forbrug af biomasse'!D:D,'Resultat-Produktion &amp; forbrug'!$D86,'Forbrug af biomasse'!G:G,1,'Forbrug af biomasse'!B:B,$E86)</f>
        <v>#REF!</v>
      </c>
      <c r="N86" s="204" t="e">
        <f t="shared" si="23"/>
        <v>#REF!</v>
      </c>
      <c r="O86" s="195">
        <f t="shared" si="20"/>
        <v>0</v>
      </c>
      <c r="P86" s="205">
        <f t="shared" si="24"/>
        <v>0</v>
      </c>
      <c r="Q86" s="192">
        <f>IFERROR(VLOOKUP(A86,[1]Energiindhold!$A$2:$C$11,3,FALSE),IFERROR(VLOOKUP(A86,[1]Biogasudbytte!$A$2:$B$18,2,FALSE)*[1]Energiindhold!$C$10,0))*O86</f>
        <v>0</v>
      </c>
      <c r="R86" s="192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92">
        <f>IFERROR(VLOOKUP(A86,[1]Biogasudbytte!$A$2:$B$18,2,FALSE)*[1]Energiindhold!$C$10,0)*J86*IFERROR(VLOOKUP(A86,Biogasanlæg!$F$3:$G$8,2,FALSE),1)</f>
        <v>0</v>
      </c>
      <c r="T86" s="193">
        <f t="shared" si="25"/>
        <v>0</v>
      </c>
      <c r="U86" s="191">
        <f>O86*IFERROR(VLOOKUP(A86,[1]Tørstofindhold!A$2:B$24,2,FALSE),0)</f>
        <v>0</v>
      </c>
      <c r="V86" s="192">
        <f>IF(D86=År1,P86,SUM(O86,P86))*IFERROR(VLOOKUP(A86,[1]Tørstofindhold!A$2:B$24,2,FALSE),0)</f>
        <v>0</v>
      </c>
      <c r="W86" s="192">
        <f>J86*IFERROR(VLOOKUP(A86,[1]Tørstofindhold!A$2:B$24,2,FALSE),0)</f>
        <v>0</v>
      </c>
      <c r="X86" s="193">
        <f t="shared" si="26"/>
        <v>0</v>
      </c>
      <c r="Y86" s="171" t="e">
        <f t="shared" si="21"/>
        <v>#REF!</v>
      </c>
      <c r="Z86" s="103" t="e">
        <f t="shared" si="22"/>
        <v>#REF!</v>
      </c>
    </row>
    <row r="87" spans="1:26" x14ac:dyDescent="0.25">
      <c r="A87" s="194" t="str">
        <f t="shared" si="33"/>
        <v>Rapskage</v>
      </c>
      <c r="B87" s="194" t="str">
        <f t="shared" si="34"/>
        <v/>
      </c>
      <c r="C87" s="194">
        <f>IF(COUNTIFS('Resultater - Danmark'!$D$3:$D$482,'Resultat-Produktion &amp; forbrug'!A87,'Resultater - Danmark'!$A$3:$A$482,"Til energi")+COUNTIFS('Resultater - Danmark'!$D$3:$D$482,'Resultat-Produktion &amp; forbrug'!A87,'Resultater - Danmark'!$A$3:$A$482,"Biogasanlæg")&gt;0,1,0)</f>
        <v>0</v>
      </c>
      <c r="D87" s="194">
        <f t="shared" si="19"/>
        <v>2030</v>
      </c>
      <c r="E87" s="192" t="s">
        <v>23</v>
      </c>
      <c r="F87" s="195">
        <f>IF(E87="Vestdanmark",SUMIFS(IF(D87=År1,'Resultater - Vestdanmark'!H$3:H$482,IF(D87=År2,'Resultater - Vestdanmark'!I$3:I$482,'Resultater - Vestdanmark'!J$3:J$482)),'Resultater - Vestdanmark'!$F$3:$F$482,$A87,IF(D87=År1,'Resultater - Vestdanmark'!H$3:H$482,IF(D87=År2,'Resultater - Vestdanmark'!I$3:I$482,'Resultater - Vestdanmark'!J$3:J$482)),"&gt;0"),SUMIFS(IF(D87=År1,'Resultater - Østdanmark'!H$3:H$482,IF(D87=År2,'Resultater - Østdanmark'!I$3:I$482,'Resultater - Østdanmark'!J$3:J$482)),'Resultater - Østdanmark'!$F$3:$F$482,$A87,IF(D87=År1,'Resultater - Østdanmark'!H$3:H$482,IF(D87=År2,'Resultater - Østdanmark'!I$3:I$482,'Resultater - Østdanmark'!J$3:J$482)),"&gt;0"))</f>
        <v>0</v>
      </c>
      <c r="G87" s="195" t="e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#REF!</v>
      </c>
      <c r="H87" s="192">
        <f>IF(E87="Vestdanmark",-IF(A87="Halm",SUMIFS(IF(D87=År1,'Resultater - Vestdanmark'!H$3:H$482,IF(D87=År2,'Resultater - Vestdanmark'!I$3:I$482,'Resultater - Vestdanmark'!J$3:J$482)),'Resultater - Vestdanmark'!$F$3:$F$482,$A87,'Resultater - Vestdanmark'!H$3:H$482,"&lt;0"),0),-IF(A87="Halm",SUMIFS(IF(D87=År1,'Resultater - Østdanmark'!H$3:H$482,IF(D87=År2,'Resultater - Østdanmark'!I$3:I$482,'Resultater - Østdanmark'!J$3:J$482)),'Resultater - Østdanmark'!$F$3:$F$482,$A87,'Resultater - Østdanmark'!H$3:H$482,"&lt;0"),0))</f>
        <v>0</v>
      </c>
      <c r="I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5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7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204" t="e">
        <f t="shared" si="23"/>
        <v>#REF!</v>
      </c>
      <c r="O87" s="195">
        <f t="shared" si="20"/>
        <v>0</v>
      </c>
      <c r="P87" s="205">
        <f t="shared" si="24"/>
        <v>0</v>
      </c>
      <c r="Q87" s="192">
        <f>IFERROR(VLOOKUP(A87,[1]Energiindhold!$A$2:$C$11,3,FALSE),IFERROR(VLOOKUP(A87,[1]Biogasudbytte!$A$2:$B$18,2,FALSE)*[1]Energiindhold!$C$10,0))*O87</f>
        <v>0</v>
      </c>
      <c r="R87" s="192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92">
        <f>IFERROR(VLOOKUP(A87,[1]Biogasudbytte!$A$2:$B$18,2,FALSE)*[1]Energiindhold!$C$10,0)*J87*IFERROR(VLOOKUP(A87,Biogasanlæg!$F$3:$G$8,2,FALSE),1)</f>
        <v>0</v>
      </c>
      <c r="T87" s="193">
        <f t="shared" si="25"/>
        <v>0</v>
      </c>
      <c r="U87" s="191">
        <f>O87*IFERROR(VLOOKUP(A87,[1]Tørstofindhold!A$2:B$24,2,FALSE),0)</f>
        <v>0</v>
      </c>
      <c r="V87" s="192">
        <f>IF(D87=År1,P87,SUM(O87,P87))*IFERROR(VLOOKUP(A87,[1]Tørstofindhold!A$2:B$24,2,FALSE),0)</f>
        <v>0</v>
      </c>
      <c r="W87" s="192">
        <f>J87*IFERROR(VLOOKUP(A87,[1]Tørstofindhold!A$2:B$24,2,FALSE),0)</f>
        <v>0</v>
      </c>
      <c r="X87" s="193">
        <f t="shared" si="26"/>
        <v>0</v>
      </c>
      <c r="Y87" s="171" t="e">
        <f t="shared" si="21"/>
        <v>#REF!</v>
      </c>
      <c r="Z87" s="103" t="e">
        <f t="shared" si="22"/>
        <v>#REF!</v>
      </c>
    </row>
    <row r="88" spans="1:26" x14ac:dyDescent="0.25">
      <c r="A88" s="194" t="str">
        <f t="shared" si="33"/>
        <v>Rapsolie</v>
      </c>
      <c r="B88" s="194" t="str">
        <f t="shared" si="34"/>
        <v>Rapsolie</v>
      </c>
      <c r="C88" s="194">
        <f>IF(COUNTIFS('Resultater - Danmark'!$D$3:$D$482,'Resultat-Produktion &amp; forbrug'!A88,'Resultater - Danmark'!$A$3:$A$482,"Til energi")+COUNTIFS('Resultater - Danmark'!$D$3:$D$482,'Resultat-Produktion &amp; forbrug'!A88,'Resultater - Danmark'!$A$3:$A$482,"Biogasanlæg")&gt;0,1,0)</f>
        <v>1</v>
      </c>
      <c r="D88" s="194">
        <f t="shared" si="19"/>
        <v>2030</v>
      </c>
      <c r="E88" s="192" t="s">
        <v>23</v>
      </c>
      <c r="F88" s="195">
        <f>IF(E88="Vestdanmark",SUMIFS(IF(D88=År1,'Resultater - Vestdanmark'!H$3:H$482,IF(D88=År2,'Resultater - Vestdanmark'!I$3:I$482,'Resultater - Vestdanmark'!J$3:J$482)),'Resultater - Vestdanmark'!$F$3:$F$482,$A88,IF(D88=År1,'Resultater - Vestdanmark'!H$3:H$482,IF(D88=År2,'Resultater - Vestdanmark'!I$3:I$482,'Resultater - Vestdanmark'!J$3:J$482)),"&gt;0"),SUMIFS(IF(D88=År1,'Resultater - Østdanmark'!H$3:H$482,IF(D88=År2,'Resultater - Østdanmark'!I$3:I$482,'Resultater - Østdanmark'!J$3:J$482)),'Resultater - Østdanmark'!$F$3:$F$482,$A88,IF(D88=År1,'Resultater - Østdanmark'!H$3:H$482,IF(D88=År2,'Resultater - Østdanmark'!I$3:I$482,'Resultater - Østdanmark'!J$3:J$482)),"&gt;0"))</f>
        <v>0</v>
      </c>
      <c r="G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92">
        <f>IF(E88="Vestdanmark",-IF(A88="Halm",SUMIFS(IF(D88=År1,'Resultater - Vestdanmark'!H$3:H$482,IF(D88=År2,'Resultater - Vestdanmark'!I$3:I$482,'Resultater - Vestdanmark'!J$3:J$482)),'Resultater - Vestdanmark'!$F$3:$F$482,$A88,'Resultater - Vestdanmark'!H$3:H$482,"&lt;0"),0),-IF(A88="Halm",SUMIFS(IF(D88=År1,'Resultater - Østdanmark'!H$3:H$482,IF(D88=År2,'Resultater - Østdanmark'!I$3:I$482,'Resultater - Østdanmark'!J$3:J$482)),'Resultater - Østdanmark'!$F$3:$F$482,$A88,'Resultater - Østdanmark'!H$3:H$482,"&lt;0"),0))</f>
        <v>0</v>
      </c>
      <c r="I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5" t="e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#REF!</v>
      </c>
      <c r="M88" s="157" t="e">
        <f>SUMIFS('Forbrug af biomasse'!E:E,'Forbrug af biomasse'!C:C,'Resultat-Produktion &amp; forbrug'!$A88,'Forbrug af biomasse'!D:D,'Resultat-Produktion &amp; forbrug'!$D88,'Forbrug af biomasse'!G:G,1,'Forbrug af biomasse'!B:B,$E88)</f>
        <v>#REF!</v>
      </c>
      <c r="N88" s="204" t="e">
        <f t="shared" si="23"/>
        <v>#REF!</v>
      </c>
      <c r="O88" s="195" t="e">
        <f t="shared" si="20"/>
        <v>#REF!</v>
      </c>
      <c r="P88" s="205" t="e">
        <f t="shared" si="24"/>
        <v>#REF!</v>
      </c>
      <c r="Q88" s="192" t="e">
        <f>IFERROR(VLOOKUP(A88,[1]Energiindhold!$A$2:$C$11,3,FALSE),IFERROR(VLOOKUP(A88,[1]Biogasudbytte!$A$2:$B$18,2,FALSE)*[1]Energiindhold!$C$10,0))*O88</f>
        <v>#REF!</v>
      </c>
      <c r="R88" s="192" t="e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#REF!</v>
      </c>
      <c r="S88" s="192">
        <f>IFERROR(VLOOKUP(A88,[1]Biogasudbytte!$A$2:$B$18,2,FALSE)*[1]Energiindhold!$C$10,0)*J88*IFERROR(VLOOKUP(A88,Biogasanlæg!$F$3:$G$8,2,FALSE),1)</f>
        <v>0</v>
      </c>
      <c r="T88" s="193" t="e">
        <f t="shared" si="25"/>
        <v>#REF!</v>
      </c>
      <c r="U88" s="191" t="e">
        <f>O88*IFERROR(VLOOKUP(A88,[1]Tørstofindhold!A$2:B$24,2,FALSE),0)</f>
        <v>#REF!</v>
      </c>
      <c r="V88" s="192" t="e">
        <f>IF(D88=År1,P88,SUM(O88,P88))*IFERROR(VLOOKUP(A88,[1]Tørstofindhold!A$2:B$24,2,FALSE),0)</f>
        <v>#REF!</v>
      </c>
      <c r="W88" s="192">
        <f>J88*IFERROR(VLOOKUP(A88,[1]Tørstofindhold!A$2:B$24,2,FALSE),0)</f>
        <v>0</v>
      </c>
      <c r="X88" s="193" t="e">
        <f t="shared" si="26"/>
        <v>#REF!</v>
      </c>
      <c r="Y88" s="171" t="e">
        <f t="shared" si="21"/>
        <v>#REF!</v>
      </c>
      <c r="Z88" s="103" t="e">
        <f t="shared" si="22"/>
        <v>#REF!</v>
      </c>
    </row>
    <row r="89" spans="1:26" x14ac:dyDescent="0.25">
      <c r="A89" s="194" t="str">
        <f t="shared" si="33"/>
        <v>Roer</v>
      </c>
      <c r="B89" s="194" t="str">
        <f t="shared" si="34"/>
        <v>Græs og urter</v>
      </c>
      <c r="C89" s="194">
        <f>IF(COUNTIFS('Resultater - Danmark'!$D$3:$D$482,'Resultat-Produktion &amp; forbrug'!A89,'Resultater - Danmark'!$A$3:$A$482,"Til energi")+COUNTIFS('Resultater - Danmark'!$D$3:$D$482,'Resultat-Produktion &amp; forbrug'!A89,'Resultater - Danmark'!$A$3:$A$482,"Biogasanlæg")&gt;0,1,0)</f>
        <v>1</v>
      </c>
      <c r="D89" s="194">
        <f t="shared" si="19"/>
        <v>2030</v>
      </c>
      <c r="E89" s="192" t="s">
        <v>23</v>
      </c>
      <c r="F89" s="195">
        <f>IF(E89="Vestdanmark",SUMIFS(IF(D89=År1,'Resultater - Vestdanmark'!H$3:H$482,IF(D89=År2,'Resultater - Vestdanmark'!I$3:I$482,'Resultater - Vestdanmark'!J$3:J$482)),'Resultater - Vestdanmark'!$F$3:$F$482,$A89,IF(D89=År1,'Resultater - Vestdanmark'!H$3:H$482,IF(D89=År2,'Resultater - Vestdanmark'!I$3:I$482,'Resultater - Vestdanmark'!J$3:J$482)),"&gt;0"),SUMIFS(IF(D89=År1,'Resultater - Østdanmark'!H$3:H$482,IF(D89=År2,'Resultater - Østdanmark'!I$3:I$482,'Resultater - Østdanmark'!J$3:J$482)),'Resultater - Østdanmark'!$F$3:$F$482,$A89,IF(D89=År1,'Resultater - Østdanmark'!H$3:H$482,IF(D89=År2,'Resultater - Østdanmark'!I$3:I$482,'Resultater - Østdanmark'!J$3:J$482)),"&gt;0"))</f>
        <v>0</v>
      </c>
      <c r="G89" s="195" t="e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#REF!</v>
      </c>
      <c r="H89" s="192">
        <f>IF(E89="Vestdanmark",-IF(A89="Halm",SUMIFS(IF(D89=År1,'Resultater - Vestdanmark'!H$3:H$482,IF(D89=År2,'Resultater - Vestdanmark'!I$3:I$482,'Resultater - Vestdanmark'!J$3:J$482)),'Resultater - Vestdanmark'!$F$3:$F$482,$A89,'Resultater - Vestdanmark'!H$3:H$482,"&lt;0"),0),-IF(A89="Halm",SUMIFS(IF(D89=År1,'Resultater - Østdanmark'!H$3:H$482,IF(D89=År2,'Resultater - Østdanmark'!I$3:I$482,'Resultater - Østdanmark'!J$3:J$482)),'Resultater - Østdanmark'!$F$3:$F$482,$A89,'Resultater - Østdanmark'!H$3:H$482,"&lt;0"),0))</f>
        <v>0</v>
      </c>
      <c r="I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5" t="e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#REF!</v>
      </c>
      <c r="K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5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7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204" t="e">
        <f t="shared" si="23"/>
        <v>#REF!</v>
      </c>
      <c r="O89" s="195" t="e">
        <f t="shared" si="20"/>
        <v>#REF!</v>
      </c>
      <c r="P89" s="205" t="e">
        <f t="shared" si="24"/>
        <v>#REF!</v>
      </c>
      <c r="Q89" s="192" t="e">
        <f>IFERROR(VLOOKUP(A89,[1]Energiindhold!$A$2:$C$11,3,FALSE),IFERROR(VLOOKUP(A89,[1]Biogasudbytte!$A$2:$B$18,2,FALSE)*[1]Energiindhold!$C$10,0))*O89</f>
        <v>#REF!</v>
      </c>
      <c r="R89" s="192" t="e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#REF!</v>
      </c>
      <c r="S89" s="192" t="e">
        <f>IFERROR(VLOOKUP(A89,[1]Biogasudbytte!$A$2:$B$18,2,FALSE)*[1]Energiindhold!$C$10,0)*J89*IFERROR(VLOOKUP(A89,Biogasanlæg!$F$3:$G$8,2,FALSE),1)</f>
        <v>#REF!</v>
      </c>
      <c r="T89" s="193" t="e">
        <f t="shared" si="25"/>
        <v>#REF!</v>
      </c>
      <c r="U89" s="191" t="e">
        <f>O89*IFERROR(VLOOKUP(A89,[1]Tørstofindhold!A$2:B$24,2,FALSE),0)</f>
        <v>#REF!</v>
      </c>
      <c r="V89" s="192" t="e">
        <f>IF(D89=År1,P89,SUM(O89,P89))*IFERROR(VLOOKUP(A89,[1]Tørstofindhold!A$2:B$24,2,FALSE),0)</f>
        <v>#REF!</v>
      </c>
      <c r="W89" s="192" t="e">
        <f>J89*IFERROR(VLOOKUP(A89,[1]Tørstofindhold!A$2:B$24,2,FALSE),0)</f>
        <v>#REF!</v>
      </c>
      <c r="X89" s="193" t="e">
        <f t="shared" si="26"/>
        <v>#REF!</v>
      </c>
      <c r="Y89" s="171" t="e">
        <f t="shared" si="21"/>
        <v>#REF!</v>
      </c>
      <c r="Z89" s="103" t="e">
        <f t="shared" si="22"/>
        <v>#REF!</v>
      </c>
    </row>
    <row r="90" spans="1:26" x14ac:dyDescent="0.25">
      <c r="A90" s="194" t="str">
        <f t="shared" si="33"/>
        <v>Slagteriaffald til andet</v>
      </c>
      <c r="B90" s="194" t="str">
        <f t="shared" si="34"/>
        <v/>
      </c>
      <c r="C90" s="194">
        <f>IF(COUNTIFS('Resultater - Danmark'!$D$3:$D$482,'Resultat-Produktion &amp; forbrug'!A90,'Resultater - Danmark'!$A$3:$A$482,"Til energi")+COUNTIFS('Resultater - Danmark'!$D$3:$D$482,'Resultat-Produktion &amp; forbrug'!A90,'Resultater - Danmark'!$A$3:$A$482,"Biogasanlæg")&gt;0,1,0)</f>
        <v>0</v>
      </c>
      <c r="D90" s="194">
        <f t="shared" si="19"/>
        <v>2030</v>
      </c>
      <c r="E90" s="192" t="s">
        <v>23</v>
      </c>
      <c r="F90" s="195">
        <f>IF(E90="Vestdanmark",SUMIFS(IF(D90=År1,'Resultater - Vestdanmark'!H$3:H$482,IF(D90=År2,'Resultater - Vestdanmark'!I$3:I$482,'Resultater - Vestdanmark'!J$3:J$482)),'Resultater - Vestdanmark'!$F$3:$F$482,$A90,IF(D90=År1,'Resultater - Vestdanmark'!H$3:H$482,IF(D90=År2,'Resultater - Vestdanmark'!I$3:I$482,'Resultater - Vestdanmark'!J$3:J$482)),"&gt;0"),SUMIFS(IF(D90=År1,'Resultater - Østdanmark'!H$3:H$482,IF(D90=År2,'Resultater - Østdanmark'!I$3:I$482,'Resultater - Østdanmark'!J$3:J$482)),'Resultater - Østdanmark'!$F$3:$F$482,$A90,IF(D90=År1,'Resultater - Østdanmark'!H$3:H$482,IF(D90=År2,'Resultater - Østdanmark'!I$3:I$482,'Resultater - Østdanmark'!J$3:J$482)),"&gt;0"))</f>
        <v>0</v>
      </c>
      <c r="G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92">
        <f>IF(E90="Vestdanmark",-IF(A90="Halm",SUMIFS(IF(D90=År1,'Resultater - Vestdanmark'!H$3:H$482,IF(D90=År2,'Resultater - Vestdanmark'!I$3:I$482,'Resultater - Vestdanmark'!J$3:J$482)),'Resultater - Vestdanmark'!$F$3:$F$482,$A90,'Resultater - Vestdanmark'!H$3:H$482,"&lt;0"),0),-IF(A90="Halm",SUMIFS(IF(D90=År1,'Resultater - Østdanmark'!H$3:H$482,IF(D90=År2,'Resultater - Østdanmark'!I$3:I$482,'Resultater - Østdanmark'!J$3:J$482)),'Resultater - Østdanmark'!$F$3:$F$482,$A90,'Resultater - Østdanmark'!H$3:H$482,"&lt;0"),0))</f>
        <v>0</v>
      </c>
      <c r="I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5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7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204">
        <f t="shared" si="23"/>
        <v>0</v>
      </c>
      <c r="O90" s="195">
        <f t="shared" si="20"/>
        <v>0</v>
      </c>
      <c r="P90" s="205">
        <f t="shared" si="24"/>
        <v>0</v>
      </c>
      <c r="Q90" s="192">
        <f>IFERROR(VLOOKUP(A90,[1]Energiindhold!$A$2:$C$11,3,FALSE),IFERROR(VLOOKUP(A90,[1]Biogasudbytte!$A$2:$B$18,2,FALSE)*[1]Energiindhold!$C$10,0))*O90</f>
        <v>0</v>
      </c>
      <c r="R90" s="192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92">
        <f>IFERROR(VLOOKUP(A90,[1]Biogasudbytte!$A$2:$B$18,2,FALSE)*[1]Energiindhold!$C$10,0)*J90*IFERROR(VLOOKUP(A90,Biogasanlæg!$F$3:$G$8,2,FALSE),1)</f>
        <v>0</v>
      </c>
      <c r="T90" s="193">
        <f t="shared" si="25"/>
        <v>0</v>
      </c>
      <c r="U90" s="191">
        <f>O90*IFERROR(VLOOKUP(A90,[1]Tørstofindhold!A$2:B$24,2,FALSE),0)</f>
        <v>0</v>
      </c>
      <c r="V90" s="192">
        <f>IF(D90=År1,P90,SUM(O90,P90))*IFERROR(VLOOKUP(A90,[1]Tørstofindhold!A$2:B$24,2,FALSE),0)</f>
        <v>0</v>
      </c>
      <c r="W90" s="192">
        <f>J90*IFERROR(VLOOKUP(A90,[1]Tørstofindhold!A$2:B$24,2,FALSE),0)</f>
        <v>0</v>
      </c>
      <c r="X90" s="193">
        <f t="shared" si="26"/>
        <v>0</v>
      </c>
      <c r="Y90" s="171">
        <f t="shared" si="21"/>
        <v>0</v>
      </c>
      <c r="Z90" s="103">
        <f t="shared" si="22"/>
        <v>0</v>
      </c>
    </row>
    <row r="91" spans="1:26" x14ac:dyDescent="0.25">
      <c r="A91" s="194" t="str">
        <f t="shared" si="33"/>
        <v>Slagteriaffald til foder</v>
      </c>
      <c r="B91" s="194" t="str">
        <f t="shared" si="34"/>
        <v/>
      </c>
      <c r="C91" s="194">
        <f>IF(COUNTIFS('Resultater - Danmark'!$D$3:$D$482,'Resultat-Produktion &amp; forbrug'!A91,'Resultater - Danmark'!$A$3:$A$482,"Til energi")+COUNTIFS('Resultater - Danmark'!$D$3:$D$482,'Resultat-Produktion &amp; forbrug'!A91,'Resultater - Danmark'!$A$3:$A$482,"Biogasanlæg")&gt;0,1,0)</f>
        <v>0</v>
      </c>
      <c r="D91" s="194">
        <f t="shared" si="19"/>
        <v>2030</v>
      </c>
      <c r="E91" s="192" t="s">
        <v>23</v>
      </c>
      <c r="F91" s="195">
        <f>IF(E91="Vestdanmark",SUMIFS(IF(D91=År1,'Resultater - Vestdanmark'!H$3:H$482,IF(D91=År2,'Resultater - Vestdanmark'!I$3:I$482,'Resultater - Vestdanmark'!J$3:J$482)),'Resultater - Vestdanmark'!$F$3:$F$482,$A91,IF(D91=År1,'Resultater - Vestdanmark'!H$3:H$482,IF(D91=År2,'Resultater - Vestdanmark'!I$3:I$482,'Resultater - Vestdanmark'!J$3:J$482)),"&gt;0"),SUMIFS(IF(D91=År1,'Resultater - Østdanmark'!H$3:H$482,IF(D91=År2,'Resultater - Østdanmark'!I$3:I$482,'Resultater - Østdanmark'!J$3:J$482)),'Resultater - Østdanmark'!$F$3:$F$482,$A91,IF(D91=År1,'Resultater - Østdanmark'!H$3:H$482,IF(D91=År2,'Resultater - Østdanmark'!I$3:I$482,'Resultater - Østdanmark'!J$3:J$482)),"&gt;0"))</f>
        <v>0</v>
      </c>
      <c r="G91" s="195" t="e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#REF!</v>
      </c>
      <c r="H91" s="192">
        <f>IF(E91="Vestdanmark",-IF(A91="Halm",SUMIFS(IF(D91=År1,'Resultater - Vestdanmark'!H$3:H$482,IF(D91=År2,'Resultater - Vestdanmark'!I$3:I$482,'Resultater - Vestdanmark'!J$3:J$482)),'Resultater - Vestdanmark'!$F$3:$F$482,$A91,'Resultater - Vestdanmark'!H$3:H$482,"&lt;0"),0),-IF(A91="Halm",SUMIFS(IF(D91=År1,'Resultater - Østdanmark'!H$3:H$482,IF(D91=År2,'Resultater - Østdanmark'!I$3:I$482,'Resultater - Østdanmark'!J$3:J$482)),'Resultater - Østdanmark'!$F$3:$F$482,$A91,'Resultater - Østdanmark'!H$3:H$482,"&lt;0"),0))</f>
        <v>0</v>
      </c>
      <c r="I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5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7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204" t="e">
        <f t="shared" si="23"/>
        <v>#REF!</v>
      </c>
      <c r="O91" s="195">
        <f t="shared" si="20"/>
        <v>0</v>
      </c>
      <c r="P91" s="205">
        <f t="shared" si="24"/>
        <v>0</v>
      </c>
      <c r="Q91" s="192">
        <f>IFERROR(VLOOKUP(A91,[1]Energiindhold!$A$2:$C$11,3,FALSE),IFERROR(VLOOKUP(A91,[1]Biogasudbytte!$A$2:$B$18,2,FALSE)*[1]Energiindhold!$C$10,0))*O91</f>
        <v>0</v>
      </c>
      <c r="R91" s="192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92">
        <f>IFERROR(VLOOKUP(A91,[1]Biogasudbytte!$A$2:$B$18,2,FALSE)*[1]Energiindhold!$C$10,0)*J91*IFERROR(VLOOKUP(A91,Biogasanlæg!$F$3:$G$8,2,FALSE),1)</f>
        <v>0</v>
      </c>
      <c r="T91" s="193">
        <f t="shared" si="25"/>
        <v>0</v>
      </c>
      <c r="U91" s="191">
        <f>O91*IFERROR(VLOOKUP(A91,[1]Tørstofindhold!A$2:B$24,2,FALSE),0)</f>
        <v>0</v>
      </c>
      <c r="V91" s="192">
        <f>IF(D91=År1,P91,SUM(O91,P91))*IFERROR(VLOOKUP(A91,[1]Tørstofindhold!A$2:B$24,2,FALSE),0)</f>
        <v>0</v>
      </c>
      <c r="W91" s="192">
        <f>J91*IFERROR(VLOOKUP(A91,[1]Tørstofindhold!A$2:B$24,2,FALSE),0)</f>
        <v>0</v>
      </c>
      <c r="X91" s="193">
        <f t="shared" si="26"/>
        <v>0</v>
      </c>
      <c r="Y91" s="171" t="e">
        <f t="shared" si="21"/>
        <v>#REF!</v>
      </c>
      <c r="Z91" s="103" t="e">
        <f t="shared" si="22"/>
        <v>#REF!</v>
      </c>
    </row>
    <row r="92" spans="1:26" x14ac:dyDescent="0.25">
      <c r="A92" s="194" t="str">
        <f t="shared" si="33"/>
        <v>Spildevandsslam</v>
      </c>
      <c r="B92" s="194" t="str">
        <f t="shared" si="34"/>
        <v>Bionedbrydeligt affald</v>
      </c>
      <c r="C92" s="194">
        <f>IF(COUNTIFS('Resultater - Danmark'!$D$3:$D$482,'Resultat-Produktion &amp; forbrug'!A92,'Resultater - Danmark'!$A$3:$A$482,"Til energi")+COUNTIFS('Resultater - Danmark'!$D$3:$D$482,'Resultat-Produktion &amp; forbrug'!A92,'Resultater - Danmark'!$A$3:$A$482,"Biogasanlæg")&gt;0,1,0)</f>
        <v>1</v>
      </c>
      <c r="D92" s="194">
        <f t="shared" si="19"/>
        <v>2030</v>
      </c>
      <c r="E92" s="192" t="s">
        <v>23</v>
      </c>
      <c r="F92" s="195">
        <f>IF(E92="Vestdanmark",SUMIFS(IF(D92=År1,'Resultater - Vestdanmark'!H$3:H$482,IF(D92=År2,'Resultater - Vestdanmark'!I$3:I$482,'Resultater - Vestdanmark'!J$3:J$482)),'Resultater - Vestdanmark'!$F$3:$F$482,$A92,IF(D92=År1,'Resultater - Vestdanmark'!H$3:H$482,IF(D92=År2,'Resultater - Vestdanmark'!I$3:I$482,'Resultater - Vestdanmark'!J$3:J$482)),"&gt;0"),SUMIFS(IF(D92=År1,'Resultater - Østdanmark'!H$3:H$482,IF(D92=År2,'Resultater - Østdanmark'!I$3:I$482,'Resultater - Østdanmark'!J$3:J$482)),'Resultater - Østdanmark'!$F$3:$F$482,$A92,IF(D92=År1,'Resultater - Østdanmark'!H$3:H$482,IF(D92=År2,'Resultater - Østdanmark'!I$3:I$482,'Resultater - Østdanmark'!J$3:J$482)),"&gt;0"))</f>
        <v>0</v>
      </c>
      <c r="G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92">
        <f>IF(E92="Vestdanmark",-IF(A92="Halm",SUMIFS(IF(D92=År1,'Resultater - Vestdanmark'!H$3:H$482,IF(D92=År2,'Resultater - Vestdanmark'!I$3:I$482,'Resultater - Vestdanmark'!J$3:J$482)),'Resultater - Vestdanmark'!$F$3:$F$482,$A92,'Resultater - Vestdanmark'!H$3:H$482,"&lt;0"),0),-IF(A92="Halm",SUMIFS(IF(D92=År1,'Resultater - Østdanmark'!H$3:H$482,IF(D92=År2,'Resultater - Østdanmark'!I$3:I$482,'Resultater - Østdanmark'!J$3:J$482)),'Resultater - Østdanmark'!$F$3:$F$482,$A92,'Resultater - Østdanmark'!H$3:H$482,"&lt;0"),0))</f>
        <v>0</v>
      </c>
      <c r="I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5" t="e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#REF!</v>
      </c>
      <c r="K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5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7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204" t="e">
        <f t="shared" si="23"/>
        <v>#REF!</v>
      </c>
      <c r="O92" s="195" t="e">
        <f t="shared" si="20"/>
        <v>#REF!</v>
      </c>
      <c r="P92" s="205" t="e">
        <f t="shared" si="24"/>
        <v>#REF!</v>
      </c>
      <c r="Q92" s="192" t="e">
        <f>IFERROR(VLOOKUP(A92,[1]Energiindhold!$A$2:$C$11,3,FALSE),IFERROR(VLOOKUP(A92,[1]Biogasudbytte!$A$2:$B$18,2,FALSE)*[1]Energiindhold!$C$10,0))*O92</f>
        <v>#REF!</v>
      </c>
      <c r="R92" s="192" t="e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#REF!</v>
      </c>
      <c r="S92" s="192" t="e">
        <f>IFERROR(VLOOKUP(A92,[1]Biogasudbytte!$A$2:$B$18,2,FALSE)*[1]Energiindhold!$C$10,0)*J92*IFERROR(VLOOKUP(A92,Biogasanlæg!$F$3:$G$8,2,FALSE),1)</f>
        <v>#REF!</v>
      </c>
      <c r="T92" s="193" t="e">
        <f t="shared" si="25"/>
        <v>#REF!</v>
      </c>
      <c r="U92" s="191" t="e">
        <f>O92*IFERROR(VLOOKUP(A92,[1]Tørstofindhold!A$2:B$24,2,FALSE),0)</f>
        <v>#REF!</v>
      </c>
      <c r="V92" s="192" t="e">
        <f>IF(D92=År1,P92,SUM(O92,P92))*IFERROR(VLOOKUP(A92,[1]Tørstofindhold!A$2:B$24,2,FALSE),0)</f>
        <v>#REF!</v>
      </c>
      <c r="W92" s="192" t="e">
        <f>J92*IFERROR(VLOOKUP(A92,[1]Tørstofindhold!A$2:B$24,2,FALSE),0)</f>
        <v>#REF!</v>
      </c>
      <c r="X92" s="193" t="e">
        <f t="shared" si="26"/>
        <v>#REF!</v>
      </c>
      <c r="Y92" s="171" t="e">
        <f t="shared" si="21"/>
        <v>#REF!</v>
      </c>
      <c r="Z92" s="103" t="e">
        <f t="shared" si="22"/>
        <v>#REF!</v>
      </c>
    </row>
    <row r="93" spans="1:26" x14ac:dyDescent="0.25">
      <c r="A93" s="194" t="str">
        <f t="shared" si="33"/>
        <v>Svinegylle</v>
      </c>
      <c r="B93" s="194" t="str">
        <f t="shared" si="34"/>
        <v>Husdyrgødning</v>
      </c>
      <c r="C93" s="194">
        <f>IF(COUNTIFS('Resultater - Danmark'!$D$3:$D$482,'Resultat-Produktion &amp; forbrug'!A93,'Resultater - Danmark'!$A$3:$A$482,"Til energi")+COUNTIFS('Resultater - Danmark'!$D$3:$D$482,'Resultat-Produktion &amp; forbrug'!A93,'Resultater - Danmark'!$A$3:$A$482,"Biogasanlæg")&gt;0,1,0)</f>
        <v>1</v>
      </c>
      <c r="D93" s="194">
        <f t="shared" si="19"/>
        <v>2030</v>
      </c>
      <c r="E93" s="192" t="s">
        <v>23</v>
      </c>
      <c r="F93" s="195">
        <f>IF(E93="Vestdanmark",SUMIFS(IF(D93=År1,'Resultater - Vestdanmark'!H$3:H$482,IF(D93=År2,'Resultater - Vestdanmark'!I$3:I$482,'Resultater - Vestdanmark'!J$3:J$482)),'Resultater - Vestdanmark'!$F$3:$F$482,$A93,IF(D93=År1,'Resultater - Vestdanmark'!H$3:H$482,IF(D93=År2,'Resultater - Vestdanmark'!I$3:I$482,'Resultater - Vestdanmark'!J$3:J$482)),"&gt;0"),SUMIFS(IF(D93=År1,'Resultater - Østdanmark'!H$3:H$482,IF(D93=År2,'Resultater - Østdanmark'!I$3:I$482,'Resultater - Østdanmark'!J$3:J$482)),'Resultater - Østdanmark'!$F$3:$F$482,$A93,IF(D93=År1,'Resultater - Østdanmark'!H$3:H$482,IF(D93=År2,'Resultater - Østdanmark'!I$3:I$482,'Resultater - Østdanmark'!J$3:J$482)),"&gt;0"))</f>
        <v>0</v>
      </c>
      <c r="G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92">
        <f>IF(E93="Vestdanmark",-IF(A93="Halm",SUMIFS(IF(D93=År1,'Resultater - Vestdanmark'!H$3:H$482,IF(D93=År2,'Resultater - Vestdanmark'!I$3:I$482,'Resultater - Vestdanmark'!J$3:J$482)),'Resultater - Vestdanmark'!$F$3:$F$482,$A93,'Resultater - Vestdanmark'!H$3:H$482,"&lt;0"),0),-IF(A93="Halm",SUMIFS(IF(D93=År1,'Resultater - Østdanmark'!H$3:H$482,IF(D93=År2,'Resultater - Østdanmark'!I$3:I$482,'Resultater - Østdanmark'!J$3:J$482)),'Resultater - Østdanmark'!$F$3:$F$482,$A93,'Resultater - Østdanmark'!H$3:H$482,"&lt;0"),0))</f>
        <v>0</v>
      </c>
      <c r="I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5" t="e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#REF!</v>
      </c>
      <c r="K93" s="195" t="e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#REF!</v>
      </c>
      <c r="L93" s="195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7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204" t="e">
        <f t="shared" si="23"/>
        <v>#REF!</v>
      </c>
      <c r="O93" s="195" t="e">
        <f t="shared" si="20"/>
        <v>#REF!</v>
      </c>
      <c r="P93" s="205" t="e">
        <f t="shared" si="24"/>
        <v>#REF!</v>
      </c>
      <c r="Q93" s="192" t="e">
        <f>IFERROR(VLOOKUP(A93,[1]Energiindhold!$A$2:$C$11,3,FALSE),IFERROR(VLOOKUP(A93,[1]Biogasudbytte!$A$2:$B$18,2,FALSE)*[1]Energiindhold!$C$10,0))*O93</f>
        <v>#REF!</v>
      </c>
      <c r="R93" s="192" t="e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#REF!</v>
      </c>
      <c r="S93" s="192" t="e">
        <f>IFERROR(VLOOKUP(A93,[1]Biogasudbytte!$A$2:$B$18,2,FALSE)*[1]Energiindhold!$C$10,0)*J93*IFERROR(VLOOKUP(A93,Biogasanlæg!$F$3:$G$8,2,FALSE),1)</f>
        <v>#REF!</v>
      </c>
      <c r="T93" s="193" t="e">
        <f t="shared" si="25"/>
        <v>#REF!</v>
      </c>
      <c r="U93" s="191" t="e">
        <f>O93*IFERROR(VLOOKUP(A93,[1]Tørstofindhold!A$2:B$24,2,FALSE),0)</f>
        <v>#REF!</v>
      </c>
      <c r="V93" s="192" t="e">
        <f>IF(D93=År1,P93,SUM(O93,P93))*IFERROR(VLOOKUP(A93,[1]Tørstofindhold!A$2:B$24,2,FALSE),0)</f>
        <v>#REF!</v>
      </c>
      <c r="W93" s="192" t="e">
        <f>J93*IFERROR(VLOOKUP(A93,[1]Tørstofindhold!A$2:B$24,2,FALSE),0)</f>
        <v>#REF!</v>
      </c>
      <c r="X93" s="193" t="e">
        <f t="shared" si="26"/>
        <v>#REF!</v>
      </c>
      <c r="Y93" s="171" t="e">
        <f t="shared" si="21"/>
        <v>#REF!</v>
      </c>
      <c r="Z93" s="103" t="e">
        <f t="shared" si="22"/>
        <v>#REF!</v>
      </c>
    </row>
    <row r="94" spans="1:26" x14ac:dyDescent="0.25">
      <c r="A94" s="194" t="str">
        <f t="shared" si="33"/>
        <v>Svinekød</v>
      </c>
      <c r="B94" s="194" t="str">
        <f t="shared" si="34"/>
        <v/>
      </c>
      <c r="C94" s="194">
        <f>IF(COUNTIFS('Resultater - Danmark'!$D$3:$D$482,'Resultat-Produktion &amp; forbrug'!A94,'Resultater - Danmark'!$A$3:$A$482,"Til energi")+COUNTIFS('Resultater - Danmark'!$D$3:$D$482,'Resultat-Produktion &amp; forbrug'!A94,'Resultater - Danmark'!$A$3:$A$482,"Biogasanlæg")&gt;0,1,0)</f>
        <v>0</v>
      </c>
      <c r="D94" s="194">
        <f t="shared" si="19"/>
        <v>2030</v>
      </c>
      <c r="E94" s="192" t="s">
        <v>23</v>
      </c>
      <c r="F94" s="195">
        <f>IF(E94="Vestdanmark",SUMIFS(IF(D94=År1,'Resultater - Vestdanmark'!H$3:H$482,IF(D94=År2,'Resultater - Vestdanmark'!I$3:I$482,'Resultater - Vestdanmark'!J$3:J$482)),'Resultater - Vestdanmark'!$F$3:$F$482,$A94,IF(D94=År1,'Resultater - Vestdanmark'!H$3:H$482,IF(D94=År2,'Resultater - Vestdanmark'!I$3:I$482,'Resultater - Vestdanmark'!J$3:J$482)),"&gt;0"),SUMIFS(IF(D94=År1,'Resultater - Østdanmark'!H$3:H$482,IF(D94=År2,'Resultater - Østdanmark'!I$3:I$482,'Resultater - Østdanmark'!J$3:J$482)),'Resultater - Østdanmark'!$F$3:$F$482,$A94,IF(D94=År1,'Resultater - Østdanmark'!H$3:H$482,IF(D94=År2,'Resultater - Østdanmark'!I$3:I$482,'Resultater - Østdanmark'!J$3:J$482)),"&gt;0"))</f>
        <v>0</v>
      </c>
      <c r="G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92">
        <f>IF(E94="Vestdanmark",-IF(A94="Halm",SUMIFS(IF(D94=År1,'Resultater - Vestdanmark'!H$3:H$482,IF(D94=År2,'Resultater - Vestdanmark'!I$3:I$482,'Resultater - Vestdanmark'!J$3:J$482)),'Resultater - Vestdanmark'!$F$3:$F$482,$A94,'Resultater - Vestdanmark'!H$3:H$482,"&lt;0"),0),-IF(A94="Halm",SUMIFS(IF(D94=År1,'Resultater - Østdanmark'!H$3:H$482,IF(D94=År2,'Resultater - Østdanmark'!I$3:I$482,'Resultater - Østdanmark'!J$3:J$482)),'Resultater - Østdanmark'!$F$3:$F$482,$A94,'Resultater - Østdanmark'!H$3:H$482,"&lt;0"),0))</f>
        <v>0</v>
      </c>
      <c r="I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5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7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204">
        <f t="shared" si="23"/>
        <v>-121875.54404868034</v>
      </c>
      <c r="O94" s="195">
        <f t="shared" si="20"/>
        <v>0</v>
      </c>
      <c r="P94" s="205">
        <f t="shared" si="24"/>
        <v>0</v>
      </c>
      <c r="Q94" s="192">
        <f>IFERROR(VLOOKUP(A94,[1]Energiindhold!$A$2:$C$11,3,FALSE),IFERROR(VLOOKUP(A94,[1]Biogasudbytte!$A$2:$B$18,2,FALSE)*[1]Energiindhold!$C$10,0))*O94</f>
        <v>0</v>
      </c>
      <c r="R94" s="192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92">
        <f>IFERROR(VLOOKUP(A94,[1]Biogasudbytte!$A$2:$B$18,2,FALSE)*[1]Energiindhold!$C$10,0)*J94*IFERROR(VLOOKUP(A94,Biogasanlæg!$F$3:$G$8,2,FALSE),1)</f>
        <v>0</v>
      </c>
      <c r="T94" s="193">
        <f t="shared" si="25"/>
        <v>0</v>
      </c>
      <c r="U94" s="191">
        <f>O94*IFERROR(VLOOKUP(A94,[1]Tørstofindhold!A$2:B$24,2,FALSE),0)</f>
        <v>0</v>
      </c>
      <c r="V94" s="192">
        <f>IF(D94=År1,P94,SUM(O94,P94))*IFERROR(VLOOKUP(A94,[1]Tørstofindhold!A$2:B$24,2,FALSE),0)</f>
        <v>0</v>
      </c>
      <c r="W94" s="192">
        <f>J94*IFERROR(VLOOKUP(A94,[1]Tørstofindhold!A$2:B$24,2,FALSE),0)</f>
        <v>0</v>
      </c>
      <c r="X94" s="193">
        <f t="shared" si="26"/>
        <v>0</v>
      </c>
      <c r="Y94" s="171">
        <f t="shared" si="21"/>
        <v>1</v>
      </c>
      <c r="Z94" s="103">
        <f t="shared" si="22"/>
        <v>0</v>
      </c>
    </row>
    <row r="95" spans="1:26" x14ac:dyDescent="0.25">
      <c r="A95" s="194" t="str">
        <f t="shared" si="33"/>
        <v>Tang</v>
      </c>
      <c r="B95" s="194" t="str">
        <f t="shared" si="34"/>
        <v>Havbiomasse</v>
      </c>
      <c r="C95" s="194">
        <f>IF(COUNTIFS('Resultater - Danmark'!$D$3:$D$482,'Resultat-Produktion &amp; forbrug'!A95,'Resultater - Danmark'!$A$3:$A$482,"Til energi")+COUNTIFS('Resultater - Danmark'!$D$3:$D$482,'Resultat-Produktion &amp; forbrug'!A95,'Resultater - Danmark'!$A$3:$A$482,"Biogasanlæg")&gt;0,1,0)</f>
        <v>1</v>
      </c>
      <c r="D95" s="194">
        <f t="shared" si="19"/>
        <v>2030</v>
      </c>
      <c r="E95" s="192" t="s">
        <v>23</v>
      </c>
      <c r="F95" s="195">
        <f>IF(E95="Vestdanmark",SUMIFS(IF(D95=År1,'Resultater - Vestdanmark'!H$3:H$482,IF(D95=År2,'Resultater - Vestdanmark'!I$3:I$482,'Resultater - Vestdanmark'!J$3:J$482)),'Resultater - Vestdanmark'!$F$3:$F$482,$A95,IF(D95=År1,'Resultater - Vestdanmark'!H$3:H$482,IF(D95=År2,'Resultater - Vestdanmark'!I$3:I$482,'Resultater - Vestdanmark'!J$3:J$482)),"&gt;0"),SUMIFS(IF(D95=År1,'Resultater - Østdanmark'!H$3:H$482,IF(D95=År2,'Resultater - Østdanmark'!I$3:I$482,'Resultater - Østdanmark'!J$3:J$482)),'Resultater - Østdanmark'!$F$3:$F$482,$A95,IF(D95=År1,'Resultater - Østdanmark'!H$3:H$482,IF(D95=År2,'Resultater - Østdanmark'!I$3:I$482,'Resultater - Østdanmark'!J$3:J$482)),"&gt;0"))</f>
        <v>0</v>
      </c>
      <c r="G95" s="195" t="e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#REF!</v>
      </c>
      <c r="H95" s="192">
        <f>IF(E95="Vestdanmark",-IF(A95="Halm",SUMIFS(IF(D95=År1,'Resultater - Vestdanmark'!H$3:H$482,IF(D95=År2,'Resultater - Vestdanmark'!I$3:I$482,'Resultater - Vestdanmark'!J$3:J$482)),'Resultater - Vestdanmark'!$F$3:$F$482,$A95,'Resultater - Vestdanmark'!H$3:H$482,"&lt;0"),0),-IF(A95="Halm",SUMIFS(IF(D95=År1,'Resultater - Østdanmark'!H$3:H$482,IF(D95=År2,'Resultater - Østdanmark'!I$3:I$482,'Resultater - Østdanmark'!J$3:J$482)),'Resultater - Østdanmark'!$F$3:$F$482,$A95,'Resultater - Østdanmark'!H$3:H$482,"&lt;0"),0))</f>
        <v>0</v>
      </c>
      <c r="I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5" t="e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#REF!</v>
      </c>
      <c r="K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5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7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204" t="e">
        <f t="shared" si="23"/>
        <v>#REF!</v>
      </c>
      <c r="O95" s="195" t="e">
        <f t="shared" si="20"/>
        <v>#REF!</v>
      </c>
      <c r="P95" s="205" t="e">
        <f t="shared" si="24"/>
        <v>#REF!</v>
      </c>
      <c r="Q95" s="192" t="e">
        <f>IFERROR(VLOOKUP(A95,[1]Energiindhold!$A$2:$C$11,3,FALSE),IFERROR(VLOOKUP(A95,[1]Biogasudbytte!$A$2:$B$18,2,FALSE)*[1]Energiindhold!$C$10,0))*O95</f>
        <v>#REF!</v>
      </c>
      <c r="R95" s="192" t="e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#REF!</v>
      </c>
      <c r="S95" s="192" t="e">
        <f>IFERROR(VLOOKUP(A95,[1]Biogasudbytte!$A$2:$B$18,2,FALSE)*[1]Energiindhold!$C$10,0)*J95*IFERROR(VLOOKUP(A95,Biogasanlæg!$F$3:$G$8,2,FALSE),1)</f>
        <v>#REF!</v>
      </c>
      <c r="T95" s="193" t="e">
        <f t="shared" si="25"/>
        <v>#REF!</v>
      </c>
      <c r="U95" s="191" t="e">
        <f>O95*IFERROR(VLOOKUP(A95,[1]Tørstofindhold!A$2:B$24,2,FALSE),0)</f>
        <v>#REF!</v>
      </c>
      <c r="V95" s="192" t="e">
        <f>IF(D95=År1,P95,SUM(O95,P95))*IFERROR(VLOOKUP(A95,[1]Tørstofindhold!A$2:B$24,2,FALSE),0)</f>
        <v>#REF!</v>
      </c>
      <c r="W95" s="192" t="e">
        <f>J95*IFERROR(VLOOKUP(A95,[1]Tørstofindhold!A$2:B$24,2,FALSE),0)</f>
        <v>#REF!</v>
      </c>
      <c r="X95" s="193" t="e">
        <f t="shared" si="26"/>
        <v>#REF!</v>
      </c>
      <c r="Y95" s="171" t="e">
        <f t="shared" si="21"/>
        <v>#REF!</v>
      </c>
      <c r="Z95" s="103" t="e">
        <f t="shared" si="22"/>
        <v>#REF!</v>
      </c>
    </row>
    <row r="96" spans="1:26" x14ac:dyDescent="0.25">
      <c r="A96" s="194" t="str">
        <f t="shared" si="33"/>
        <v>Total til biogas</v>
      </c>
      <c r="B96" s="194" t="str">
        <f t="shared" si="34"/>
        <v/>
      </c>
      <c r="C96" s="194">
        <f>IF(COUNTIFS('Resultater - Danmark'!$D$3:$D$482,'Resultat-Produktion &amp; forbrug'!A96,'Resultater - Danmark'!$A$3:$A$482,"Til energi")+COUNTIFS('Resultater - Danmark'!$D$3:$D$482,'Resultat-Produktion &amp; forbrug'!A96,'Resultater - Danmark'!$A$3:$A$482,"Biogasanlæg")&gt;0,1,0)</f>
        <v>1</v>
      </c>
      <c r="D96" s="194">
        <f t="shared" si="19"/>
        <v>2030</v>
      </c>
      <c r="E96" s="192" t="s">
        <v>23</v>
      </c>
      <c r="F96" s="195">
        <f>IF(E96="Vestdanmark",SUMIFS(IF(D96=År1,'Resultater - Vestdanmark'!H$3:H$482,IF(D96=År2,'Resultater - Vestdanmark'!I$3:I$482,'Resultater - Vestdanmark'!J$3:J$482)),'Resultater - Vestdanmark'!$F$3:$F$482,$A96,IF(D96=År1,'Resultater - Vestdanmark'!H$3:H$482,IF(D96=År2,'Resultater - Vestdanmark'!I$3:I$482,'Resultater - Vestdanmark'!J$3:J$482)),"&gt;0"),SUMIFS(IF(D96=År1,'Resultater - Østdanmark'!H$3:H$482,IF(D96=År2,'Resultater - Østdanmark'!I$3:I$482,'Resultater - Østdanmark'!J$3:J$482)),'Resultater - Østdanmark'!$F$3:$F$482,$A96,IF(D96=År1,'Resultater - Østdanmark'!H$3:H$482,IF(D96=År2,'Resultater - Østdanmark'!I$3:I$482,'Resultater - Østdanmark'!J$3:J$482)),"&gt;0"))</f>
        <v>0</v>
      </c>
      <c r="G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92">
        <f>IF(E96="Vestdanmark",-IF(A96="Halm",SUMIFS(IF(D96=År1,'Resultater - Vestdanmark'!H$3:H$482,IF(D96=År2,'Resultater - Vestdanmark'!I$3:I$482,'Resultater - Vestdanmark'!J$3:J$482)),'Resultater - Vestdanmark'!$F$3:$F$482,$A96,'Resultater - Vestdanmark'!H$3:H$482,"&lt;0"),0),-IF(A96="Halm",SUMIFS(IF(D96=År1,'Resultater - Østdanmark'!H$3:H$482,IF(D96=År2,'Resultater - Østdanmark'!I$3:I$482,'Resultater - Østdanmark'!J$3:J$482)),'Resultater - Østdanmark'!$F$3:$F$482,$A96,'Resultater - Østdanmark'!H$3:H$482,"&lt;0"),0))</f>
        <v>0</v>
      </c>
      <c r="I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5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7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204">
        <f t="shared" si="23"/>
        <v>0</v>
      </c>
      <c r="O96" s="195">
        <f t="shared" si="20"/>
        <v>0</v>
      </c>
      <c r="P96" s="205">
        <f t="shared" si="24"/>
        <v>0</v>
      </c>
      <c r="Q96" s="192">
        <f>IFERROR(VLOOKUP(A96,[1]Energiindhold!$A$2:$C$11,3,FALSE),IFERROR(VLOOKUP(A96,[1]Biogasudbytte!$A$2:$B$18,2,FALSE)*[1]Energiindhold!$C$10,0))*O96</f>
        <v>0</v>
      </c>
      <c r="R96" s="192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92">
        <f>IFERROR(VLOOKUP(A96,[1]Biogasudbytte!$A$2:$B$18,2,FALSE)*[1]Energiindhold!$C$10,0)*J96*IFERROR(VLOOKUP(A96,Biogasanlæg!$F$3:$G$8,2,FALSE),1)</f>
        <v>0</v>
      </c>
      <c r="T96" s="193">
        <f t="shared" si="25"/>
        <v>0</v>
      </c>
      <c r="U96" s="191">
        <f>O96*IFERROR(VLOOKUP(A96,[1]Tørstofindhold!A$2:B$24,2,FALSE),0)</f>
        <v>0</v>
      </c>
      <c r="V96" s="192">
        <f>IF(D96=År1,P96,SUM(O96,P96))*IFERROR(VLOOKUP(A96,[1]Tørstofindhold!A$2:B$24,2,FALSE),0)</f>
        <v>0</v>
      </c>
      <c r="W96" s="192">
        <f>J96*IFERROR(VLOOKUP(A96,[1]Tørstofindhold!A$2:B$24,2,FALSE),0)</f>
        <v>0</v>
      </c>
      <c r="X96" s="193">
        <f t="shared" si="26"/>
        <v>0</v>
      </c>
      <c r="Y96" s="171">
        <f t="shared" si="21"/>
        <v>0</v>
      </c>
      <c r="Z96" s="103">
        <f t="shared" si="22"/>
        <v>0</v>
      </c>
    </row>
    <row r="97" spans="1:26" x14ac:dyDescent="0.25">
      <c r="A97" s="194" t="str">
        <f t="shared" si="33"/>
        <v>Træ til energi</v>
      </c>
      <c r="B97" s="194" t="str">
        <f t="shared" si="34"/>
        <v>Vedmasse</v>
      </c>
      <c r="C97" s="194">
        <f>IF(COUNTIFS('Resultater - Danmark'!$D$3:$D$482,'Resultat-Produktion &amp; forbrug'!A97,'Resultater - Danmark'!$A$3:$A$482,"Til energi")+COUNTIFS('Resultater - Danmark'!$D$3:$D$482,'Resultat-Produktion &amp; forbrug'!A97,'Resultater - Danmark'!$A$3:$A$482,"Biogasanlæg")&gt;0,1,0)</f>
        <v>1</v>
      </c>
      <c r="D97" s="194">
        <f t="shared" si="19"/>
        <v>2030</v>
      </c>
      <c r="E97" s="192" t="s">
        <v>23</v>
      </c>
      <c r="F97" s="195">
        <f>IF(E97="Vestdanmark",SUMIFS(IF(D97=År1,'Resultater - Vestdanmark'!H$3:H$482,IF(D97=År2,'Resultater - Vestdanmark'!I$3:I$482,'Resultater - Vestdanmark'!J$3:J$482)),'Resultater - Vestdanmark'!$F$3:$F$482,$A97,IF(D97=År1,'Resultater - Vestdanmark'!H$3:H$482,IF(D97=År2,'Resultater - Vestdanmark'!I$3:I$482,'Resultater - Vestdanmark'!J$3:J$482)),"&gt;0"),SUMIFS(IF(D97=År1,'Resultater - Østdanmark'!H$3:H$482,IF(D97=År2,'Resultater - Østdanmark'!I$3:I$482,'Resultater - Østdanmark'!J$3:J$482)),'Resultater - Østdanmark'!$F$3:$F$482,$A97,IF(D97=År1,'Resultater - Østdanmark'!H$3:H$482,IF(D97=År2,'Resultater - Østdanmark'!I$3:I$482,'Resultater - Østdanmark'!J$3:J$482)),"&gt;0"))</f>
        <v>0</v>
      </c>
      <c r="G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92">
        <f>IF(E97="Vestdanmark",-IF(A97="Halm",SUMIFS(IF(D97=År1,'Resultater - Vestdanmark'!H$3:H$482,IF(D97=År2,'Resultater - Vestdanmark'!I$3:I$482,'Resultater - Vestdanmark'!J$3:J$482)),'Resultater - Vestdanmark'!$F$3:$F$482,$A97,'Resultater - Vestdanmark'!H$3:H$482,"&lt;0"),0),-IF(A97="Halm",SUMIFS(IF(D97=År1,'Resultater - Østdanmark'!H$3:H$482,IF(D97=År2,'Resultater - Østdanmark'!I$3:I$482,'Resultater - Østdanmark'!J$3:J$482)),'Resultater - Østdanmark'!$F$3:$F$482,$A97,'Resultater - Østdanmark'!H$3:H$482,"&lt;0"),0))</f>
        <v>0</v>
      </c>
      <c r="I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5" t="e">
        <f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#REF!</v>
      </c>
      <c r="M97" s="157" t="e">
        <f>SUMIFS('Forbrug af biomasse'!E:E,'Forbrug af biomasse'!C:C,'Resultat-Produktion &amp; forbrug'!$A97,'Forbrug af biomasse'!D:D,'Resultat-Produktion &amp; forbrug'!$D97,'Forbrug af biomasse'!G:G,1,'Forbrug af biomasse'!B:B,$E97)</f>
        <v>#REF!</v>
      </c>
      <c r="N97" s="204" t="e">
        <f t="shared" si="23"/>
        <v>#REF!</v>
      </c>
      <c r="O97" s="195" t="e">
        <f t="shared" si="20"/>
        <v>#REF!</v>
      </c>
      <c r="P97" s="205" t="e">
        <f t="shared" si="24"/>
        <v>#REF!</v>
      </c>
      <c r="Q97" s="192" t="e">
        <f>IFERROR(VLOOKUP(A97,[1]Energiindhold!$A$2:$C$11,3,FALSE),IFERROR(VLOOKUP(A97,[1]Biogasudbytte!$A$2:$B$18,2,FALSE)*[1]Energiindhold!$C$10,0))*O97</f>
        <v>#REF!</v>
      </c>
      <c r="R97" s="192" t="e">
        <f>IF(A97&lt;&gt;"Biogas",IFERROR(VLOOKUP(A97,[1]Biogasudbytte!$A$2:$B$18,2,FALSE)*[1]Energiindhold!$C$10,0)*J97*IFERROR(VLOOKUP(A97,Biogasanlæg!$F$3:$G$8,2,FALSE),1)+IFERROR(VLOOKUP(A97,[1]Energiindhold!$A$2:$C$11,3,FALSE),0)*L97+IF(D97&lt;&gt;År1,Q97,0),0)</f>
        <v>#REF!</v>
      </c>
      <c r="S97" s="192">
        <f>IFERROR(VLOOKUP(A97,[1]Biogasudbytte!$A$2:$B$18,2,FALSE)*[1]Energiindhold!$C$10,0)*J97*IFERROR(VLOOKUP(A97,Biogasanlæg!$F$3:$G$8,2,FALSE),1)</f>
        <v>0</v>
      </c>
      <c r="T97" s="193" t="e">
        <f t="shared" si="25"/>
        <v>#REF!</v>
      </c>
      <c r="U97" s="191" t="e">
        <f>O97*IFERROR(VLOOKUP(A97,[1]Tørstofindhold!A$2:B$24,2,FALSE),0)</f>
        <v>#REF!</v>
      </c>
      <c r="V97" s="192" t="e">
        <f>IF(D97=År1,P97,SUM(O97,P97))*IFERROR(VLOOKUP(A97,[1]Tørstofindhold!A$2:B$24,2,FALSE),0)</f>
        <v>#REF!</v>
      </c>
      <c r="W97" s="192">
        <f>J97*IFERROR(VLOOKUP(A97,[1]Tørstofindhold!A$2:B$24,2,FALSE),0)</f>
        <v>0</v>
      </c>
      <c r="X97" s="193" t="e">
        <f t="shared" si="26"/>
        <v>#REF!</v>
      </c>
      <c r="Y97" s="171" t="e">
        <f t="shared" si="21"/>
        <v>#REF!</v>
      </c>
      <c r="Z97" s="103" t="e">
        <f t="shared" si="22"/>
        <v>#REF!</v>
      </c>
    </row>
    <row r="98" spans="1:26" x14ac:dyDescent="0.25">
      <c r="A98" s="194" t="str">
        <f t="shared" si="33"/>
        <v>Træmaterialer</v>
      </c>
      <c r="B98" s="194" t="str">
        <f t="shared" si="34"/>
        <v/>
      </c>
      <c r="C98" s="194">
        <f>IF(COUNTIFS('Resultater - Danmark'!$D$3:$D$482,'Resultat-Produktion &amp; forbrug'!A98,'Resultater - Danmark'!$A$3:$A$482,"Til energi")+COUNTIFS('Resultater - Danmark'!$D$3:$D$482,'Resultat-Produktion &amp; forbrug'!A98,'Resultater - Danmark'!$A$3:$A$482,"Biogasanlæg")&gt;0,1,0)</f>
        <v>0</v>
      </c>
      <c r="D98" s="194">
        <f t="shared" si="19"/>
        <v>2030</v>
      </c>
      <c r="E98" s="192" t="s">
        <v>23</v>
      </c>
      <c r="F98" s="195">
        <f>IF(E98="Vestdanmark",SUMIFS(IF(D98=År1,'Resultater - Vestdanmark'!H$3:H$482,IF(D98=År2,'Resultater - Vestdanmark'!I$3:I$482,'Resultater - Vestdanmark'!J$3:J$482)),'Resultater - Vestdanmark'!$F$3:$F$482,$A98,IF(D98=År1,'Resultater - Vestdanmark'!H$3:H$482,IF(D98=År2,'Resultater - Vestdanmark'!I$3:I$482,'Resultater - Vestdanmark'!J$3:J$482)),"&gt;0"),SUMIFS(IF(D98=År1,'Resultater - Østdanmark'!H$3:H$482,IF(D98=År2,'Resultater - Østdanmark'!I$3:I$482,'Resultater - Østdanmark'!J$3:J$482)),'Resultater - Østdanmark'!$F$3:$F$482,$A98,IF(D98=År1,'Resultater - Østdanmark'!H$3:H$482,IF(D98=År2,'Resultater - Østdanmark'!I$3:I$482,'Resultater - Østdanmark'!J$3:J$482)),"&gt;0"))</f>
        <v>0</v>
      </c>
      <c r="G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92">
        <f>IF(E98="Vestdanmark",-IF(A98="Halm",SUMIFS(IF(D98=År1,'Resultater - Vestdanmark'!H$3:H$482,IF(D98=År2,'Resultater - Vestdanmark'!I$3:I$482,'Resultater - Vestdanmark'!J$3:J$482)),'Resultater - Vestdanmark'!$F$3:$F$482,$A98,'Resultater - Vestdanmark'!H$3:H$482,"&lt;0"),0),-IF(A98="Halm",SUMIFS(IF(D98=År1,'Resultater - Østdanmark'!H$3:H$482,IF(D98=År2,'Resultater - Østdanmark'!I$3:I$482,'Resultater - Østdanmark'!J$3:J$482)),'Resultater - Østdanmark'!$F$3:$F$482,$A98,'Resultater - Østdanmark'!H$3:H$482,"&lt;0"),0))</f>
        <v>0</v>
      </c>
      <c r="I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5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7">
        <f>SUMIFS('Forbrug af biomasse'!E:E,'Forbrug af biomasse'!C:C,'Resultat-Produktion &amp; forbrug'!$A98,'Forbrug af biomasse'!D:D,'Resultat-Produktion &amp; forbrug'!$D98,'Forbrug af biomasse'!G:G,1,'Forbrug af biomasse'!B:B,$E98)</f>
        <v>0</v>
      </c>
      <c r="N98" s="204">
        <f t="shared" si="23"/>
        <v>0</v>
      </c>
      <c r="O98" s="195">
        <f t="shared" si="20"/>
        <v>0</v>
      </c>
      <c r="P98" s="205">
        <f t="shared" si="24"/>
        <v>0</v>
      </c>
      <c r="Q98" s="192">
        <f>IFERROR(VLOOKUP(A98,[1]Energiindhold!$A$2:$C$11,3,FALSE),IFERROR(VLOOKUP(A98,[1]Biogasudbytte!$A$2:$B$18,2,FALSE)*[1]Energiindhold!$C$10,0))*O98</f>
        <v>0</v>
      </c>
      <c r="R98" s="192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92">
        <f>IFERROR(VLOOKUP(A98,[1]Biogasudbytte!$A$2:$B$18,2,FALSE)*[1]Energiindhold!$C$10,0)*J98*IFERROR(VLOOKUP(A98,Biogasanlæg!$F$3:$G$8,2,FALSE),1)</f>
        <v>0</v>
      </c>
      <c r="T98" s="193">
        <f t="shared" si="25"/>
        <v>0</v>
      </c>
      <c r="U98" s="191">
        <f>O98*IFERROR(VLOOKUP(A98,[1]Tørstofindhold!A$2:B$24,2,FALSE),0)</f>
        <v>0</v>
      </c>
      <c r="V98" s="192">
        <f>IF(D98=År1,P98,SUM(O98,P98))*IFERROR(VLOOKUP(A98,[1]Tørstofindhold!A$2:B$24,2,FALSE),0)</f>
        <v>0</v>
      </c>
      <c r="W98" s="192">
        <f>J98*IFERROR(VLOOKUP(A98,[1]Tørstofindhold!A$2:B$24,2,FALSE),0)</f>
        <v>0</v>
      </c>
      <c r="X98" s="193">
        <f t="shared" si="26"/>
        <v>0</v>
      </c>
      <c r="Y98" s="171">
        <f t="shared" si="21"/>
        <v>0</v>
      </c>
      <c r="Z98" s="103">
        <f t="shared" si="22"/>
        <v>0</v>
      </c>
    </row>
    <row r="99" spans="1:26" x14ac:dyDescent="0.25">
      <c r="A99" s="194" t="str">
        <f t="shared" si="33"/>
        <v>Æg</v>
      </c>
      <c r="B99" s="194" t="str">
        <f t="shared" si="34"/>
        <v/>
      </c>
      <c r="C99" s="194">
        <f>IF(COUNTIFS('Resultater - Danmark'!$D$3:$D$482,'Resultat-Produktion &amp; forbrug'!A99,'Resultater - Danmark'!$A$3:$A$482,"Til energi")+COUNTIFS('Resultater - Danmark'!$D$3:$D$482,'Resultat-Produktion &amp; forbrug'!A99,'Resultater - Danmark'!$A$3:$A$482,"Biogasanlæg")&gt;0,1,0)</f>
        <v>0</v>
      </c>
      <c r="D99" s="194">
        <f t="shared" ref="D99:D146" si="35">År3</f>
        <v>2050</v>
      </c>
      <c r="E99" s="192" t="s">
        <v>23</v>
      </c>
      <c r="F99" s="195">
        <f>IF(E99="Vestdanmark",SUMIFS(IF(D99=År1,'Resultater - Vestdanmark'!H$3:H$482,IF(D99=År2,'Resultater - Vestdanmark'!I$3:I$482,'Resultater - Vestdanmark'!J$3:J$482)),'Resultater - Vestdanmark'!$F$3:$F$482,$A99,IF(D99=År1,'Resultater - Vestdanmark'!H$3:H$482,IF(D99=År2,'Resultater - Vestdanmark'!I$3:I$482,'Resultater - Vestdanmark'!J$3:J$482)),"&gt;0"),SUMIFS(IF(D99=År1,'Resultater - Østdanmark'!H$3:H$482,IF(D99=År2,'Resultater - Østdanmark'!I$3:I$482,'Resultater - Østdanmark'!J$3:J$482)),'Resultater - Østdanmark'!$F$3:$F$482,$A99,IF(D99=År1,'Resultater - Østdanmark'!H$3:H$482,IF(D99=År2,'Resultater - Østdanmark'!I$3:I$482,'Resultater - Østdanmark'!J$3:J$482)),"&gt;0"))</f>
        <v>0</v>
      </c>
      <c r="G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92">
        <f>IF(E99="Vestdanmark",-IF(A99="Halm",SUMIFS(IF(D99=År1,'Resultater - Vestdanmark'!H$3:H$482,IF(D99=År2,'Resultater - Vestdanmark'!I$3:I$482,'Resultater - Vestdanmark'!J$3:J$482)),'Resultater - Vestdanmark'!$F$3:$F$482,$A99,'Resultater - Vestdanmark'!H$3:H$482,"&lt;0"),0),-IF(A99="Halm",SUMIFS(IF(D99=År1,'Resultater - Østdanmark'!H$3:H$482,IF(D99=År2,'Resultater - Østdanmark'!I$3:I$482,'Resultater - Østdanmark'!J$3:J$482)),'Resultater - Østdanmark'!$F$3:$F$482,$A99,'Resultater - Østdanmark'!H$3:H$482,"&lt;0"),0))</f>
        <v>0</v>
      </c>
      <c r="I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5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7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204">
        <f t="shared" si="23"/>
        <v>-33849.968886444818</v>
      </c>
      <c r="O99" s="195">
        <f t="shared" si="20"/>
        <v>0</v>
      </c>
      <c r="P99" s="205">
        <f t="shared" si="24"/>
        <v>0</v>
      </c>
      <c r="Q99" s="192">
        <f>IFERROR(VLOOKUP(A99,[1]Energiindhold!$A$2:$C$11,3,FALSE),IFERROR(VLOOKUP(A99,[1]Biogasudbytte!$A$2:$B$18,2,FALSE)*[1]Energiindhold!$C$10,0))*O99</f>
        <v>0</v>
      </c>
      <c r="R99" s="192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92">
        <f>IFERROR(VLOOKUP(A99,[1]Biogasudbytte!$A$2:$B$18,2,FALSE)*[1]Energiindhold!$C$10,0)*J99*IFERROR(VLOOKUP(A99,Biogasanlæg!$F$3:$G$8,2,FALSE),1)</f>
        <v>0</v>
      </c>
      <c r="T99" s="193">
        <f t="shared" si="25"/>
        <v>0</v>
      </c>
      <c r="U99" s="191">
        <f>O99*IFERROR(VLOOKUP(A99,[1]Tørstofindhold!A$2:B$24,2,FALSE),0)</f>
        <v>0</v>
      </c>
      <c r="V99" s="192">
        <f>IF(D99=År1,P99,SUM(O99,P99))*IFERROR(VLOOKUP(A99,[1]Tørstofindhold!A$2:B$24,2,FALSE),0)</f>
        <v>0</v>
      </c>
      <c r="W99" s="192">
        <f>J99*IFERROR(VLOOKUP(A99,[1]Tørstofindhold!A$2:B$24,2,FALSE),0)</f>
        <v>0</v>
      </c>
      <c r="X99" s="193">
        <f t="shared" si="26"/>
        <v>0</v>
      </c>
      <c r="Y99" s="171">
        <f t="shared" si="21"/>
        <v>1</v>
      </c>
      <c r="Z99" s="103">
        <f t="shared" si="22"/>
        <v>0</v>
      </c>
    </row>
    <row r="100" spans="1:26" x14ac:dyDescent="0.25">
      <c r="A100" s="194" t="str">
        <f t="shared" si="33"/>
        <v>Bælgsæd</v>
      </c>
      <c r="B100" s="194" t="str">
        <f t="shared" si="34"/>
        <v/>
      </c>
      <c r="C100" s="194">
        <f>IF(COUNTIFS('Resultater - Danmark'!$D$3:$D$482,'Resultat-Produktion &amp; forbrug'!A100,'Resultater - Danmark'!$A$3:$A$482,"Til energi")+COUNTIFS('Resultater - Danmark'!$D$3:$D$482,'Resultat-Produktion &amp; forbrug'!A100,'Resultater - Danmark'!$A$3:$A$482,"Biogasanlæg")&gt;0,1,0)</f>
        <v>0</v>
      </c>
      <c r="D100" s="194">
        <f t="shared" si="35"/>
        <v>2050</v>
      </c>
      <c r="E100" s="192" t="s">
        <v>23</v>
      </c>
      <c r="F100" s="195">
        <f>IF(E100="Vestdanmark",SUMIFS(IF(D100=År1,'Resultater - Vestdanmark'!H$3:H$482,IF(D100=År2,'Resultater - Vestdanmark'!I$3:I$482,'Resultater - Vestdanmark'!J$3:J$482)),'Resultater - Vestdanmark'!$F$3:$F$482,$A100,IF(D100=År1,'Resultater - Vestdanmark'!H$3:H$482,IF(D100=År2,'Resultater - Vestdanmark'!I$3:I$482,'Resultater - Vestdanmark'!J$3:J$482)),"&gt;0"),SUMIFS(IF(D100=År1,'Resultater - Østdanmark'!H$3:H$482,IF(D100=År2,'Resultater - Østdanmark'!I$3:I$482,'Resultater - Østdanmark'!J$3:J$482)),'Resultater - Østdanmark'!$F$3:$F$482,$A100,IF(D100=År1,'Resultater - Østdanmark'!H$3:H$482,IF(D100=År2,'Resultater - Østdanmark'!I$3:I$482,'Resultater - Østdanmark'!J$3:J$482)),"&gt;0"))</f>
        <v>0</v>
      </c>
      <c r="G100" s="195" t="e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#REF!</v>
      </c>
      <c r="H100" s="192">
        <f>IF(E100="Vestdanmark",-IF(A100="Halm",SUMIFS(IF(D100=År1,'Resultater - Vestdanmark'!H$3:H$482,IF(D100=År2,'Resultater - Vestdanmark'!I$3:I$482,'Resultater - Vestdanmark'!J$3:J$482)),'Resultater - Vestdanmark'!$F$3:$F$482,$A100,'Resultater - Vestdanmark'!H$3:H$482,"&lt;0"),0),-IF(A100="Halm",SUMIFS(IF(D100=År1,'Resultater - Østdanmark'!H$3:H$482,IF(D100=År2,'Resultater - Østdanmark'!I$3:I$482,'Resultater - Østdanmark'!J$3:J$482)),'Resultater - Østdanmark'!$F$3:$F$482,$A100,'Resultater - Østdanmark'!H$3:H$482,"&lt;0"),0))</f>
        <v>0</v>
      </c>
      <c r="I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5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7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204" t="e">
        <f t="shared" si="23"/>
        <v>#REF!</v>
      </c>
      <c r="O100" s="195">
        <f t="shared" si="20"/>
        <v>0</v>
      </c>
      <c r="P100" s="205">
        <f t="shared" si="24"/>
        <v>0</v>
      </c>
      <c r="Q100" s="192">
        <f>IFERROR(VLOOKUP(A100,[1]Energiindhold!$A$2:$C$11,3,FALSE),IFERROR(VLOOKUP(A100,[1]Biogasudbytte!$A$2:$B$18,2,FALSE)*[1]Energiindhold!$C$10,0))*O100</f>
        <v>0</v>
      </c>
      <c r="R100" s="192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92">
        <f>IFERROR(VLOOKUP(A100,[1]Biogasudbytte!$A$2:$B$18,2,FALSE)*[1]Energiindhold!$C$10,0)*J100*IFERROR(VLOOKUP(A100,Biogasanlæg!$F$3:$G$8,2,FALSE),1)</f>
        <v>0</v>
      </c>
      <c r="T100" s="193">
        <f t="shared" si="25"/>
        <v>0</v>
      </c>
      <c r="U100" s="191">
        <f>O100*IFERROR(VLOOKUP(A100,[1]Tørstofindhold!A$2:B$24,2,FALSE),0)</f>
        <v>0</v>
      </c>
      <c r="V100" s="192">
        <f>IF(D100=År1,P100,SUM(O100,P100))*IFERROR(VLOOKUP(A100,[1]Tørstofindhold!A$2:B$24,2,FALSE),0)</f>
        <v>0</v>
      </c>
      <c r="W100" s="192">
        <f>J100*IFERROR(VLOOKUP(A100,[1]Tørstofindhold!A$2:B$24,2,FALSE),0)</f>
        <v>0</v>
      </c>
      <c r="X100" s="193">
        <f t="shared" si="26"/>
        <v>0</v>
      </c>
      <c r="Y100" s="171" t="e">
        <f t="shared" si="21"/>
        <v>#REF!</v>
      </c>
      <c r="Z100" s="103" t="e">
        <f t="shared" si="22"/>
        <v>#REF!</v>
      </c>
    </row>
    <row r="101" spans="1:26" x14ac:dyDescent="0.25">
      <c r="A101" s="194" t="str">
        <f t="shared" si="33"/>
        <v>Bioaffald</v>
      </c>
      <c r="B101" s="194" t="str">
        <f t="shared" si="34"/>
        <v>Bionedbrydeligt affald</v>
      </c>
      <c r="C101" s="194">
        <f>IF(COUNTIFS('Resultater - Danmark'!$D$3:$D$482,'Resultat-Produktion &amp; forbrug'!A101,'Resultater - Danmark'!$A$3:$A$482,"Til energi")+COUNTIFS('Resultater - Danmark'!$D$3:$D$482,'Resultat-Produktion &amp; forbrug'!A101,'Resultater - Danmark'!$A$3:$A$482,"Biogasanlæg")&gt;0,1,0)</f>
        <v>1</v>
      </c>
      <c r="D101" s="194">
        <f t="shared" si="35"/>
        <v>2050</v>
      </c>
      <c r="E101" s="192" t="s">
        <v>23</v>
      </c>
      <c r="F101" s="195">
        <f>IF(E101="Vestdanmark",SUMIFS(IF(D101=År1,'Resultater - Vestdanmark'!H$3:H$482,IF(D101=År2,'Resultater - Vestdanmark'!I$3:I$482,'Resultater - Vestdanmark'!J$3:J$482)),'Resultater - Vestdanmark'!$F$3:$F$482,$A101,IF(D101=År1,'Resultater - Vestdanmark'!H$3:H$482,IF(D101=År2,'Resultater - Vestdanmark'!I$3:I$482,'Resultater - Vestdanmark'!J$3:J$482)),"&gt;0"),SUMIFS(IF(D101=År1,'Resultater - Østdanmark'!H$3:H$482,IF(D101=År2,'Resultater - Østdanmark'!I$3:I$482,'Resultater - Østdanmark'!J$3:J$482)),'Resultater - Østdanmark'!$F$3:$F$482,$A101,IF(D101=År1,'Resultater - Østdanmark'!H$3:H$482,IF(D101=År2,'Resultater - Østdanmark'!I$3:I$482,'Resultater - Østdanmark'!J$3:J$482)),"&gt;0"))</f>
        <v>0</v>
      </c>
      <c r="G101" s="195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92">
        <f>IF(E101="Vestdanmark",-IF(A101="Halm",SUMIFS(IF(D101=År1,'Resultater - Vestdanmark'!H$3:H$482,IF(D101=År2,'Resultater - Vestdanmark'!I$3:I$482,'Resultater - Vestdanmark'!J$3:J$482)),'Resultater - Vestdanmark'!$F$3:$F$482,$A101,'Resultater - Vestdanmark'!H$3:H$482,"&lt;0"),0),-IF(A101="Halm",SUMIFS(IF(D101=År1,'Resultater - Østdanmark'!H$3:H$482,IF(D101=År2,'Resultater - Østdanmark'!I$3:I$482,'Resultater - Østdanmark'!J$3:J$482)),'Resultater - Østdanmark'!$F$3:$F$482,$A101,'Resultater - Østdanmark'!H$3:H$482,"&lt;0"),0))</f>
        <v>0</v>
      </c>
      <c r="I101" s="195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5" t="e">
        <f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#REF!</v>
      </c>
      <c r="K101" s="195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5" t="e">
        <f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#REF!</v>
      </c>
      <c r="M101" s="157" t="e">
        <f>SUMIFS('Forbrug af biomasse'!E:E,'Forbrug af biomasse'!C:C,'Resultat-Produktion &amp; forbrug'!$A101,'Forbrug af biomasse'!D:D,'Resultat-Produktion &amp; forbrug'!$D101,'Forbrug af biomasse'!G:G,1,'Forbrug af biomasse'!B:B,$E101)</f>
        <v>#REF!</v>
      </c>
      <c r="N101" s="204" t="e">
        <f t="shared" si="23"/>
        <v>#REF!</v>
      </c>
      <c r="O101" s="195" t="e">
        <f t="shared" si="20"/>
        <v>#REF!</v>
      </c>
      <c r="P101" s="205" t="e">
        <f t="shared" si="24"/>
        <v>#REF!</v>
      </c>
      <c r="Q101" s="192" t="e">
        <f>IFERROR(VLOOKUP(A101,[1]Energiindhold!$A$2:$C$11,3,FALSE),IFERROR(VLOOKUP(A101,[1]Biogasudbytte!$A$2:$B$18,2,FALSE)*[1]Energiindhold!$C$10,0))*O101</f>
        <v>#REF!</v>
      </c>
      <c r="R101" s="192" t="e">
        <f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#REF!</v>
      </c>
      <c r="S101" s="192" t="e">
        <f>IFERROR(VLOOKUP(A101,[1]Biogasudbytte!$A$2:$B$18,2,FALSE)*[1]Energiindhold!$C$10,0)*J101*IFERROR(VLOOKUP(A101,Biogasanlæg!$F$3:$G$8,2,FALSE),1)</f>
        <v>#REF!</v>
      </c>
      <c r="T101" s="193" t="e">
        <f t="shared" si="25"/>
        <v>#REF!</v>
      </c>
      <c r="U101" s="191" t="e">
        <f>O101*IFERROR(VLOOKUP(A101,[1]Tørstofindhold!A$2:B$24,2,FALSE),0)</f>
        <v>#REF!</v>
      </c>
      <c r="V101" s="192" t="e">
        <f>IF(D101=År1,P101,SUM(O101,P101))*IFERROR(VLOOKUP(A101,[1]Tørstofindhold!A$2:B$24,2,FALSE),0)</f>
        <v>#REF!</v>
      </c>
      <c r="W101" s="192" t="e">
        <f>J101*IFERROR(VLOOKUP(A101,[1]Tørstofindhold!A$2:B$24,2,FALSE),0)</f>
        <v>#REF!</v>
      </c>
      <c r="X101" s="193" t="e">
        <f t="shared" si="26"/>
        <v>#REF!</v>
      </c>
      <c r="Y101" s="171" t="e">
        <f t="shared" si="21"/>
        <v>#REF!</v>
      </c>
      <c r="Z101" s="103" t="e">
        <f t="shared" si="22"/>
        <v>#REF!</v>
      </c>
    </row>
    <row r="102" spans="1:26" x14ac:dyDescent="0.25">
      <c r="A102" s="194" t="str">
        <f t="shared" si="33"/>
        <v>Biogas</v>
      </c>
      <c r="B102" s="194" t="str">
        <f t="shared" si="34"/>
        <v/>
      </c>
      <c r="C102" s="194">
        <f>IF(COUNTIFS('Resultater - Danmark'!$D$3:$D$482,'Resultat-Produktion &amp; forbrug'!A102,'Resultater - Danmark'!$A$3:$A$482,"Til energi")+COUNTIFS('Resultater - Danmark'!$D$3:$D$482,'Resultat-Produktion &amp; forbrug'!A102,'Resultater - Danmark'!$A$3:$A$482,"Biogasanlæg")&gt;0,1,0)</f>
        <v>1</v>
      </c>
      <c r="D102" s="194">
        <f t="shared" si="35"/>
        <v>2050</v>
      </c>
      <c r="E102" s="192" t="s">
        <v>23</v>
      </c>
      <c r="F102" s="195">
        <f>IF(E102="Vestdanmark",SUMIFS(IF(D102=År1,'Resultater - Vestdanmark'!H$3:H$482,IF(D102=År2,'Resultater - Vestdanmark'!I$3:I$482,'Resultater - Vestdanmark'!J$3:J$482)),'Resultater - Vestdanmark'!$F$3:$F$482,$A102,IF(D102=År1,'Resultater - Vestdanmark'!H$3:H$482,IF(D102=År2,'Resultater - Vestdanmark'!I$3:I$482,'Resultater - Vestdanmark'!J$3:J$482)),"&gt;0"),SUMIFS(IF(D102=År1,'Resultater - Østdanmark'!H$3:H$482,IF(D102=År2,'Resultater - Østdanmark'!I$3:I$482,'Resultater - Østdanmark'!J$3:J$482)),'Resultater - Østdanmark'!$F$3:$F$482,$A102,IF(D102=År1,'Resultater - Østdanmark'!H$3:H$482,IF(D102=År2,'Resultater - Østdanmark'!I$3:I$482,'Resultater - Østdanmark'!J$3:J$482)),"&gt;0"))</f>
        <v>48345002.496000007</v>
      </c>
      <c r="G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92">
        <f>IF(E102="Vestdanmark",-IF(A102="Halm",SUMIFS(IF(D102=År1,'Resultater - Vestdanmark'!H$3:H$482,IF(D102=År2,'Resultater - Vestdanmark'!I$3:I$482,'Resultater - Vestdanmark'!J$3:J$482)),'Resultater - Vestdanmark'!$F$3:$F$482,$A102,'Resultater - Vestdanmark'!H$3:H$482,"&lt;0"),0),-IF(A102="Halm",SUMIFS(IF(D102=År1,'Resultater - Østdanmark'!H$3:H$482,IF(D102=År2,'Resultater - Østdanmark'!I$3:I$482,'Resultater - Østdanmark'!J$3:J$482)),'Resultater - Østdanmark'!$F$3:$F$482,$A102,'Resultater - Østdanmark'!H$3:H$482,"&lt;0"),0))</f>
        <v>0</v>
      </c>
      <c r="I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5">
        <f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48345002.496000007</v>
      </c>
      <c r="M102" s="157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204">
        <f t="shared" si="23"/>
        <v>0</v>
      </c>
      <c r="O102" s="195">
        <f t="shared" si="20"/>
        <v>0</v>
      </c>
      <c r="P102" s="205">
        <f t="shared" si="24"/>
        <v>48345002.496000007</v>
      </c>
      <c r="Q102" s="192">
        <f>IFERROR(VLOOKUP(A102,[1]Energiindhold!$A$2:$C$11,3,FALSE),IFERROR(VLOOKUP(A102,[1]Biogasudbytte!$A$2:$B$18,2,FALSE)*[1]Energiindhold!$C$10,0))*O102</f>
        <v>0</v>
      </c>
      <c r="R102" s="192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92">
        <f>IFERROR(VLOOKUP(A102,[1]Biogasudbytte!$A$2:$B$18,2,FALSE)*[1]Energiindhold!$C$10,0)*J102*IFERROR(VLOOKUP(A102,Biogasanlæg!$F$3:$G$8,2,FALSE),1)</f>
        <v>0</v>
      </c>
      <c r="T102" s="193">
        <f t="shared" si="25"/>
        <v>0</v>
      </c>
      <c r="U102" s="191">
        <f>O102*IFERROR(VLOOKUP(A102,[1]Tørstofindhold!A$2:B$24,2,FALSE),0)</f>
        <v>0</v>
      </c>
      <c r="V102" s="192">
        <f>IF(D102=År1,P102,SUM(O102,P102))*IFERROR(VLOOKUP(A102,[1]Tørstofindhold!A$2:B$24,2,FALSE),0)</f>
        <v>0</v>
      </c>
      <c r="W102" s="192">
        <f>J102*IFERROR(VLOOKUP(A102,[1]Tørstofindhold!A$2:B$24,2,FALSE),0)</f>
        <v>0</v>
      </c>
      <c r="X102" s="193">
        <f t="shared" si="26"/>
        <v>0</v>
      </c>
      <c r="Y102" s="171">
        <f t="shared" si="21"/>
        <v>0</v>
      </c>
      <c r="Z102" s="103">
        <f t="shared" si="22"/>
        <v>0</v>
      </c>
    </row>
    <row r="103" spans="1:26" x14ac:dyDescent="0.25">
      <c r="A103" s="194" t="str">
        <f t="shared" si="33"/>
        <v>Biogasgylle</v>
      </c>
      <c r="B103" s="194" t="str">
        <f t="shared" si="34"/>
        <v/>
      </c>
      <c r="C103" s="194">
        <f>IF(COUNTIFS('Resultater - Danmark'!$D$3:$D$482,'Resultat-Produktion &amp; forbrug'!A103,'Resultater - Danmark'!$A$3:$A$482,"Til energi")+COUNTIFS('Resultater - Danmark'!$D$3:$D$482,'Resultat-Produktion &amp; forbrug'!A103,'Resultater - Danmark'!$A$3:$A$482,"Biogasanlæg")&gt;0,1,0)</f>
        <v>0</v>
      </c>
      <c r="D103" s="194">
        <f t="shared" si="35"/>
        <v>2050</v>
      </c>
      <c r="E103" s="192" t="s">
        <v>23</v>
      </c>
      <c r="F103" s="195">
        <f>IF(E103="Vestdanmark",SUMIFS(IF(D103=År1,'Resultater - Vestdanmark'!H$3:H$482,IF(D103=År2,'Resultater - Vestdanmark'!I$3:I$482,'Resultater - Vestdanmark'!J$3:J$482)),'Resultater - Vestdanmark'!$F$3:$F$482,$A103,IF(D103=År1,'Resultater - Vestdanmark'!H$3:H$482,IF(D103=År2,'Resultater - Vestdanmark'!I$3:I$482,'Resultater - Vestdanmark'!J$3:J$482)),"&gt;0"),SUMIFS(IF(D103=År1,'Resultater - Østdanmark'!H$3:H$482,IF(D103=År2,'Resultater - Østdanmark'!I$3:I$482,'Resultater - Østdanmark'!J$3:J$482)),'Resultater - Østdanmark'!$F$3:$F$482,$A103,IF(D103=År1,'Resultater - Østdanmark'!H$3:H$482,IF(D103=År2,'Resultater - Østdanmark'!I$3:I$482,'Resultater - Østdanmark'!J$3:J$482)),"&gt;0"))</f>
        <v>0</v>
      </c>
      <c r="G103" s="195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92">
        <f>IF(E103="Vestdanmark",-IF(A103="Halm",SUMIFS(IF(D103=År1,'Resultater - Vestdanmark'!H$3:H$482,IF(D103=År2,'Resultater - Vestdanmark'!I$3:I$482,'Resultater - Vestdanmark'!J$3:J$482)),'Resultater - Vestdanmark'!$F$3:$F$482,$A103,'Resultater - Vestdanmark'!H$3:H$482,"&lt;0"),0),-IF(A103="Halm",SUMIFS(IF(D103=År1,'Resultater - Østdanmark'!H$3:H$482,IF(D103=År2,'Resultater - Østdanmark'!I$3:I$482,'Resultater - Østdanmark'!J$3:J$482)),'Resultater - Østdanmark'!$F$3:$F$482,$A103,'Resultater - Østdanmark'!H$3:H$482,"&lt;0"),0))</f>
        <v>0</v>
      </c>
      <c r="I103" s="195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5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5" t="e">
        <f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#REF!</v>
      </c>
      <c r="L103" s="195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7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204" t="e">
        <f t="shared" si="23"/>
        <v>#REF!</v>
      </c>
      <c r="O103" s="195">
        <f t="shared" si="20"/>
        <v>0</v>
      </c>
      <c r="P103" s="205">
        <f t="shared" si="24"/>
        <v>0</v>
      </c>
      <c r="Q103" s="192">
        <f>IFERROR(VLOOKUP(A103,[1]Energiindhold!$A$2:$C$11,3,FALSE),IFERROR(VLOOKUP(A103,[1]Biogasudbytte!$A$2:$B$18,2,FALSE)*[1]Energiindhold!$C$10,0))*O103</f>
        <v>0</v>
      </c>
      <c r="R103" s="192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92">
        <f>IFERROR(VLOOKUP(A103,[1]Biogasudbytte!$A$2:$B$18,2,FALSE)*[1]Energiindhold!$C$10,0)*J103*IFERROR(VLOOKUP(A103,Biogasanlæg!$F$3:$G$8,2,FALSE),1)</f>
        <v>0</v>
      </c>
      <c r="T103" s="193">
        <f t="shared" si="25"/>
        <v>0</v>
      </c>
      <c r="U103" s="191">
        <f>O103*IFERROR(VLOOKUP(A103,[1]Tørstofindhold!A$2:B$24,2,FALSE),0)</f>
        <v>0</v>
      </c>
      <c r="V103" s="192">
        <f>IF(D103=År1,P103,SUM(O103,P103))*IFERROR(VLOOKUP(A103,[1]Tørstofindhold!A$2:B$24,2,FALSE),0)</f>
        <v>0</v>
      </c>
      <c r="W103" s="192">
        <f>J103*IFERROR(VLOOKUP(A103,[1]Tørstofindhold!A$2:B$24,2,FALSE),0)</f>
        <v>0</v>
      </c>
      <c r="X103" s="193">
        <f t="shared" si="26"/>
        <v>0</v>
      </c>
      <c r="Y103" s="171" t="e">
        <f t="shared" si="21"/>
        <v>#REF!</v>
      </c>
      <c r="Z103" s="103" t="e">
        <f t="shared" si="22"/>
        <v>#REF!</v>
      </c>
    </row>
    <row r="104" spans="1:26" x14ac:dyDescent="0.25">
      <c r="A104" s="194" t="str">
        <f t="shared" si="33"/>
        <v>Brun saft</v>
      </c>
      <c r="B104" s="194" t="str">
        <f t="shared" si="34"/>
        <v>Bionedbrydeligt affald</v>
      </c>
      <c r="C104" s="194">
        <f>IF(COUNTIFS('Resultater - Danmark'!$D$3:$D$482,'Resultat-Produktion &amp; forbrug'!A104,'Resultater - Danmark'!$A$3:$A$482,"Til energi")+COUNTIFS('Resultater - Danmark'!$D$3:$D$482,'Resultat-Produktion &amp; forbrug'!A104,'Resultater - Danmark'!$A$3:$A$482,"Biogasanlæg")&gt;0,1,0)</f>
        <v>1</v>
      </c>
      <c r="D104" s="194">
        <f t="shared" si="35"/>
        <v>2050</v>
      </c>
      <c r="E104" s="192" t="s">
        <v>23</v>
      </c>
      <c r="F104" s="195">
        <f>IF(E104="Vestdanmark",SUMIFS(IF(D104=År1,'Resultater - Vestdanmark'!H$3:H$482,IF(D104=År2,'Resultater - Vestdanmark'!I$3:I$482,'Resultater - Vestdanmark'!J$3:J$482)),'Resultater - Vestdanmark'!$F$3:$F$482,$A104,IF(D104=År1,'Resultater - Vestdanmark'!H$3:H$482,IF(D104=År2,'Resultater - Vestdanmark'!I$3:I$482,'Resultater - Vestdanmark'!J$3:J$482)),"&gt;0"),SUMIFS(IF(D104=År1,'Resultater - Østdanmark'!H$3:H$482,IF(D104=År2,'Resultater - Østdanmark'!I$3:I$482,'Resultater - Østdanmark'!J$3:J$482)),'Resultater - Østdanmark'!$F$3:$F$482,$A104,IF(D104=År1,'Resultater - Østdanmark'!H$3:H$482,IF(D104=År2,'Resultater - Østdanmark'!I$3:I$482,'Resultater - Østdanmark'!J$3:J$482)),"&gt;0"))</f>
        <v>0</v>
      </c>
      <c r="G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92">
        <f>IF(E104="Vestdanmark",-IF(A104="Halm",SUMIFS(IF(D104=År1,'Resultater - Vestdanmark'!H$3:H$482,IF(D104=År2,'Resultater - Vestdanmark'!I$3:I$482,'Resultater - Vestdanmark'!J$3:J$482)),'Resultater - Vestdanmark'!$F$3:$F$482,$A104,'Resultater - Vestdanmark'!H$3:H$482,"&lt;0"),0),-IF(A104="Halm",SUMIFS(IF(D104=År1,'Resultater - Østdanmark'!H$3:H$482,IF(D104=År2,'Resultater - Østdanmark'!I$3:I$482,'Resultater - Østdanmark'!J$3:J$482)),'Resultater - Østdanmark'!$F$3:$F$482,$A104,'Resultater - Østdanmark'!H$3:H$482,"&lt;0"),0))</f>
        <v>0</v>
      </c>
      <c r="I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5" t="e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#REF!</v>
      </c>
      <c r="K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5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7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204" t="e">
        <f t="shared" si="23"/>
        <v>#REF!</v>
      </c>
      <c r="O104" s="195" t="e">
        <f t="shared" si="20"/>
        <v>#REF!</v>
      </c>
      <c r="P104" s="205" t="e">
        <f t="shared" si="24"/>
        <v>#REF!</v>
      </c>
      <c r="Q104" s="192" t="e">
        <f>IFERROR(VLOOKUP(A104,[1]Energiindhold!$A$2:$C$11,3,FALSE),IFERROR(VLOOKUP(A104,[1]Biogasudbytte!$A$2:$B$18,2,FALSE)*[1]Energiindhold!$C$10,0))*O104</f>
        <v>#REF!</v>
      </c>
      <c r="R104" s="192" t="e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#REF!</v>
      </c>
      <c r="S104" s="192" t="e">
        <f>IFERROR(VLOOKUP(A104,[1]Biogasudbytte!$A$2:$B$18,2,FALSE)*[1]Energiindhold!$C$10,0)*J104*IFERROR(VLOOKUP(A104,Biogasanlæg!$F$3:$G$8,2,FALSE),1)</f>
        <v>#REF!</v>
      </c>
      <c r="T104" s="193" t="e">
        <f t="shared" si="25"/>
        <v>#REF!</v>
      </c>
      <c r="U104" s="191" t="e">
        <f>O104*IFERROR(VLOOKUP(A104,[1]Tørstofindhold!A$2:B$24,2,FALSE),0)</f>
        <v>#REF!</v>
      </c>
      <c r="V104" s="192" t="e">
        <f>IF(D104=År1,P104,SUM(O104,P104))*IFERROR(VLOOKUP(A104,[1]Tørstofindhold!A$2:B$24,2,FALSE),0)</f>
        <v>#REF!</v>
      </c>
      <c r="W104" s="192" t="e">
        <f>J104*IFERROR(VLOOKUP(A104,[1]Tørstofindhold!A$2:B$24,2,FALSE),0)</f>
        <v>#REF!</v>
      </c>
      <c r="X104" s="193" t="e">
        <f t="shared" si="26"/>
        <v>#REF!</v>
      </c>
      <c r="Y104" s="171" t="e">
        <f t="shared" si="21"/>
        <v>#REF!</v>
      </c>
      <c r="Z104" s="103" t="e">
        <f t="shared" si="22"/>
        <v>#REF!</v>
      </c>
    </row>
    <row r="105" spans="1:26" x14ac:dyDescent="0.25">
      <c r="A105" s="194" t="str">
        <f t="shared" si="33"/>
        <v>Dybstrøelse</v>
      </c>
      <c r="B105" s="194" t="str">
        <f t="shared" si="34"/>
        <v>Husdyrgødning</v>
      </c>
      <c r="C105" s="194">
        <f>IF(COUNTIFS('Resultater - Danmark'!$D$3:$D$482,'Resultat-Produktion &amp; forbrug'!A105,'Resultater - Danmark'!$A$3:$A$482,"Til energi")+COUNTIFS('Resultater - Danmark'!$D$3:$D$482,'Resultat-Produktion &amp; forbrug'!A105,'Resultater - Danmark'!$A$3:$A$482,"Biogasanlæg")&gt;0,1,0)</f>
        <v>1</v>
      </c>
      <c r="D105" s="194">
        <f t="shared" si="35"/>
        <v>2050</v>
      </c>
      <c r="E105" s="192" t="s">
        <v>23</v>
      </c>
      <c r="F105" s="195">
        <f>IF(E105="Vestdanmark",SUMIFS(IF(D105=År1,'Resultater - Vestdanmark'!H$3:H$482,IF(D105=År2,'Resultater - Vestdanmark'!I$3:I$482,'Resultater - Vestdanmark'!J$3:J$482)),'Resultater - Vestdanmark'!$F$3:$F$482,$A105,IF(D105=År1,'Resultater - Vestdanmark'!H$3:H$482,IF(D105=År2,'Resultater - Vestdanmark'!I$3:I$482,'Resultater - Vestdanmark'!J$3:J$482)),"&gt;0"),SUMIFS(IF(D105=År1,'Resultater - Østdanmark'!H$3:H$482,IF(D105=År2,'Resultater - Østdanmark'!I$3:I$482,'Resultater - Østdanmark'!J$3:J$482)),'Resultater - Østdanmark'!$F$3:$F$482,$A105,IF(D105=År1,'Resultater - Østdanmark'!H$3:H$482,IF(D105=År2,'Resultater - Østdanmark'!I$3:I$482,'Resultater - Østdanmark'!J$3:J$482)),"&gt;0"))</f>
        <v>0</v>
      </c>
      <c r="G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92">
        <f>IF(E105="Vestdanmark",-IF(A105="Halm",SUMIFS(IF(D105=År1,'Resultater - Vestdanmark'!H$3:H$482,IF(D105=År2,'Resultater - Vestdanmark'!I$3:I$482,'Resultater - Vestdanmark'!J$3:J$482)),'Resultater - Vestdanmark'!$F$3:$F$482,$A105,'Resultater - Vestdanmark'!H$3:H$482,"&lt;0"),0),-IF(A105="Halm",SUMIFS(IF(D105=År1,'Resultater - Østdanmark'!H$3:H$482,IF(D105=År2,'Resultater - Østdanmark'!I$3:I$482,'Resultater - Østdanmark'!J$3:J$482)),'Resultater - Østdanmark'!$F$3:$F$482,$A105,'Resultater - Østdanmark'!H$3:H$482,"&lt;0"),0))</f>
        <v>0</v>
      </c>
      <c r="I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5" t="e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#REF!</v>
      </c>
      <c r="K105" s="195" t="e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#REF!</v>
      </c>
      <c r="L105" s="195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7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204" t="e">
        <f t="shared" si="23"/>
        <v>#REF!</v>
      </c>
      <c r="O105" s="195" t="e">
        <f t="shared" si="20"/>
        <v>#REF!</v>
      </c>
      <c r="P105" s="205" t="e">
        <f t="shared" si="24"/>
        <v>#REF!</v>
      </c>
      <c r="Q105" s="192" t="e">
        <f>IFERROR(VLOOKUP(A105,[1]Energiindhold!$A$2:$C$11,3,FALSE),IFERROR(VLOOKUP(A105,[1]Biogasudbytte!$A$2:$B$18,2,FALSE)*[1]Energiindhold!$C$10,0))*O105</f>
        <v>#REF!</v>
      </c>
      <c r="R105" s="192" t="e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#REF!</v>
      </c>
      <c r="S105" s="192" t="e">
        <f>IFERROR(VLOOKUP(A105,[1]Biogasudbytte!$A$2:$B$18,2,FALSE)*[1]Energiindhold!$C$10,0)*J105*IFERROR(VLOOKUP(A105,Biogasanlæg!$F$3:$G$8,2,FALSE),1)</f>
        <v>#REF!</v>
      </c>
      <c r="T105" s="193" t="e">
        <f t="shared" si="25"/>
        <v>#REF!</v>
      </c>
      <c r="U105" s="191" t="e">
        <f>O105*IFERROR(VLOOKUP(A105,[1]Tørstofindhold!A$2:B$24,2,FALSE),0)</f>
        <v>#REF!</v>
      </c>
      <c r="V105" s="192" t="e">
        <f>IF(D105=År1,P105,SUM(O105,P105))*IFERROR(VLOOKUP(A105,[1]Tørstofindhold!A$2:B$24,2,FALSE),0)</f>
        <v>#REF!</v>
      </c>
      <c r="W105" s="192" t="e">
        <f>J105*IFERROR(VLOOKUP(A105,[1]Tørstofindhold!A$2:B$24,2,FALSE),0)</f>
        <v>#REF!</v>
      </c>
      <c r="X105" s="193" t="e">
        <f t="shared" si="26"/>
        <v>#REF!</v>
      </c>
      <c r="Y105" s="171" t="e">
        <f t="shared" si="21"/>
        <v>#REF!</v>
      </c>
      <c r="Z105" s="103" t="e">
        <f t="shared" si="22"/>
        <v>#REF!</v>
      </c>
    </row>
    <row r="106" spans="1:26" x14ac:dyDescent="0.25">
      <c r="A106" s="194" t="str">
        <f t="shared" si="33"/>
        <v>Fiberfraktion</v>
      </c>
      <c r="B106" s="194" t="str">
        <f t="shared" si="34"/>
        <v/>
      </c>
      <c r="C106" s="194">
        <f>IF(COUNTIFS('Resultater - Danmark'!$D$3:$D$482,'Resultat-Produktion &amp; forbrug'!A106,'Resultater - Danmark'!$A$3:$A$482,"Til energi")+COUNTIFS('Resultater - Danmark'!$D$3:$D$482,'Resultat-Produktion &amp; forbrug'!A106,'Resultater - Danmark'!$A$3:$A$482,"Biogasanlæg")&gt;0,1,0)</f>
        <v>0</v>
      </c>
      <c r="D106" s="194">
        <f t="shared" si="35"/>
        <v>2050</v>
      </c>
      <c r="E106" s="192" t="s">
        <v>23</v>
      </c>
      <c r="F106" s="195">
        <f>IF(E106="Vestdanmark",SUMIFS(IF(D106=År1,'Resultater - Vestdanmark'!H$3:H$482,IF(D106=År2,'Resultater - Vestdanmark'!I$3:I$482,'Resultater - Vestdanmark'!J$3:J$482)),'Resultater - Vestdanmark'!$F$3:$F$482,$A106,IF(D106=År1,'Resultater - Vestdanmark'!H$3:H$482,IF(D106=År2,'Resultater - Vestdanmark'!I$3:I$482,'Resultater - Vestdanmark'!J$3:J$482)),"&gt;0"),SUMIFS(IF(D106=År1,'Resultater - Østdanmark'!H$3:H$482,IF(D106=År2,'Resultater - Østdanmark'!I$3:I$482,'Resultater - Østdanmark'!J$3:J$482)),'Resultater - Østdanmark'!$F$3:$F$482,$A106,IF(D106=År1,'Resultater - Østdanmark'!H$3:H$482,IF(D106=År2,'Resultater - Østdanmark'!I$3:I$482,'Resultater - Østdanmark'!J$3:J$482)),"&gt;0"))</f>
        <v>0</v>
      </c>
      <c r="G106" s="195" t="e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#REF!</v>
      </c>
      <c r="H106" s="192">
        <f>IF(E106="Vestdanmark",-IF(A106="Halm",SUMIFS(IF(D106=År1,'Resultater - Vestdanmark'!H$3:H$482,IF(D106=År2,'Resultater - Vestdanmark'!I$3:I$482,'Resultater - Vestdanmark'!J$3:J$482)),'Resultater - Vestdanmark'!$F$3:$F$482,$A106,'Resultater - Vestdanmark'!H$3:H$482,"&lt;0"),0),-IF(A106="Halm",SUMIFS(IF(D106=År1,'Resultater - Østdanmark'!H$3:H$482,IF(D106=År2,'Resultater - Østdanmark'!I$3:I$482,'Resultater - Østdanmark'!J$3:J$482)),'Resultater - Østdanmark'!$F$3:$F$482,$A106,'Resultater - Østdanmark'!H$3:H$482,"&lt;0"),0))</f>
        <v>0</v>
      </c>
      <c r="I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5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7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204" t="e">
        <f t="shared" si="23"/>
        <v>#REF!</v>
      </c>
      <c r="O106" s="195">
        <f t="shared" si="20"/>
        <v>0</v>
      </c>
      <c r="P106" s="205">
        <f t="shared" si="24"/>
        <v>0</v>
      </c>
      <c r="Q106" s="192">
        <f>IFERROR(VLOOKUP(A106,[1]Energiindhold!$A$2:$C$11,3,FALSE),IFERROR(VLOOKUP(A106,[1]Biogasudbytte!$A$2:$B$18,2,FALSE)*[1]Energiindhold!$C$10,0))*O106</f>
        <v>0</v>
      </c>
      <c r="R106" s="192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92">
        <f>IFERROR(VLOOKUP(A106,[1]Biogasudbytte!$A$2:$B$18,2,FALSE)*[1]Energiindhold!$C$10,0)*J106*IFERROR(VLOOKUP(A106,Biogasanlæg!$F$3:$G$8,2,FALSE),1)</f>
        <v>0</v>
      </c>
      <c r="T106" s="193">
        <f t="shared" si="25"/>
        <v>0</v>
      </c>
      <c r="U106" s="191">
        <f>O106*IFERROR(VLOOKUP(A106,[1]Tørstofindhold!A$2:B$24,2,FALSE),0)</f>
        <v>0</v>
      </c>
      <c r="V106" s="192">
        <f>IF(D106=År1,P106,SUM(O106,P106))*IFERROR(VLOOKUP(A106,[1]Tørstofindhold!A$2:B$24,2,FALSE),0)</f>
        <v>0</v>
      </c>
      <c r="W106" s="192">
        <f>J106*IFERROR(VLOOKUP(A106,[1]Tørstofindhold!A$2:B$24,2,FALSE),0)</f>
        <v>0</v>
      </c>
      <c r="X106" s="193">
        <f t="shared" si="26"/>
        <v>0</v>
      </c>
      <c r="Y106" s="171" t="e">
        <f t="shared" si="21"/>
        <v>#REF!</v>
      </c>
      <c r="Z106" s="103" t="e">
        <f t="shared" si="22"/>
        <v>#REF!</v>
      </c>
    </row>
    <row r="107" spans="1:26" x14ac:dyDescent="0.25">
      <c r="A107" s="194" t="str">
        <f t="shared" si="33"/>
        <v>Fjerkrægylle</v>
      </c>
      <c r="B107" s="194" t="str">
        <f t="shared" si="34"/>
        <v>Husdyrgødning</v>
      </c>
      <c r="C107" s="194">
        <f>IF(COUNTIFS('Resultater - Danmark'!$D$3:$D$482,'Resultat-Produktion &amp; forbrug'!A107,'Resultater - Danmark'!$A$3:$A$482,"Til energi")+COUNTIFS('Resultater - Danmark'!$D$3:$D$482,'Resultat-Produktion &amp; forbrug'!A107,'Resultater - Danmark'!$A$3:$A$482,"Biogasanlæg")&gt;0,1,0)</f>
        <v>1</v>
      </c>
      <c r="D107" s="194">
        <f t="shared" si="35"/>
        <v>2050</v>
      </c>
      <c r="E107" s="192" t="s">
        <v>23</v>
      </c>
      <c r="F107" s="195">
        <f>IF(E107="Vestdanmark",SUMIFS(IF(D107=År1,'Resultater - Vestdanmark'!H$3:H$482,IF(D107=År2,'Resultater - Vestdanmark'!I$3:I$482,'Resultater - Vestdanmark'!J$3:J$482)),'Resultater - Vestdanmark'!$F$3:$F$482,$A107,IF(D107=År1,'Resultater - Vestdanmark'!H$3:H$482,IF(D107=År2,'Resultater - Vestdanmark'!I$3:I$482,'Resultater - Vestdanmark'!J$3:J$482)),"&gt;0"),SUMIFS(IF(D107=År1,'Resultater - Østdanmark'!H$3:H$482,IF(D107=År2,'Resultater - Østdanmark'!I$3:I$482,'Resultater - Østdanmark'!J$3:J$482)),'Resultater - Østdanmark'!$F$3:$F$482,$A107,IF(D107=År1,'Resultater - Østdanmark'!H$3:H$482,IF(D107=År2,'Resultater - Østdanmark'!I$3:I$482,'Resultater - Østdanmark'!J$3:J$482)),"&gt;0"))</f>
        <v>0</v>
      </c>
      <c r="G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92">
        <f>IF(E107="Vestdanmark",-IF(A107="Halm",SUMIFS(IF(D107=År1,'Resultater - Vestdanmark'!H$3:H$482,IF(D107=År2,'Resultater - Vestdanmark'!I$3:I$482,'Resultater - Vestdanmark'!J$3:J$482)),'Resultater - Vestdanmark'!$F$3:$F$482,$A107,'Resultater - Vestdanmark'!H$3:H$482,"&lt;0"),0),-IF(A107="Halm",SUMIFS(IF(D107=År1,'Resultater - Østdanmark'!H$3:H$482,IF(D107=År2,'Resultater - Østdanmark'!I$3:I$482,'Resultater - Østdanmark'!J$3:J$482)),'Resultater - Østdanmark'!$F$3:$F$482,$A107,'Resultater - Østdanmark'!H$3:H$482,"&lt;0"),0))</f>
        <v>0</v>
      </c>
      <c r="I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5" t="e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#REF!</v>
      </c>
      <c r="K107" s="195" t="e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#REF!</v>
      </c>
      <c r="L107" s="195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7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204" t="e">
        <f t="shared" si="23"/>
        <v>#REF!</v>
      </c>
      <c r="O107" s="195" t="e">
        <f t="shared" si="20"/>
        <v>#REF!</v>
      </c>
      <c r="P107" s="205" t="e">
        <f t="shared" si="24"/>
        <v>#REF!</v>
      </c>
      <c r="Q107" s="192" t="e">
        <f>IFERROR(VLOOKUP(A107,[1]Energiindhold!$A$2:$C$11,3,FALSE),IFERROR(VLOOKUP(A107,[1]Biogasudbytte!$A$2:$B$18,2,FALSE)*[1]Energiindhold!$C$10,0))*O107</f>
        <v>#REF!</v>
      </c>
      <c r="R107" s="192" t="e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#REF!</v>
      </c>
      <c r="S107" s="192" t="e">
        <f>IFERROR(VLOOKUP(A107,[1]Biogasudbytte!$A$2:$B$18,2,FALSE)*[1]Energiindhold!$C$10,0)*J107*IFERROR(VLOOKUP(A107,Biogasanlæg!$F$3:$G$8,2,FALSE),1)</f>
        <v>#REF!</v>
      </c>
      <c r="T107" s="193" t="e">
        <f t="shared" si="25"/>
        <v>#REF!</v>
      </c>
      <c r="U107" s="191" t="e">
        <f>O107*IFERROR(VLOOKUP(A107,[1]Tørstofindhold!A$2:B$24,2,FALSE),0)</f>
        <v>#REF!</v>
      </c>
      <c r="V107" s="192" t="e">
        <f>IF(D107=År1,P107,SUM(O107,P107))*IFERROR(VLOOKUP(A107,[1]Tørstofindhold!A$2:B$24,2,FALSE),0)</f>
        <v>#REF!</v>
      </c>
      <c r="W107" s="192" t="e">
        <f>J107*IFERROR(VLOOKUP(A107,[1]Tørstofindhold!A$2:B$24,2,FALSE),0)</f>
        <v>#REF!</v>
      </c>
      <c r="X107" s="193" t="e">
        <f t="shared" si="26"/>
        <v>#REF!</v>
      </c>
      <c r="Y107" s="171" t="e">
        <f t="shared" si="21"/>
        <v>#REF!</v>
      </c>
      <c r="Z107" s="103" t="e">
        <f t="shared" si="22"/>
        <v>#REF!</v>
      </c>
    </row>
    <row r="108" spans="1:26" x14ac:dyDescent="0.25">
      <c r="A108" s="194" t="str">
        <f t="shared" si="33"/>
        <v>Fjerkrækød</v>
      </c>
      <c r="B108" s="194" t="str">
        <f t="shared" si="34"/>
        <v/>
      </c>
      <c r="C108" s="194">
        <f>IF(COUNTIFS('Resultater - Danmark'!$D$3:$D$482,'Resultat-Produktion &amp; forbrug'!A108,'Resultater - Danmark'!$A$3:$A$482,"Til energi")+COUNTIFS('Resultater - Danmark'!$D$3:$D$482,'Resultat-Produktion &amp; forbrug'!A108,'Resultater - Danmark'!$A$3:$A$482,"Biogasanlæg")&gt;0,1,0)</f>
        <v>0</v>
      </c>
      <c r="D108" s="194">
        <f t="shared" si="35"/>
        <v>2050</v>
      </c>
      <c r="E108" s="192" t="s">
        <v>23</v>
      </c>
      <c r="F108" s="195">
        <f>IF(E108="Vestdanmark",SUMIFS(IF(D108=År1,'Resultater - Vestdanmark'!H$3:H$482,IF(D108=År2,'Resultater - Vestdanmark'!I$3:I$482,'Resultater - Vestdanmark'!J$3:J$482)),'Resultater - Vestdanmark'!$F$3:$F$482,$A108,IF(D108=År1,'Resultater - Vestdanmark'!H$3:H$482,IF(D108=År2,'Resultater - Vestdanmark'!I$3:I$482,'Resultater - Vestdanmark'!J$3:J$482)),"&gt;0"),SUMIFS(IF(D108=År1,'Resultater - Østdanmark'!H$3:H$482,IF(D108=År2,'Resultater - Østdanmark'!I$3:I$482,'Resultater - Østdanmark'!J$3:J$482)),'Resultater - Østdanmark'!$F$3:$F$482,$A108,IF(D108=År1,'Resultater - Østdanmark'!H$3:H$482,IF(D108=År2,'Resultater - Østdanmark'!I$3:I$482,'Resultater - Østdanmark'!J$3:J$482)),"&gt;0"))</f>
        <v>0</v>
      </c>
      <c r="G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92">
        <f>IF(E108="Vestdanmark",-IF(A108="Halm",SUMIFS(IF(D108=År1,'Resultater - Vestdanmark'!H$3:H$482,IF(D108=År2,'Resultater - Vestdanmark'!I$3:I$482,'Resultater - Vestdanmark'!J$3:J$482)),'Resultater - Vestdanmark'!$F$3:$F$482,$A108,'Resultater - Vestdanmark'!H$3:H$482,"&lt;0"),0),-IF(A108="Halm",SUMIFS(IF(D108=År1,'Resultater - Østdanmark'!H$3:H$482,IF(D108=År2,'Resultater - Østdanmark'!I$3:I$482,'Resultater - Østdanmark'!J$3:J$482)),'Resultater - Østdanmark'!$F$3:$F$482,$A108,'Resultater - Østdanmark'!H$3:H$482,"&lt;0"),0))</f>
        <v>0</v>
      </c>
      <c r="I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5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7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204">
        <f t="shared" si="23"/>
        <v>-36670.799626981883</v>
      </c>
      <c r="O108" s="195">
        <f t="shared" si="20"/>
        <v>0</v>
      </c>
      <c r="P108" s="205">
        <f t="shared" si="24"/>
        <v>0</v>
      </c>
      <c r="Q108" s="192">
        <f>IFERROR(VLOOKUP(A108,[1]Energiindhold!$A$2:$C$11,3,FALSE),IFERROR(VLOOKUP(A108,[1]Biogasudbytte!$A$2:$B$18,2,FALSE)*[1]Energiindhold!$C$10,0))*O108</f>
        <v>0</v>
      </c>
      <c r="R108" s="192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92">
        <f>IFERROR(VLOOKUP(A108,[1]Biogasudbytte!$A$2:$B$18,2,FALSE)*[1]Energiindhold!$C$10,0)*J108*IFERROR(VLOOKUP(A108,Biogasanlæg!$F$3:$G$8,2,FALSE),1)</f>
        <v>0</v>
      </c>
      <c r="T108" s="193">
        <f t="shared" si="25"/>
        <v>0</v>
      </c>
      <c r="U108" s="191">
        <f>O108*IFERROR(VLOOKUP(A108,[1]Tørstofindhold!A$2:B$24,2,FALSE),0)</f>
        <v>0</v>
      </c>
      <c r="V108" s="192">
        <f>IF(D108=År1,P108,SUM(O108,P108))*IFERROR(VLOOKUP(A108,[1]Tørstofindhold!A$2:B$24,2,FALSE),0)</f>
        <v>0</v>
      </c>
      <c r="W108" s="192">
        <f>J108*IFERROR(VLOOKUP(A108,[1]Tørstofindhold!A$2:B$24,2,FALSE),0)</f>
        <v>0</v>
      </c>
      <c r="X108" s="193">
        <f t="shared" si="26"/>
        <v>0</v>
      </c>
      <c r="Y108" s="171">
        <f t="shared" si="21"/>
        <v>1</v>
      </c>
      <c r="Z108" s="103">
        <f t="shared" si="22"/>
        <v>0</v>
      </c>
    </row>
    <row r="109" spans="1:26" x14ac:dyDescent="0.25">
      <c r="A109" s="194" t="str">
        <f t="shared" si="33"/>
        <v>Frø</v>
      </c>
      <c r="B109" s="194" t="str">
        <f t="shared" si="34"/>
        <v/>
      </c>
      <c r="C109" s="194">
        <f>IF(COUNTIFS('Resultater - Danmark'!$D$3:$D$482,'Resultat-Produktion &amp; forbrug'!A109,'Resultater - Danmark'!$A$3:$A$482,"Til energi")+COUNTIFS('Resultater - Danmark'!$D$3:$D$482,'Resultat-Produktion &amp; forbrug'!A109,'Resultater - Danmark'!$A$3:$A$482,"Biogasanlæg")&gt;0,1,0)</f>
        <v>0</v>
      </c>
      <c r="D109" s="194">
        <f t="shared" si="35"/>
        <v>2050</v>
      </c>
      <c r="E109" s="192" t="s">
        <v>23</v>
      </c>
      <c r="F109" s="195">
        <f>IF(E109="Vestdanmark",SUMIFS(IF(D109=År1,'Resultater - Vestdanmark'!H$3:H$482,IF(D109=År2,'Resultater - Vestdanmark'!I$3:I$482,'Resultater - Vestdanmark'!J$3:J$482)),'Resultater - Vestdanmark'!$F$3:$F$482,$A109,IF(D109=År1,'Resultater - Vestdanmark'!H$3:H$482,IF(D109=År2,'Resultater - Vestdanmark'!I$3:I$482,'Resultater - Vestdanmark'!J$3:J$482)),"&gt;0"),SUMIFS(IF(D109=År1,'Resultater - Østdanmark'!H$3:H$482,IF(D109=År2,'Resultater - Østdanmark'!I$3:I$482,'Resultater - Østdanmark'!J$3:J$482)),'Resultater - Østdanmark'!$F$3:$F$482,$A109,IF(D109=År1,'Resultater - Østdanmark'!H$3:H$482,IF(D109=År2,'Resultater - Østdanmark'!I$3:I$482,'Resultater - Østdanmark'!J$3:J$482)),"&gt;0"))</f>
        <v>0</v>
      </c>
      <c r="G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92">
        <f>IF(E109="Vestdanmark",-IF(A109="Halm",SUMIFS(IF(D109=År1,'Resultater - Vestdanmark'!H$3:H$482,IF(D109=År2,'Resultater - Vestdanmark'!I$3:I$482,'Resultater - Vestdanmark'!J$3:J$482)),'Resultater - Vestdanmark'!$F$3:$F$482,$A109,'Resultater - Vestdanmark'!H$3:H$482,"&lt;0"),0),-IF(A109="Halm",SUMIFS(IF(D109=År1,'Resultater - Østdanmark'!H$3:H$482,IF(D109=År2,'Resultater - Østdanmark'!I$3:I$482,'Resultater - Østdanmark'!J$3:J$482)),'Resultater - Østdanmark'!$F$3:$F$482,$A109,'Resultater - Østdanmark'!H$3:H$482,"&lt;0"),0))</f>
        <v>0</v>
      </c>
      <c r="I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5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7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204">
        <f t="shared" si="23"/>
        <v>0</v>
      </c>
      <c r="O109" s="195">
        <f t="shared" si="20"/>
        <v>0</v>
      </c>
      <c r="P109" s="205">
        <f t="shared" si="24"/>
        <v>0</v>
      </c>
      <c r="Q109" s="192">
        <f>IFERROR(VLOOKUP(A109,[1]Energiindhold!$A$2:$C$11,3,FALSE),IFERROR(VLOOKUP(A109,[1]Biogasudbytte!$A$2:$B$18,2,FALSE)*[1]Energiindhold!$C$10,0))*O109</f>
        <v>0</v>
      </c>
      <c r="R109" s="192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92">
        <f>IFERROR(VLOOKUP(A109,[1]Biogasudbytte!$A$2:$B$18,2,FALSE)*[1]Energiindhold!$C$10,0)*J109*IFERROR(VLOOKUP(A109,Biogasanlæg!$F$3:$G$8,2,FALSE),1)</f>
        <v>0</v>
      </c>
      <c r="T109" s="193">
        <f t="shared" si="25"/>
        <v>0</v>
      </c>
      <c r="U109" s="191">
        <f>O109*IFERROR(VLOOKUP(A109,[1]Tørstofindhold!A$2:B$24,2,FALSE),0)</f>
        <v>0</v>
      </c>
      <c r="V109" s="192">
        <f>IF(D109=År1,P109,SUM(O109,P109))*IFERROR(VLOOKUP(A109,[1]Tørstofindhold!A$2:B$24,2,FALSE),0)</f>
        <v>0</v>
      </c>
      <c r="W109" s="192">
        <f>J109*IFERROR(VLOOKUP(A109,[1]Tørstofindhold!A$2:B$24,2,FALSE),0)</f>
        <v>0</v>
      </c>
      <c r="X109" s="193">
        <f t="shared" si="26"/>
        <v>0</v>
      </c>
      <c r="Y109" s="171">
        <f t="shared" si="21"/>
        <v>0</v>
      </c>
      <c r="Z109" s="103">
        <f t="shared" si="22"/>
        <v>0</v>
      </c>
    </row>
    <row r="110" spans="1:26" x14ac:dyDescent="0.25">
      <c r="A110" s="194" t="str">
        <f t="shared" si="33"/>
        <v>Frugt</v>
      </c>
      <c r="B110" s="194" t="str">
        <f t="shared" si="34"/>
        <v/>
      </c>
      <c r="C110" s="194">
        <f>IF(COUNTIFS('Resultater - Danmark'!$D$3:$D$482,'Resultat-Produktion &amp; forbrug'!A110,'Resultater - Danmark'!$A$3:$A$482,"Til energi")+COUNTIFS('Resultater - Danmark'!$D$3:$D$482,'Resultat-Produktion &amp; forbrug'!A110,'Resultater - Danmark'!$A$3:$A$482,"Biogasanlæg")&gt;0,1,0)</f>
        <v>0</v>
      </c>
      <c r="D110" s="194">
        <f t="shared" si="35"/>
        <v>2050</v>
      </c>
      <c r="E110" s="192" t="s">
        <v>23</v>
      </c>
      <c r="F110" s="195">
        <f>IF(E110="Vestdanmark",SUMIFS(IF(D110=År1,'Resultater - Vestdanmark'!H$3:H$482,IF(D110=År2,'Resultater - Vestdanmark'!I$3:I$482,'Resultater - Vestdanmark'!J$3:J$482)),'Resultater - Vestdanmark'!$F$3:$F$482,$A110,IF(D110=År1,'Resultater - Vestdanmark'!H$3:H$482,IF(D110=År2,'Resultater - Vestdanmark'!I$3:I$482,'Resultater - Vestdanmark'!J$3:J$482)),"&gt;0"),SUMIFS(IF(D110=År1,'Resultater - Østdanmark'!H$3:H$482,IF(D110=År2,'Resultater - Østdanmark'!I$3:I$482,'Resultater - Østdanmark'!J$3:J$482)),'Resultater - Østdanmark'!$F$3:$F$482,$A110,IF(D110=År1,'Resultater - Østdanmark'!H$3:H$482,IF(D110=År2,'Resultater - Østdanmark'!I$3:I$482,'Resultater - Østdanmark'!J$3:J$482)),"&gt;0"))</f>
        <v>0</v>
      </c>
      <c r="G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92">
        <f>IF(E110="Vestdanmark",-IF(A110="Halm",SUMIFS(IF(D110=År1,'Resultater - Vestdanmark'!H$3:H$482,IF(D110=År2,'Resultater - Vestdanmark'!I$3:I$482,'Resultater - Vestdanmark'!J$3:J$482)),'Resultater - Vestdanmark'!$F$3:$F$482,$A110,'Resultater - Vestdanmark'!H$3:H$482,"&lt;0"),0),-IF(A110="Halm",SUMIFS(IF(D110=År1,'Resultater - Østdanmark'!H$3:H$482,IF(D110=År2,'Resultater - Østdanmark'!I$3:I$482,'Resultater - Østdanmark'!J$3:J$482)),'Resultater - Østdanmark'!$F$3:$F$482,$A110,'Resultater - Østdanmark'!H$3:H$482,"&lt;0"),0))</f>
        <v>0</v>
      </c>
      <c r="I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5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7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204">
        <f t="shared" si="23"/>
        <v>-267978.92035102146</v>
      </c>
      <c r="O110" s="195">
        <f t="shared" si="20"/>
        <v>0</v>
      </c>
      <c r="P110" s="205">
        <f t="shared" si="24"/>
        <v>0</v>
      </c>
      <c r="Q110" s="192">
        <f>IFERROR(VLOOKUP(A110,[1]Energiindhold!$A$2:$C$11,3,FALSE),IFERROR(VLOOKUP(A110,[1]Biogasudbytte!$A$2:$B$18,2,FALSE)*[1]Energiindhold!$C$10,0))*O110</f>
        <v>0</v>
      </c>
      <c r="R110" s="192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92">
        <f>IFERROR(VLOOKUP(A110,[1]Biogasudbytte!$A$2:$B$18,2,FALSE)*[1]Energiindhold!$C$10,0)*J110*IFERROR(VLOOKUP(A110,Biogasanlæg!$F$3:$G$8,2,FALSE),1)</f>
        <v>0</v>
      </c>
      <c r="T110" s="193">
        <f t="shared" si="25"/>
        <v>0</v>
      </c>
      <c r="U110" s="191">
        <f>O110*IFERROR(VLOOKUP(A110,[1]Tørstofindhold!A$2:B$24,2,FALSE),0)</f>
        <v>0</v>
      </c>
      <c r="V110" s="192">
        <f>IF(D110=År1,P110,SUM(O110,P110))*IFERROR(VLOOKUP(A110,[1]Tørstofindhold!A$2:B$24,2,FALSE),0)</f>
        <v>0</v>
      </c>
      <c r="W110" s="192">
        <f>J110*IFERROR(VLOOKUP(A110,[1]Tørstofindhold!A$2:B$24,2,FALSE),0)</f>
        <v>0</v>
      </c>
      <c r="X110" s="193">
        <f t="shared" si="26"/>
        <v>0</v>
      </c>
      <c r="Y110" s="171">
        <f t="shared" si="21"/>
        <v>1</v>
      </c>
      <c r="Z110" s="103">
        <f t="shared" si="22"/>
        <v>0</v>
      </c>
    </row>
    <row r="111" spans="1:26" x14ac:dyDescent="0.25">
      <c r="A111" s="194" t="str">
        <f t="shared" si="33"/>
        <v>Glycerin</v>
      </c>
      <c r="B111" s="194" t="str">
        <f t="shared" si="34"/>
        <v>Glycerin</v>
      </c>
      <c r="C111" s="194">
        <f>IF(COUNTIFS('Resultater - Danmark'!$D$3:$D$482,'Resultat-Produktion &amp; forbrug'!A111,'Resultater - Danmark'!$A$3:$A$482,"Til energi")+COUNTIFS('Resultater - Danmark'!$D$3:$D$482,'Resultat-Produktion &amp; forbrug'!A111,'Resultater - Danmark'!$A$3:$A$482,"Biogasanlæg")&gt;0,1,0)</f>
        <v>1</v>
      </c>
      <c r="D111" s="194">
        <f t="shared" si="35"/>
        <v>2050</v>
      </c>
      <c r="E111" s="192" t="s">
        <v>23</v>
      </c>
      <c r="F111" s="195">
        <f>IF(E111="Vestdanmark",SUMIFS(IF(D111=År1,'Resultater - Vestdanmark'!H$3:H$482,IF(D111=År2,'Resultater - Vestdanmark'!I$3:I$482,'Resultater - Vestdanmark'!J$3:J$482)),'Resultater - Vestdanmark'!$F$3:$F$482,$A111,IF(D111=År1,'Resultater - Vestdanmark'!H$3:H$482,IF(D111=År2,'Resultater - Vestdanmark'!I$3:I$482,'Resultater - Vestdanmark'!J$3:J$482)),"&gt;0"),SUMIFS(IF(D111=År1,'Resultater - Østdanmark'!H$3:H$482,IF(D111=År2,'Resultater - Østdanmark'!I$3:I$482,'Resultater - Østdanmark'!J$3:J$482)),'Resultater - Østdanmark'!$F$3:$F$482,$A111,IF(D111=År1,'Resultater - Østdanmark'!H$3:H$482,IF(D111=År2,'Resultater - Østdanmark'!I$3:I$482,'Resultater - Østdanmark'!J$3:J$482)),"&gt;0"))</f>
        <v>0</v>
      </c>
      <c r="G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92">
        <f>IF(E111="Vestdanmark",-IF(A111="Halm",SUMIFS(IF(D111=År1,'Resultater - Vestdanmark'!H$3:H$482,IF(D111=År2,'Resultater - Vestdanmark'!I$3:I$482,'Resultater - Vestdanmark'!J$3:J$482)),'Resultater - Vestdanmark'!$F$3:$F$482,$A111,'Resultater - Vestdanmark'!H$3:H$482,"&lt;0"),0),-IF(A111="Halm",SUMIFS(IF(D111=År1,'Resultater - Østdanmark'!H$3:H$482,IF(D111=År2,'Resultater - Østdanmark'!I$3:I$482,'Resultater - Østdanmark'!J$3:J$482)),'Resultater - Østdanmark'!$F$3:$F$482,$A111,'Resultater - Østdanmark'!H$3:H$482,"&lt;0"),0))</f>
        <v>0</v>
      </c>
      <c r="I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5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7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204">
        <f t="shared" si="23"/>
        <v>-114193.60000000001</v>
      </c>
      <c r="O111" s="195">
        <f t="shared" si="20"/>
        <v>0</v>
      </c>
      <c r="P111" s="205">
        <f t="shared" si="24"/>
        <v>114193.60000000001</v>
      </c>
      <c r="Q111" s="192">
        <f>IFERROR(VLOOKUP(A111,[1]Energiindhold!$A$2:$C$11,3,FALSE),IFERROR(VLOOKUP(A111,[1]Biogasudbytte!$A$2:$B$18,2,FALSE)*[1]Energiindhold!$C$10,0))*O111</f>
        <v>0</v>
      </c>
      <c r="R111" s="192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92">
        <f>IFERROR(VLOOKUP(A111,[1]Biogasudbytte!$A$2:$B$18,2,FALSE)*[1]Energiindhold!$C$10,0)*J111*IFERROR(VLOOKUP(A111,Biogasanlæg!$F$3:$G$8,2,FALSE),1)</f>
        <v>1.7355855896064003</v>
      </c>
      <c r="T111" s="193">
        <f t="shared" si="25"/>
        <v>0</v>
      </c>
      <c r="U111" s="191">
        <f>O111*IFERROR(VLOOKUP(A111,[1]Tørstofindhold!A$2:B$24,2,FALSE),0)</f>
        <v>0</v>
      </c>
      <c r="V111" s="192">
        <f>IF(D111=År1,P111,SUM(O111,P111))*IFERROR(VLOOKUP(A111,[1]Tørstofindhold!A$2:B$24,2,FALSE),0)</f>
        <v>102774.24</v>
      </c>
      <c r="W111" s="192">
        <f>J111*IFERROR(VLOOKUP(A111,[1]Tørstofindhold!A$2:B$24,2,FALSE),0)</f>
        <v>102774.24</v>
      </c>
      <c r="X111" s="193">
        <f t="shared" si="26"/>
        <v>0</v>
      </c>
      <c r="Y111" s="171">
        <f t="shared" si="21"/>
        <v>1</v>
      </c>
      <c r="Z111" s="103">
        <f t="shared" si="22"/>
        <v>0</v>
      </c>
    </row>
    <row r="112" spans="1:26" x14ac:dyDescent="0.25">
      <c r="A112" s="194" t="str">
        <f t="shared" si="33"/>
        <v>Græs</v>
      </c>
      <c r="B112" s="194" t="str">
        <f t="shared" si="34"/>
        <v>Græs og urter</v>
      </c>
      <c r="C112" s="194">
        <f>IF(COUNTIFS('Resultater - Danmark'!$D$3:$D$482,'Resultat-Produktion &amp; forbrug'!A112,'Resultater - Danmark'!$A$3:$A$482,"Til energi")+COUNTIFS('Resultater - Danmark'!$D$3:$D$482,'Resultat-Produktion &amp; forbrug'!A112,'Resultater - Danmark'!$A$3:$A$482,"Biogasanlæg")&gt;0,1,0)</f>
        <v>1</v>
      </c>
      <c r="D112" s="194">
        <f t="shared" si="35"/>
        <v>2050</v>
      </c>
      <c r="E112" s="192" t="s">
        <v>23</v>
      </c>
      <c r="F112" s="195">
        <f>IF(E112="Vestdanmark",SUMIFS(IF(D112=År1,'Resultater - Vestdanmark'!H$3:H$482,IF(D112=År2,'Resultater - Vestdanmark'!I$3:I$482,'Resultater - Vestdanmark'!J$3:J$482)),'Resultater - Vestdanmark'!$F$3:$F$482,$A112,IF(D112=År1,'Resultater - Vestdanmark'!H$3:H$482,IF(D112=År2,'Resultater - Vestdanmark'!I$3:I$482,'Resultater - Vestdanmark'!J$3:J$482)),"&gt;0"),SUMIFS(IF(D112=År1,'Resultater - Østdanmark'!H$3:H$482,IF(D112=År2,'Resultater - Østdanmark'!I$3:I$482,'Resultater - Østdanmark'!J$3:J$482)),'Resultater - Østdanmark'!$F$3:$F$482,$A112,IF(D112=År1,'Resultater - Østdanmark'!H$3:H$482,IF(D112=År2,'Resultater - Østdanmark'!I$3:I$482,'Resultater - Østdanmark'!J$3:J$482)),"&gt;0"))</f>
        <v>0</v>
      </c>
      <c r="G112" s="195" t="e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#REF!</v>
      </c>
      <c r="H112" s="192">
        <f>IF(E112="Vestdanmark",-IF(A112="Halm",SUMIFS(IF(D112=År1,'Resultater - Vestdanmark'!H$3:H$482,IF(D112=År2,'Resultater - Vestdanmark'!I$3:I$482,'Resultater - Vestdanmark'!J$3:J$482)),'Resultater - Vestdanmark'!$F$3:$F$482,$A112,'Resultater - Vestdanmark'!H$3:H$482,"&lt;0"),0),-IF(A112="Halm",SUMIFS(IF(D112=År1,'Resultater - Østdanmark'!H$3:H$482,IF(D112=År2,'Resultater - Østdanmark'!I$3:I$482,'Resultater - Østdanmark'!J$3:J$482)),'Resultater - Østdanmark'!$F$3:$F$482,$A112,'Resultater - Østdanmark'!H$3:H$482,"&lt;0"),0))</f>
        <v>0</v>
      </c>
      <c r="I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5" t="e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#REF!</v>
      </c>
      <c r="K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5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7" t="e">
        <f>SUMIFS('Forbrug af biomasse'!E:E,'Forbrug af biomasse'!C:C,'Resultat-Produktion &amp; forbrug'!$A112,'Forbrug af biomasse'!D:D,'Resultat-Produktion &amp; forbrug'!$D112,'Forbrug af biomasse'!G:G,1,'Forbrug af biomasse'!B:B,$E112)</f>
        <v>#REF!</v>
      </c>
      <c r="N112" s="204" t="e">
        <f t="shared" si="23"/>
        <v>#REF!</v>
      </c>
      <c r="O112" s="195" t="e">
        <f t="shared" si="20"/>
        <v>#REF!</v>
      </c>
      <c r="P112" s="205" t="e">
        <f t="shared" si="24"/>
        <v>#REF!</v>
      </c>
      <c r="Q112" s="192" t="e">
        <f>IFERROR(VLOOKUP(A112,[1]Energiindhold!$A$2:$C$11,3,FALSE),IFERROR(VLOOKUP(A112,[1]Biogasudbytte!$A$2:$B$18,2,FALSE)*[1]Energiindhold!$C$10,0))*O112</f>
        <v>#REF!</v>
      </c>
      <c r="R112" s="192" t="e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#REF!</v>
      </c>
      <c r="S112" s="192" t="e">
        <f>IFERROR(VLOOKUP(A112,[1]Biogasudbytte!$A$2:$B$18,2,FALSE)*[1]Energiindhold!$C$10,0)*J112*IFERROR(VLOOKUP(A112,Biogasanlæg!$F$3:$G$8,2,FALSE),1)</f>
        <v>#REF!</v>
      </c>
      <c r="T112" s="193" t="e">
        <f t="shared" si="25"/>
        <v>#REF!</v>
      </c>
      <c r="U112" s="191" t="e">
        <f>O112*IFERROR(VLOOKUP(A112,[1]Tørstofindhold!A$2:B$24,2,FALSE),0)</f>
        <v>#REF!</v>
      </c>
      <c r="V112" s="192" t="e">
        <f>IF(D112=År1,P112,SUM(O112,P112))*IFERROR(VLOOKUP(A112,[1]Tørstofindhold!A$2:B$24,2,FALSE),0)</f>
        <v>#REF!</v>
      </c>
      <c r="W112" s="192" t="e">
        <f>J112*IFERROR(VLOOKUP(A112,[1]Tørstofindhold!A$2:B$24,2,FALSE),0)</f>
        <v>#REF!</v>
      </c>
      <c r="X112" s="193" t="e">
        <f t="shared" si="26"/>
        <v>#REF!</v>
      </c>
      <c r="Y112" s="171" t="e">
        <f t="shared" si="21"/>
        <v>#REF!</v>
      </c>
      <c r="Z112" s="103" t="e">
        <f t="shared" si="22"/>
        <v>#REF!</v>
      </c>
    </row>
    <row r="113" spans="1:26" x14ac:dyDescent="0.25">
      <c r="A113" s="194" t="str">
        <f t="shared" si="33"/>
        <v>Græsprotein</v>
      </c>
      <c r="B113" s="194" t="str">
        <f t="shared" si="34"/>
        <v/>
      </c>
      <c r="C113" s="194">
        <f>IF(COUNTIFS('Resultater - Danmark'!$D$3:$D$482,'Resultat-Produktion &amp; forbrug'!A113,'Resultater - Danmark'!$A$3:$A$482,"Til energi")+COUNTIFS('Resultater - Danmark'!$D$3:$D$482,'Resultat-Produktion &amp; forbrug'!A113,'Resultater - Danmark'!$A$3:$A$482,"Biogasanlæg")&gt;0,1,0)</f>
        <v>0</v>
      </c>
      <c r="D113" s="194">
        <f t="shared" si="35"/>
        <v>2050</v>
      </c>
      <c r="E113" s="192" t="s">
        <v>23</v>
      </c>
      <c r="F113" s="195">
        <f>IF(E113="Vestdanmark",SUMIFS(IF(D113=År1,'Resultater - Vestdanmark'!H$3:H$482,IF(D113=År2,'Resultater - Vestdanmark'!I$3:I$482,'Resultater - Vestdanmark'!J$3:J$482)),'Resultater - Vestdanmark'!$F$3:$F$482,$A113,IF(D113=År1,'Resultater - Vestdanmark'!H$3:H$482,IF(D113=År2,'Resultater - Vestdanmark'!I$3:I$482,'Resultater - Vestdanmark'!J$3:J$482)),"&gt;0"),SUMIFS(IF(D113=År1,'Resultater - Østdanmark'!H$3:H$482,IF(D113=År2,'Resultater - Østdanmark'!I$3:I$482,'Resultater - Østdanmark'!J$3:J$482)),'Resultater - Østdanmark'!$F$3:$F$482,$A113,IF(D113=År1,'Resultater - Østdanmark'!H$3:H$482,IF(D113=År2,'Resultater - Østdanmark'!I$3:I$482,'Resultater - Østdanmark'!J$3:J$482)),"&gt;0"))</f>
        <v>0</v>
      </c>
      <c r="G113" s="195" t="e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#REF!</v>
      </c>
      <c r="H113" s="192">
        <f>IF(E113="Vestdanmark",-IF(A113="Halm",SUMIFS(IF(D113=År1,'Resultater - Vestdanmark'!H$3:H$482,IF(D113=År2,'Resultater - Vestdanmark'!I$3:I$482,'Resultater - Vestdanmark'!J$3:J$482)),'Resultater - Vestdanmark'!$F$3:$F$482,$A113,'Resultater - Vestdanmark'!H$3:H$482,"&lt;0"),0),-IF(A113="Halm",SUMIFS(IF(D113=År1,'Resultater - Østdanmark'!H$3:H$482,IF(D113=År2,'Resultater - Østdanmark'!I$3:I$482,'Resultater - Østdanmark'!J$3:J$482)),'Resultater - Østdanmark'!$F$3:$F$482,$A113,'Resultater - Østdanmark'!H$3:H$482,"&lt;0"),0))</f>
        <v>0</v>
      </c>
      <c r="I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5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7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204" t="e">
        <f t="shared" si="23"/>
        <v>#REF!</v>
      </c>
      <c r="O113" s="195">
        <f t="shared" si="20"/>
        <v>0</v>
      </c>
      <c r="P113" s="205">
        <f t="shared" si="24"/>
        <v>0</v>
      </c>
      <c r="Q113" s="192">
        <f>IFERROR(VLOOKUP(A113,[1]Energiindhold!$A$2:$C$11,3,FALSE),IFERROR(VLOOKUP(A113,[1]Biogasudbytte!$A$2:$B$18,2,FALSE)*[1]Energiindhold!$C$10,0))*O113</f>
        <v>0</v>
      </c>
      <c r="R113" s="192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92">
        <f>IFERROR(VLOOKUP(A113,[1]Biogasudbytte!$A$2:$B$18,2,FALSE)*[1]Energiindhold!$C$10,0)*J113*IFERROR(VLOOKUP(A113,Biogasanlæg!$F$3:$G$8,2,FALSE),1)</f>
        <v>0</v>
      </c>
      <c r="T113" s="193">
        <f t="shared" si="25"/>
        <v>0</v>
      </c>
      <c r="U113" s="191">
        <f>O113*IFERROR(VLOOKUP(A113,[1]Tørstofindhold!A$2:B$24,2,FALSE),0)</f>
        <v>0</v>
      </c>
      <c r="V113" s="192">
        <f>IF(D113=År1,P113,SUM(O113,P113))*IFERROR(VLOOKUP(A113,[1]Tørstofindhold!A$2:B$24,2,FALSE),0)</f>
        <v>0</v>
      </c>
      <c r="W113" s="192">
        <f>J113*IFERROR(VLOOKUP(A113,[1]Tørstofindhold!A$2:B$24,2,FALSE),0)</f>
        <v>0</v>
      </c>
      <c r="X113" s="193">
        <f t="shared" si="26"/>
        <v>0</v>
      </c>
      <c r="Y113" s="171" t="e">
        <f t="shared" si="21"/>
        <v>#REF!</v>
      </c>
      <c r="Z113" s="103" t="e">
        <f t="shared" si="22"/>
        <v>#REF!</v>
      </c>
    </row>
    <row r="114" spans="1:26" x14ac:dyDescent="0.25">
      <c r="A114" s="194" t="str">
        <f t="shared" si="33"/>
        <v>Grøntsager</v>
      </c>
      <c r="B114" s="194" t="str">
        <f t="shared" si="34"/>
        <v/>
      </c>
      <c r="C114" s="194">
        <f>IF(COUNTIFS('Resultater - Danmark'!$D$3:$D$482,'Resultat-Produktion &amp; forbrug'!A114,'Resultater - Danmark'!$A$3:$A$482,"Til energi")+COUNTIFS('Resultater - Danmark'!$D$3:$D$482,'Resultat-Produktion &amp; forbrug'!A114,'Resultater - Danmark'!$A$3:$A$482,"Biogasanlæg")&gt;0,1,0)</f>
        <v>0</v>
      </c>
      <c r="D114" s="194">
        <f t="shared" si="35"/>
        <v>2050</v>
      </c>
      <c r="E114" s="192" t="s">
        <v>23</v>
      </c>
      <c r="F114" s="195">
        <f>IF(E114="Vestdanmark",SUMIFS(IF(D114=År1,'Resultater - Vestdanmark'!H$3:H$482,IF(D114=År2,'Resultater - Vestdanmark'!I$3:I$482,'Resultater - Vestdanmark'!J$3:J$482)),'Resultater - Vestdanmark'!$F$3:$F$482,$A114,IF(D114=År1,'Resultater - Vestdanmark'!H$3:H$482,IF(D114=År2,'Resultater - Vestdanmark'!I$3:I$482,'Resultater - Vestdanmark'!J$3:J$482)),"&gt;0"),SUMIFS(IF(D114=År1,'Resultater - Østdanmark'!H$3:H$482,IF(D114=År2,'Resultater - Østdanmark'!I$3:I$482,'Resultater - Østdanmark'!J$3:J$482)),'Resultater - Østdanmark'!$F$3:$F$482,$A114,IF(D114=År1,'Resultater - Østdanmark'!H$3:H$482,IF(D114=År2,'Resultater - Østdanmark'!I$3:I$482,'Resultater - Østdanmark'!J$3:J$482)),"&gt;0"))</f>
        <v>0</v>
      </c>
      <c r="G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92">
        <f>IF(E114="Vestdanmark",-IF(A114="Halm",SUMIFS(IF(D114=År1,'Resultater - Vestdanmark'!H$3:H$482,IF(D114=År2,'Resultater - Vestdanmark'!I$3:I$482,'Resultater - Vestdanmark'!J$3:J$482)),'Resultater - Vestdanmark'!$F$3:$F$482,$A114,'Resultater - Vestdanmark'!H$3:H$482,"&lt;0"),0),-IF(A114="Halm",SUMIFS(IF(D114=År1,'Resultater - Østdanmark'!H$3:H$482,IF(D114=År2,'Resultater - Østdanmark'!I$3:I$482,'Resultater - Østdanmark'!J$3:J$482)),'Resultater - Østdanmark'!$F$3:$F$482,$A114,'Resultater - Østdanmark'!H$3:H$482,"&lt;0"),0))</f>
        <v>0</v>
      </c>
      <c r="I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5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7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204">
        <f t="shared" si="23"/>
        <v>-280672.65868343826</v>
      </c>
      <c r="O114" s="195">
        <f t="shared" si="20"/>
        <v>0</v>
      </c>
      <c r="P114" s="205">
        <f t="shared" si="24"/>
        <v>0</v>
      </c>
      <c r="Q114" s="192">
        <f>IFERROR(VLOOKUP(A114,[1]Energiindhold!$A$2:$C$11,3,FALSE),IFERROR(VLOOKUP(A114,[1]Biogasudbytte!$A$2:$B$18,2,FALSE)*[1]Energiindhold!$C$10,0))*O114</f>
        <v>0</v>
      </c>
      <c r="R114" s="192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92">
        <f>IFERROR(VLOOKUP(A114,[1]Biogasudbytte!$A$2:$B$18,2,FALSE)*[1]Energiindhold!$C$10,0)*J114*IFERROR(VLOOKUP(A114,Biogasanlæg!$F$3:$G$8,2,FALSE),1)</f>
        <v>0</v>
      </c>
      <c r="T114" s="193">
        <f t="shared" si="25"/>
        <v>0</v>
      </c>
      <c r="U114" s="191">
        <f>O114*IFERROR(VLOOKUP(A114,[1]Tørstofindhold!A$2:B$24,2,FALSE),0)</f>
        <v>0</v>
      </c>
      <c r="V114" s="192">
        <f>IF(D114=År1,P114,SUM(O114,P114))*IFERROR(VLOOKUP(A114,[1]Tørstofindhold!A$2:B$24,2,FALSE),0)</f>
        <v>0</v>
      </c>
      <c r="W114" s="192">
        <f>J114*IFERROR(VLOOKUP(A114,[1]Tørstofindhold!A$2:B$24,2,FALSE),0)</f>
        <v>0</v>
      </c>
      <c r="X114" s="193">
        <f t="shared" si="26"/>
        <v>0</v>
      </c>
      <c r="Y114" s="171">
        <f t="shared" si="21"/>
        <v>1</v>
      </c>
      <c r="Z114" s="103">
        <f t="shared" si="22"/>
        <v>0</v>
      </c>
    </row>
    <row r="115" spans="1:26" x14ac:dyDescent="0.25">
      <c r="A115" s="194" t="str">
        <f t="shared" si="33"/>
        <v>Halm</v>
      </c>
      <c r="B115" s="194" t="str">
        <f t="shared" si="34"/>
        <v>Halm og strå</v>
      </c>
      <c r="C115" s="194">
        <f>IF(COUNTIFS('Resultater - Danmark'!$D$3:$D$482,'Resultat-Produktion &amp; forbrug'!A115,'Resultater - Danmark'!$A$3:$A$482,"Til energi")+COUNTIFS('Resultater - Danmark'!$D$3:$D$482,'Resultat-Produktion &amp; forbrug'!A115,'Resultater - Danmark'!$A$3:$A$482,"Biogasanlæg")&gt;0,1,0)</f>
        <v>1</v>
      </c>
      <c r="D115" s="194">
        <f t="shared" si="35"/>
        <v>2050</v>
      </c>
      <c r="E115" s="192" t="s">
        <v>23</v>
      </c>
      <c r="F115" s="195">
        <f>IF(E115="Vestdanmark",SUMIFS(IF(D115=År1,'Resultater - Vestdanmark'!H$3:H$482,IF(D115=År2,'Resultater - Vestdanmark'!I$3:I$482,'Resultater - Vestdanmark'!J$3:J$482)),'Resultater - Vestdanmark'!$F$3:$F$482,$A115,IF(D115=År1,'Resultater - Vestdanmark'!H$3:H$482,IF(D115=År2,'Resultater - Vestdanmark'!I$3:I$482,'Resultater - Vestdanmark'!J$3:J$482)),"&gt;0"),SUMIFS(IF(D115=År1,'Resultater - Østdanmark'!H$3:H$482,IF(D115=År2,'Resultater - Østdanmark'!I$3:I$482,'Resultater - Østdanmark'!J$3:J$482)),'Resultater - Østdanmark'!$F$3:$F$482,$A115,IF(D115=År1,'Resultater - Østdanmark'!H$3:H$482,IF(D115=År2,'Resultater - Østdanmark'!I$3:I$482,'Resultater - Østdanmark'!J$3:J$482)),"&gt;0"))</f>
        <v>0</v>
      </c>
      <c r="G115" s="195" t="e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#REF!</v>
      </c>
      <c r="H115" s="192">
        <f>IF(E115="Vestdanmark",-IF(A115="Halm",SUMIFS(IF(D115=År1,'Resultater - Vestdanmark'!H$3:H$482,IF(D115=År2,'Resultater - Vestdanmark'!I$3:I$482,'Resultater - Vestdanmark'!J$3:J$482)),'Resultater - Vestdanmark'!$F$3:$F$482,$A115,'Resultater - Vestdanmark'!H$3:H$482,"&lt;0"),0),-IF(A115="Halm",SUMIFS(IF(D115=År1,'Resultater - Østdanmark'!H$3:H$482,IF(D115=År2,'Resultater - Østdanmark'!I$3:I$482,'Resultater - Østdanmark'!J$3:J$482)),'Resultater - Østdanmark'!$F$3:$F$482,$A115,'Resultater - Østdanmark'!H$3:H$482,"&lt;0"),0))</f>
        <v>0</v>
      </c>
      <c r="I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5" t="e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#REF!</v>
      </c>
      <c r="K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5" t="e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#REF!</v>
      </c>
      <c r="M115" s="157" t="e">
        <f>SUMIFS('Forbrug af biomasse'!E:E,'Forbrug af biomasse'!C:C,'Resultat-Produktion &amp; forbrug'!$A115,'Forbrug af biomasse'!D:D,'Resultat-Produktion &amp; forbrug'!$D115,'Forbrug af biomasse'!G:G,1,'Forbrug af biomasse'!B:B,$E115)</f>
        <v>#REF!</v>
      </c>
      <c r="N115" s="204" t="e">
        <f t="shared" si="23"/>
        <v>#REF!</v>
      </c>
      <c r="O115" s="195" t="e">
        <f t="shared" si="20"/>
        <v>#REF!</v>
      </c>
      <c r="P115" s="205" t="e">
        <f t="shared" si="24"/>
        <v>#REF!</v>
      </c>
      <c r="Q115" s="192" t="e">
        <f>IFERROR(VLOOKUP(A115,[1]Energiindhold!$A$2:$C$11,3,FALSE),IFERROR(VLOOKUP(A115,[1]Biogasudbytte!$A$2:$B$18,2,FALSE)*[1]Energiindhold!$C$10,0))*O115</f>
        <v>#REF!</v>
      </c>
      <c r="R115" s="192" t="e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#REF!</v>
      </c>
      <c r="S115" s="192" t="e">
        <f>IFERROR(VLOOKUP(A115,[1]Biogasudbytte!$A$2:$B$18,2,FALSE)*[1]Energiindhold!$C$10,0)*J115*IFERROR(VLOOKUP(A115,Biogasanlæg!$F$3:$G$8,2,FALSE),1)</f>
        <v>#REF!</v>
      </c>
      <c r="T115" s="193" t="e">
        <f t="shared" si="25"/>
        <v>#REF!</v>
      </c>
      <c r="U115" s="191" t="e">
        <f>O115*IFERROR(VLOOKUP(A115,[1]Tørstofindhold!A$2:B$24,2,FALSE),0)</f>
        <v>#REF!</v>
      </c>
      <c r="V115" s="192" t="e">
        <f>IF(D115=År1,P115,SUM(O115,P115))*IFERROR(VLOOKUP(A115,[1]Tørstofindhold!A$2:B$24,2,FALSE),0)</f>
        <v>#REF!</v>
      </c>
      <c r="W115" s="192" t="e">
        <f>J115*IFERROR(VLOOKUP(A115,[1]Tørstofindhold!A$2:B$24,2,FALSE),0)</f>
        <v>#REF!</v>
      </c>
      <c r="X115" s="193" t="e">
        <f t="shared" si="26"/>
        <v>#REF!</v>
      </c>
      <c r="Y115" s="171" t="e">
        <f t="shared" si="21"/>
        <v>#REF!</v>
      </c>
      <c r="Z115" s="103" t="e">
        <f t="shared" si="22"/>
        <v>#REF!</v>
      </c>
    </row>
    <row r="116" spans="1:26" x14ac:dyDescent="0.25">
      <c r="A116" s="194" t="str">
        <f t="shared" si="33"/>
        <v>Have/parkaffald</v>
      </c>
      <c r="B116" s="194" t="str">
        <f t="shared" si="34"/>
        <v>Bionedbrydeligt affald</v>
      </c>
      <c r="C116" s="194">
        <f>IF(COUNTIFS('Resultater - Danmark'!$D$3:$D$482,'Resultat-Produktion &amp; forbrug'!A116,'Resultater - Danmark'!$A$3:$A$482,"Til energi")+COUNTIFS('Resultater - Danmark'!$D$3:$D$482,'Resultat-Produktion &amp; forbrug'!A116,'Resultater - Danmark'!$A$3:$A$482,"Biogasanlæg")&gt;0,1,0)</f>
        <v>1</v>
      </c>
      <c r="D116" s="194">
        <f t="shared" si="35"/>
        <v>2050</v>
      </c>
      <c r="E116" s="192" t="s">
        <v>23</v>
      </c>
      <c r="F116" s="195">
        <f>IF(E116="Vestdanmark",SUMIFS(IF(D116=År1,'Resultater - Vestdanmark'!H$3:H$482,IF(D116=År2,'Resultater - Vestdanmark'!I$3:I$482,'Resultater - Vestdanmark'!J$3:J$482)),'Resultater - Vestdanmark'!$F$3:$F$482,$A116,IF(D116=År1,'Resultater - Vestdanmark'!H$3:H$482,IF(D116=År2,'Resultater - Vestdanmark'!I$3:I$482,'Resultater - Vestdanmark'!J$3:J$482)),"&gt;0"),SUMIFS(IF(D116=År1,'Resultater - Østdanmark'!H$3:H$482,IF(D116=År2,'Resultater - Østdanmark'!I$3:I$482,'Resultater - Østdanmark'!J$3:J$482)),'Resultater - Østdanmark'!$F$3:$F$482,$A116,IF(D116=År1,'Resultater - Østdanmark'!H$3:H$482,IF(D116=År2,'Resultater - Østdanmark'!I$3:I$482,'Resultater - Østdanmark'!J$3:J$482)),"&gt;0"))</f>
        <v>0</v>
      </c>
      <c r="G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92">
        <f>IF(E116="Vestdanmark",-IF(A116="Halm",SUMIFS(IF(D116=År1,'Resultater - Vestdanmark'!H$3:H$482,IF(D116=År2,'Resultater - Vestdanmark'!I$3:I$482,'Resultater - Vestdanmark'!J$3:J$482)),'Resultater - Vestdanmark'!$F$3:$F$482,$A116,'Resultater - Vestdanmark'!H$3:H$482,"&lt;0"),0),-IF(A116="Halm",SUMIFS(IF(D116=År1,'Resultater - Østdanmark'!H$3:H$482,IF(D116=År2,'Resultater - Østdanmark'!I$3:I$482,'Resultater - Østdanmark'!J$3:J$482)),'Resultater - Østdanmark'!$F$3:$F$482,$A116,'Resultater - Østdanmark'!H$3:H$482,"&lt;0"),0))</f>
        <v>0</v>
      </c>
      <c r="I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5" t="e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#REF!</v>
      </c>
      <c r="K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5" t="e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#REF!</v>
      </c>
      <c r="M116" s="157" t="e">
        <f>SUMIFS('Forbrug af biomasse'!E:E,'Forbrug af biomasse'!C:C,'Resultat-Produktion &amp; forbrug'!$A116,'Forbrug af biomasse'!D:D,'Resultat-Produktion &amp; forbrug'!$D116,'Forbrug af biomasse'!G:G,1,'Forbrug af biomasse'!B:B,$E116)</f>
        <v>#REF!</v>
      </c>
      <c r="N116" s="204" t="e">
        <f t="shared" si="23"/>
        <v>#REF!</v>
      </c>
      <c r="O116" s="195" t="e">
        <f t="shared" si="20"/>
        <v>#REF!</v>
      </c>
      <c r="P116" s="205" t="e">
        <f t="shared" si="24"/>
        <v>#REF!</v>
      </c>
      <c r="Q116" s="192" t="e">
        <f>IFERROR(VLOOKUP(A116,[1]Energiindhold!$A$2:$C$11,3,FALSE),IFERROR(VLOOKUP(A116,[1]Biogasudbytte!$A$2:$B$18,2,FALSE)*[1]Energiindhold!$C$10,0))*O116</f>
        <v>#REF!</v>
      </c>
      <c r="R116" s="192" t="e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#REF!</v>
      </c>
      <c r="S116" s="192" t="e">
        <f>IFERROR(VLOOKUP(A116,[1]Biogasudbytte!$A$2:$B$18,2,FALSE)*[1]Energiindhold!$C$10,0)*J116*IFERROR(VLOOKUP(A116,Biogasanlæg!$F$3:$G$8,2,FALSE),1)</f>
        <v>#REF!</v>
      </c>
      <c r="T116" s="193" t="e">
        <f t="shared" si="25"/>
        <v>#REF!</v>
      </c>
      <c r="U116" s="191" t="e">
        <f>O116*IFERROR(VLOOKUP(A116,[1]Tørstofindhold!A$2:B$24,2,FALSE),0)</f>
        <v>#REF!</v>
      </c>
      <c r="V116" s="192" t="e">
        <f>IF(D116=År1,P116,SUM(O116,P116))*IFERROR(VLOOKUP(A116,[1]Tørstofindhold!A$2:B$24,2,FALSE),0)</f>
        <v>#REF!</v>
      </c>
      <c r="W116" s="192" t="e">
        <f>J116*IFERROR(VLOOKUP(A116,[1]Tørstofindhold!A$2:B$24,2,FALSE),0)</f>
        <v>#REF!</v>
      </c>
      <c r="X116" s="193" t="e">
        <f t="shared" si="26"/>
        <v>#REF!</v>
      </c>
      <c r="Y116" s="171" t="e">
        <f t="shared" si="21"/>
        <v>#REF!</v>
      </c>
      <c r="Z116" s="103" t="e">
        <f t="shared" si="22"/>
        <v>#REF!</v>
      </c>
    </row>
    <row r="117" spans="1:26" x14ac:dyDescent="0.25">
      <c r="A117" s="194" t="str">
        <f t="shared" si="33"/>
        <v>Import af foder</v>
      </c>
      <c r="B117" s="194" t="str">
        <f t="shared" si="34"/>
        <v/>
      </c>
      <c r="C117" s="194">
        <f>IF(COUNTIFS('Resultater - Danmark'!$D$3:$D$482,'Resultat-Produktion &amp; forbrug'!A117,'Resultater - Danmark'!$A$3:$A$482,"Til energi")+COUNTIFS('Resultater - Danmark'!$D$3:$D$482,'Resultat-Produktion &amp; forbrug'!A117,'Resultater - Danmark'!$A$3:$A$482,"Biogasanlæg")&gt;0,1,0)</f>
        <v>0</v>
      </c>
      <c r="D117" s="194">
        <f t="shared" si="35"/>
        <v>2050</v>
      </c>
      <c r="E117" s="192" t="s">
        <v>23</v>
      </c>
      <c r="F117" s="195">
        <f>IF(E117="Vestdanmark",SUMIFS(IF(D117=År1,'Resultater - Vestdanmark'!H$3:H$482,IF(D117=År2,'Resultater - Vestdanmark'!I$3:I$482,'Resultater - Vestdanmark'!J$3:J$482)),'Resultater - Vestdanmark'!$F$3:$F$482,$A117,IF(D117=År1,'Resultater - Vestdanmark'!H$3:H$482,IF(D117=År2,'Resultater - Vestdanmark'!I$3:I$482,'Resultater - Vestdanmark'!J$3:J$482)),"&gt;0"),SUMIFS(IF(D117=År1,'Resultater - Østdanmark'!H$3:H$482,IF(D117=År2,'Resultater - Østdanmark'!I$3:I$482,'Resultater - Østdanmark'!J$3:J$482)),'Resultater - Østdanmark'!$F$3:$F$482,$A117,IF(D117=År1,'Resultater - Østdanmark'!H$3:H$482,IF(D117=År2,'Resultater - Østdanmark'!I$3:I$482,'Resultater - Østdanmark'!J$3:J$482)),"&gt;0"))</f>
        <v>0</v>
      </c>
      <c r="G117" s="195" t="e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#REF!</v>
      </c>
      <c r="H117" s="192">
        <f>IF(E117="Vestdanmark",-IF(A117="Halm",SUMIFS(IF(D117=År1,'Resultater - Vestdanmark'!H$3:H$482,IF(D117=År2,'Resultater - Vestdanmark'!I$3:I$482,'Resultater - Vestdanmark'!J$3:J$482)),'Resultater - Vestdanmark'!$F$3:$F$482,$A117,'Resultater - Vestdanmark'!H$3:H$482,"&lt;0"),0),-IF(A117="Halm",SUMIFS(IF(D117=År1,'Resultater - Østdanmark'!H$3:H$482,IF(D117=År2,'Resultater - Østdanmark'!I$3:I$482,'Resultater - Østdanmark'!J$3:J$482)),'Resultater - Østdanmark'!$F$3:$F$482,$A117,'Resultater - Østdanmark'!H$3:H$482,"&lt;0"),0))</f>
        <v>0</v>
      </c>
      <c r="I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5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7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204" t="e">
        <f t="shared" si="23"/>
        <v>#REF!</v>
      </c>
      <c r="O117" s="195">
        <f t="shared" si="20"/>
        <v>0</v>
      </c>
      <c r="P117" s="205">
        <f t="shared" si="24"/>
        <v>0</v>
      </c>
      <c r="Q117" s="192">
        <f>IFERROR(VLOOKUP(A117,[1]Energiindhold!$A$2:$C$11,3,FALSE),IFERROR(VLOOKUP(A117,[1]Biogasudbytte!$A$2:$B$18,2,FALSE)*[1]Energiindhold!$C$10,0))*O117</f>
        <v>0</v>
      </c>
      <c r="R117" s="192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92">
        <f>IFERROR(VLOOKUP(A117,[1]Biogasudbytte!$A$2:$B$18,2,FALSE)*[1]Energiindhold!$C$10,0)*J117*IFERROR(VLOOKUP(A117,Biogasanlæg!$F$3:$G$8,2,FALSE),1)</f>
        <v>0</v>
      </c>
      <c r="T117" s="193">
        <f t="shared" si="25"/>
        <v>0</v>
      </c>
      <c r="U117" s="191">
        <f>O117*IFERROR(VLOOKUP(A117,[1]Tørstofindhold!A$2:B$24,2,FALSE),0)</f>
        <v>0</v>
      </c>
      <c r="V117" s="192">
        <f>IF(D117=År1,P117,SUM(O117,P117))*IFERROR(VLOOKUP(A117,[1]Tørstofindhold!A$2:B$24,2,FALSE),0)</f>
        <v>0</v>
      </c>
      <c r="W117" s="192">
        <f>J117*IFERROR(VLOOKUP(A117,[1]Tørstofindhold!A$2:B$24,2,FALSE),0)</f>
        <v>0</v>
      </c>
      <c r="X117" s="193">
        <f t="shared" si="26"/>
        <v>0</v>
      </c>
      <c r="Y117" s="171" t="e">
        <f t="shared" si="21"/>
        <v>#REF!</v>
      </c>
      <c r="Z117" s="103" t="e">
        <f t="shared" si="22"/>
        <v>#REF!</v>
      </c>
    </row>
    <row r="118" spans="1:26" x14ac:dyDescent="0.25">
      <c r="A118" s="194" t="str">
        <f t="shared" si="33"/>
        <v>Industriaffald</v>
      </c>
      <c r="B118" s="194" t="str">
        <f t="shared" si="34"/>
        <v>Bionedbrydeligt affald</v>
      </c>
      <c r="C118" s="194">
        <f>IF(COUNTIFS('Resultater - Danmark'!$D$3:$D$482,'Resultat-Produktion &amp; forbrug'!A118,'Resultater - Danmark'!$A$3:$A$482,"Til energi")+COUNTIFS('Resultater - Danmark'!$D$3:$D$482,'Resultat-Produktion &amp; forbrug'!A118,'Resultater - Danmark'!$A$3:$A$482,"Biogasanlæg")&gt;0,1,0)</f>
        <v>1</v>
      </c>
      <c r="D118" s="194">
        <f t="shared" si="35"/>
        <v>2050</v>
      </c>
      <c r="E118" s="192" t="s">
        <v>23</v>
      </c>
      <c r="F118" s="195">
        <f>IF(E118="Vestdanmark",SUMIFS(IF(D118=År1,'Resultater - Vestdanmark'!H$3:H$482,IF(D118=År2,'Resultater - Vestdanmark'!I$3:I$482,'Resultater - Vestdanmark'!J$3:J$482)),'Resultater - Vestdanmark'!$F$3:$F$482,$A118,IF(D118=År1,'Resultater - Vestdanmark'!H$3:H$482,IF(D118=År2,'Resultater - Vestdanmark'!I$3:I$482,'Resultater - Vestdanmark'!J$3:J$482)),"&gt;0"),SUMIFS(IF(D118=År1,'Resultater - Østdanmark'!H$3:H$482,IF(D118=År2,'Resultater - Østdanmark'!I$3:I$482,'Resultater - Østdanmark'!J$3:J$482)),'Resultater - Østdanmark'!$F$3:$F$482,$A118,IF(D118=År1,'Resultater - Østdanmark'!H$3:H$482,IF(D118=År2,'Resultater - Østdanmark'!I$3:I$482,'Resultater - Østdanmark'!J$3:J$482)),"&gt;0"))</f>
        <v>0</v>
      </c>
      <c r="G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92">
        <f>IF(E118="Vestdanmark",-IF(A118="Halm",SUMIFS(IF(D118=År1,'Resultater - Vestdanmark'!H$3:H$482,IF(D118=År2,'Resultater - Vestdanmark'!I$3:I$482,'Resultater - Vestdanmark'!J$3:J$482)),'Resultater - Vestdanmark'!$F$3:$F$482,$A118,'Resultater - Vestdanmark'!H$3:H$482,"&lt;0"),0),-IF(A118="Halm",SUMIFS(IF(D118=År1,'Resultater - Østdanmark'!H$3:H$482,IF(D118=År2,'Resultater - Østdanmark'!I$3:I$482,'Resultater - Østdanmark'!J$3:J$482)),'Resultater - Østdanmark'!$F$3:$F$482,$A118,'Resultater - Østdanmark'!H$3:H$482,"&lt;0"),0))</f>
        <v>0</v>
      </c>
      <c r="I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5" t="e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#REF!</v>
      </c>
      <c r="K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5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7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204" t="e">
        <f t="shared" si="23"/>
        <v>#REF!</v>
      </c>
      <c r="O118" s="195" t="e">
        <f t="shared" si="20"/>
        <v>#REF!</v>
      </c>
      <c r="P118" s="205" t="e">
        <f t="shared" si="24"/>
        <v>#REF!</v>
      </c>
      <c r="Q118" s="192" t="e">
        <f>IFERROR(VLOOKUP(A118,[1]Energiindhold!$A$2:$C$11,3,FALSE),IFERROR(VLOOKUP(A118,[1]Biogasudbytte!$A$2:$B$18,2,FALSE)*[1]Energiindhold!$C$10,0))*O118</f>
        <v>#REF!</v>
      </c>
      <c r="R118" s="192" t="e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#REF!</v>
      </c>
      <c r="S118" s="192" t="e">
        <f>IFERROR(VLOOKUP(A118,[1]Biogasudbytte!$A$2:$B$18,2,FALSE)*[1]Energiindhold!$C$10,0)*J118*IFERROR(VLOOKUP(A118,Biogasanlæg!$F$3:$G$8,2,FALSE),1)</f>
        <v>#REF!</v>
      </c>
      <c r="T118" s="193" t="e">
        <f t="shared" si="25"/>
        <v>#REF!</v>
      </c>
      <c r="U118" s="191" t="e">
        <f>O118*IFERROR(VLOOKUP(A118,[1]Tørstofindhold!A$2:B$24,2,FALSE),0)</f>
        <v>#REF!</v>
      </c>
      <c r="V118" s="192" t="e">
        <f>IF(D118=År1,P118,SUM(O118,P118))*IFERROR(VLOOKUP(A118,[1]Tørstofindhold!A$2:B$24,2,FALSE),0)</f>
        <v>#REF!</v>
      </c>
      <c r="W118" s="192" t="e">
        <f>J118*IFERROR(VLOOKUP(A118,[1]Tørstofindhold!A$2:B$24,2,FALSE),0)</f>
        <v>#REF!</v>
      </c>
      <c r="X118" s="193" t="e">
        <f t="shared" si="26"/>
        <v>#REF!</v>
      </c>
      <c r="Y118" s="171" t="e">
        <f t="shared" si="21"/>
        <v>#REF!</v>
      </c>
      <c r="Z118" s="103" t="e">
        <f t="shared" si="22"/>
        <v>#REF!</v>
      </c>
    </row>
    <row r="119" spans="1:26" x14ac:dyDescent="0.25">
      <c r="A119" s="194" t="str">
        <f t="shared" si="33"/>
        <v>Juletræer</v>
      </c>
      <c r="B119" s="194" t="str">
        <f t="shared" si="34"/>
        <v/>
      </c>
      <c r="C119" s="194">
        <f>IF(COUNTIFS('Resultater - Danmark'!$D$3:$D$482,'Resultat-Produktion &amp; forbrug'!A119,'Resultater - Danmark'!$A$3:$A$482,"Til energi")+COUNTIFS('Resultater - Danmark'!$D$3:$D$482,'Resultat-Produktion &amp; forbrug'!A119,'Resultater - Danmark'!$A$3:$A$482,"Biogasanlæg")&gt;0,1,0)</f>
        <v>0</v>
      </c>
      <c r="D119" s="194">
        <f t="shared" si="35"/>
        <v>2050</v>
      </c>
      <c r="E119" s="192" t="s">
        <v>23</v>
      </c>
      <c r="F119" s="195">
        <f>IF(E119="Vestdanmark",SUMIFS(IF(D119=År1,'Resultater - Vestdanmark'!H$3:H$482,IF(D119=År2,'Resultater - Vestdanmark'!I$3:I$482,'Resultater - Vestdanmark'!J$3:J$482)),'Resultater - Vestdanmark'!$F$3:$F$482,$A119,IF(D119=År1,'Resultater - Vestdanmark'!H$3:H$482,IF(D119=År2,'Resultater - Vestdanmark'!I$3:I$482,'Resultater - Vestdanmark'!J$3:J$482)),"&gt;0"),SUMIFS(IF(D119=År1,'Resultater - Østdanmark'!H$3:H$482,IF(D119=År2,'Resultater - Østdanmark'!I$3:I$482,'Resultater - Østdanmark'!J$3:J$482)),'Resultater - Østdanmark'!$F$3:$F$482,$A119,IF(D119=År1,'Resultater - Østdanmark'!H$3:H$482,IF(D119=År2,'Resultater - Østdanmark'!I$3:I$482,'Resultater - Østdanmark'!J$3:J$482)),"&gt;0"))</f>
        <v>0</v>
      </c>
      <c r="G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92">
        <f>IF(E119="Vestdanmark",-IF(A119="Halm",SUMIFS(IF(D119=År1,'Resultater - Vestdanmark'!H$3:H$482,IF(D119=År2,'Resultater - Vestdanmark'!I$3:I$482,'Resultater - Vestdanmark'!J$3:J$482)),'Resultater - Vestdanmark'!$F$3:$F$482,$A119,'Resultater - Vestdanmark'!H$3:H$482,"&lt;0"),0),-IF(A119="Halm",SUMIFS(IF(D119=År1,'Resultater - Østdanmark'!H$3:H$482,IF(D119=År2,'Resultater - Østdanmark'!I$3:I$482,'Resultater - Østdanmark'!J$3:J$482)),'Resultater - Østdanmark'!$F$3:$F$482,$A119,'Resultater - Østdanmark'!H$3:H$482,"&lt;0"),0))</f>
        <v>0</v>
      </c>
      <c r="I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5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7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204">
        <f t="shared" si="23"/>
        <v>0</v>
      </c>
      <c r="O119" s="195">
        <f t="shared" si="20"/>
        <v>0</v>
      </c>
      <c r="P119" s="205">
        <f t="shared" si="24"/>
        <v>0</v>
      </c>
      <c r="Q119" s="192">
        <f>IFERROR(VLOOKUP(A119,[1]Energiindhold!$A$2:$C$11,3,FALSE),IFERROR(VLOOKUP(A119,[1]Biogasudbytte!$A$2:$B$18,2,FALSE)*[1]Energiindhold!$C$10,0))*O119</f>
        <v>0</v>
      </c>
      <c r="R119" s="192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92">
        <f>IFERROR(VLOOKUP(A119,[1]Biogasudbytte!$A$2:$B$18,2,FALSE)*[1]Energiindhold!$C$10,0)*J119*IFERROR(VLOOKUP(A119,Biogasanlæg!$F$3:$G$8,2,FALSE),1)</f>
        <v>0</v>
      </c>
      <c r="T119" s="193">
        <f t="shared" si="25"/>
        <v>0</v>
      </c>
      <c r="U119" s="191">
        <f>O119*IFERROR(VLOOKUP(A119,[1]Tørstofindhold!A$2:B$24,2,FALSE),0)</f>
        <v>0</v>
      </c>
      <c r="V119" s="192">
        <f>IF(D119=År1,P119,SUM(O119,P119))*IFERROR(VLOOKUP(A119,[1]Tørstofindhold!A$2:B$24,2,FALSE),0)</f>
        <v>0</v>
      </c>
      <c r="W119" s="192">
        <f>J119*IFERROR(VLOOKUP(A119,[1]Tørstofindhold!A$2:B$24,2,FALSE),0)</f>
        <v>0</v>
      </c>
      <c r="X119" s="193">
        <f t="shared" si="26"/>
        <v>0</v>
      </c>
      <c r="Y119" s="171">
        <f t="shared" si="21"/>
        <v>0</v>
      </c>
      <c r="Z119" s="103">
        <f t="shared" si="22"/>
        <v>0</v>
      </c>
    </row>
    <row r="120" spans="1:26" x14ac:dyDescent="0.25">
      <c r="A120" s="194" t="str">
        <f t="shared" si="33"/>
        <v>Kartofler</v>
      </c>
      <c r="B120" s="194" t="str">
        <f t="shared" si="34"/>
        <v/>
      </c>
      <c r="C120" s="194">
        <f>IF(COUNTIFS('Resultater - Danmark'!$D$3:$D$482,'Resultat-Produktion &amp; forbrug'!A120,'Resultater - Danmark'!$A$3:$A$482,"Til energi")+COUNTIFS('Resultater - Danmark'!$D$3:$D$482,'Resultat-Produktion &amp; forbrug'!A120,'Resultater - Danmark'!$A$3:$A$482,"Biogasanlæg")&gt;0,1,0)</f>
        <v>0</v>
      </c>
      <c r="D120" s="194">
        <f t="shared" si="35"/>
        <v>2050</v>
      </c>
      <c r="E120" s="192" t="s">
        <v>23</v>
      </c>
      <c r="F120" s="195">
        <f>IF(E120="Vestdanmark",SUMIFS(IF(D120=År1,'Resultater - Vestdanmark'!H$3:H$482,IF(D120=År2,'Resultater - Vestdanmark'!I$3:I$482,'Resultater - Vestdanmark'!J$3:J$482)),'Resultater - Vestdanmark'!$F$3:$F$482,$A120,IF(D120=År1,'Resultater - Vestdanmark'!H$3:H$482,IF(D120=År2,'Resultater - Vestdanmark'!I$3:I$482,'Resultater - Vestdanmark'!J$3:J$482)),"&gt;0"),SUMIFS(IF(D120=År1,'Resultater - Østdanmark'!H$3:H$482,IF(D120=År2,'Resultater - Østdanmark'!I$3:I$482,'Resultater - Østdanmark'!J$3:J$482)),'Resultater - Østdanmark'!$F$3:$F$482,$A120,IF(D120=År1,'Resultater - Østdanmark'!H$3:H$482,IF(D120=År2,'Resultater - Østdanmark'!I$3:I$482,'Resultater - Østdanmark'!J$3:J$482)),"&gt;0"))</f>
        <v>0</v>
      </c>
      <c r="G120" s="195" t="e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#REF!</v>
      </c>
      <c r="H120" s="192">
        <f>IF(E120="Vestdanmark",-IF(A120="Halm",SUMIFS(IF(D120=År1,'Resultater - Vestdanmark'!H$3:H$482,IF(D120=År2,'Resultater - Vestdanmark'!I$3:I$482,'Resultater - Vestdanmark'!J$3:J$482)),'Resultater - Vestdanmark'!$F$3:$F$482,$A120,'Resultater - Vestdanmark'!H$3:H$482,"&lt;0"),0),-IF(A120="Halm",SUMIFS(IF(D120=År1,'Resultater - Østdanmark'!H$3:H$482,IF(D120=År2,'Resultater - Østdanmark'!I$3:I$482,'Resultater - Østdanmark'!J$3:J$482)),'Resultater - Østdanmark'!$F$3:$F$482,$A120,'Resultater - Østdanmark'!H$3:H$482,"&lt;0"),0))</f>
        <v>0</v>
      </c>
      <c r="I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5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7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204" t="e">
        <f t="shared" si="23"/>
        <v>#REF!</v>
      </c>
      <c r="O120" s="195">
        <f t="shared" si="20"/>
        <v>0</v>
      </c>
      <c r="P120" s="205">
        <f t="shared" si="24"/>
        <v>0</v>
      </c>
      <c r="Q120" s="192">
        <f>IFERROR(VLOOKUP(A120,[1]Energiindhold!$A$2:$C$11,3,FALSE),IFERROR(VLOOKUP(A120,[1]Biogasudbytte!$A$2:$B$18,2,FALSE)*[1]Energiindhold!$C$10,0))*O120</f>
        <v>0</v>
      </c>
      <c r="R120" s="192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92">
        <f>IFERROR(VLOOKUP(A120,[1]Biogasudbytte!$A$2:$B$18,2,FALSE)*[1]Energiindhold!$C$10,0)*J120*IFERROR(VLOOKUP(A120,Biogasanlæg!$F$3:$G$8,2,FALSE),1)</f>
        <v>0</v>
      </c>
      <c r="T120" s="193">
        <f t="shared" si="25"/>
        <v>0</v>
      </c>
      <c r="U120" s="191">
        <f>O120*IFERROR(VLOOKUP(A120,[1]Tørstofindhold!A$2:B$24,2,FALSE),0)</f>
        <v>0</v>
      </c>
      <c r="V120" s="192">
        <f>IF(D120=År1,P120,SUM(O120,P120))*IFERROR(VLOOKUP(A120,[1]Tørstofindhold!A$2:B$24,2,FALSE),0)</f>
        <v>0</v>
      </c>
      <c r="W120" s="192">
        <f>J120*IFERROR(VLOOKUP(A120,[1]Tørstofindhold!A$2:B$24,2,FALSE),0)</f>
        <v>0</v>
      </c>
      <c r="X120" s="193">
        <f t="shared" si="26"/>
        <v>0</v>
      </c>
      <c r="Y120" s="171" t="e">
        <f t="shared" si="21"/>
        <v>#REF!</v>
      </c>
      <c r="Z120" s="103" t="e">
        <f t="shared" si="22"/>
        <v>#REF!</v>
      </c>
    </row>
    <row r="121" spans="1:26" x14ac:dyDescent="0.25">
      <c r="A121" s="194" t="str">
        <f t="shared" si="33"/>
        <v>Korn</v>
      </c>
      <c r="B121" s="194" t="str">
        <f t="shared" si="34"/>
        <v>Halm og strå</v>
      </c>
      <c r="C121" s="194">
        <f>IF(COUNTIFS('Resultater - Danmark'!$D$3:$D$482,'Resultat-Produktion &amp; forbrug'!A121,'Resultater - Danmark'!$A$3:$A$482,"Til energi")+COUNTIFS('Resultater - Danmark'!$D$3:$D$482,'Resultat-Produktion &amp; forbrug'!A121,'Resultater - Danmark'!$A$3:$A$482,"Biogasanlæg")&gt;0,1,0)</f>
        <v>1</v>
      </c>
      <c r="D121" s="194">
        <f t="shared" si="35"/>
        <v>2050</v>
      </c>
      <c r="E121" s="192" t="s">
        <v>23</v>
      </c>
      <c r="F121" s="195">
        <f>IF(E121="Vestdanmark",SUMIFS(IF(D121=År1,'Resultater - Vestdanmark'!H$3:H$482,IF(D121=År2,'Resultater - Vestdanmark'!I$3:I$482,'Resultater - Vestdanmark'!J$3:J$482)),'Resultater - Vestdanmark'!$F$3:$F$482,$A121,IF(D121=År1,'Resultater - Vestdanmark'!H$3:H$482,IF(D121=År2,'Resultater - Vestdanmark'!I$3:I$482,'Resultater - Vestdanmark'!J$3:J$482)),"&gt;0"),SUMIFS(IF(D121=År1,'Resultater - Østdanmark'!H$3:H$482,IF(D121=År2,'Resultater - Østdanmark'!I$3:I$482,'Resultater - Østdanmark'!J$3:J$482)),'Resultater - Østdanmark'!$F$3:$F$482,$A121,IF(D121=År1,'Resultater - Østdanmark'!H$3:H$482,IF(D121=År2,'Resultater - Østdanmark'!I$3:I$482,'Resultater - Østdanmark'!J$3:J$482)),"&gt;0"))</f>
        <v>0</v>
      </c>
      <c r="G121" s="195" t="e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#REF!</v>
      </c>
      <c r="H121" s="192">
        <f>IF(E121="Vestdanmark",-IF(A121="Halm",SUMIFS(IF(D121=År1,'Resultater - Vestdanmark'!H$3:H$482,IF(D121=År2,'Resultater - Vestdanmark'!I$3:I$482,'Resultater - Vestdanmark'!J$3:J$482)),'Resultater - Vestdanmark'!$F$3:$F$482,$A121,'Resultater - Vestdanmark'!H$3:H$482,"&lt;0"),0),-IF(A121="Halm",SUMIFS(IF(D121=År1,'Resultater - Østdanmark'!H$3:H$482,IF(D121=År2,'Resultater - Østdanmark'!I$3:I$482,'Resultater - Østdanmark'!J$3:J$482)),'Resultater - Østdanmark'!$F$3:$F$482,$A121,'Resultater - Østdanmark'!H$3:H$482,"&lt;0"),0))</f>
        <v>0</v>
      </c>
      <c r="I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5" t="e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#REF!</v>
      </c>
      <c r="K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5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7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204" t="e">
        <f t="shared" si="23"/>
        <v>#REF!</v>
      </c>
      <c r="O121" s="195" t="e">
        <f t="shared" si="20"/>
        <v>#REF!</v>
      </c>
      <c r="P121" s="205" t="e">
        <f t="shared" si="24"/>
        <v>#REF!</v>
      </c>
      <c r="Q121" s="192" t="e">
        <f>IFERROR(VLOOKUP(A121,[1]Energiindhold!$A$2:$C$11,3,FALSE),IFERROR(VLOOKUP(A121,[1]Biogasudbytte!$A$2:$B$18,2,FALSE)*[1]Energiindhold!$C$10,0))*O121</f>
        <v>#REF!</v>
      </c>
      <c r="R121" s="192" t="e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#REF!</v>
      </c>
      <c r="S121" s="192" t="e">
        <f>IFERROR(VLOOKUP(A121,[1]Biogasudbytte!$A$2:$B$18,2,FALSE)*[1]Energiindhold!$C$10,0)*J121*IFERROR(VLOOKUP(A121,Biogasanlæg!$F$3:$G$8,2,FALSE),1)</f>
        <v>#REF!</v>
      </c>
      <c r="T121" s="193" t="e">
        <f t="shared" si="25"/>
        <v>#REF!</v>
      </c>
      <c r="U121" s="191" t="e">
        <f>O121*IFERROR(VLOOKUP(A121,[1]Tørstofindhold!A$2:B$24,2,FALSE),0)</f>
        <v>#REF!</v>
      </c>
      <c r="V121" s="192" t="e">
        <f>IF(D121=År1,P121,SUM(O121,P121))*IFERROR(VLOOKUP(A121,[1]Tørstofindhold!A$2:B$24,2,FALSE),0)</f>
        <v>#REF!</v>
      </c>
      <c r="W121" s="192" t="e">
        <f>J121*IFERROR(VLOOKUP(A121,[1]Tørstofindhold!A$2:B$24,2,FALSE),0)</f>
        <v>#REF!</v>
      </c>
      <c r="X121" s="193" t="e">
        <f t="shared" si="26"/>
        <v>#REF!</v>
      </c>
      <c r="Y121" s="171" t="e">
        <f t="shared" si="21"/>
        <v>#REF!</v>
      </c>
      <c r="Z121" s="103" t="e">
        <f t="shared" si="22"/>
        <v>#REF!</v>
      </c>
    </row>
    <row r="122" spans="1:26" x14ac:dyDescent="0.25">
      <c r="A122" s="194" t="str">
        <f t="shared" si="33"/>
        <v>Kunstgødning</v>
      </c>
      <c r="B122" s="194" t="str">
        <f t="shared" si="34"/>
        <v/>
      </c>
      <c r="C122" s="194">
        <f>IF(COUNTIFS('Resultater - Danmark'!$D$3:$D$482,'Resultat-Produktion &amp; forbrug'!A122,'Resultater - Danmark'!$A$3:$A$482,"Til energi")+COUNTIFS('Resultater - Danmark'!$D$3:$D$482,'Resultat-Produktion &amp; forbrug'!A122,'Resultater - Danmark'!$A$3:$A$482,"Biogasanlæg")&gt;0,1,0)</f>
        <v>0</v>
      </c>
      <c r="D122" s="194">
        <f t="shared" si="35"/>
        <v>2050</v>
      </c>
      <c r="E122" s="192" t="s">
        <v>23</v>
      </c>
      <c r="F122" s="195">
        <f>IF(E122="Vestdanmark",SUMIFS(IF(D122=År1,'Resultater - Vestdanmark'!H$3:H$482,IF(D122=År2,'Resultater - Vestdanmark'!I$3:I$482,'Resultater - Vestdanmark'!J$3:J$482)),'Resultater - Vestdanmark'!$F$3:$F$482,$A122,IF(D122=År1,'Resultater - Vestdanmark'!H$3:H$482,IF(D122=År2,'Resultater - Vestdanmark'!I$3:I$482,'Resultater - Vestdanmark'!J$3:J$482)),"&gt;0"),SUMIFS(IF(D122=År1,'Resultater - Østdanmark'!H$3:H$482,IF(D122=År2,'Resultater - Østdanmark'!I$3:I$482,'Resultater - Østdanmark'!J$3:J$482)),'Resultater - Østdanmark'!$F$3:$F$482,$A122,IF(D122=År1,'Resultater - Østdanmark'!H$3:H$482,IF(D122=År2,'Resultater - Østdanmark'!I$3:I$482,'Resultater - Østdanmark'!J$3:J$482)),"&gt;0"))</f>
        <v>0</v>
      </c>
      <c r="G122" s="195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92">
        <f>IF(E122="Vestdanmark",-IF(A122="Halm",SUMIFS(IF(D122=År1,'Resultater - Vestdanmark'!H$3:H$482,IF(D122=År2,'Resultater - Vestdanmark'!I$3:I$482,'Resultater - Vestdanmark'!J$3:J$482)),'Resultater - Vestdanmark'!$F$3:$F$482,$A122,'Resultater - Vestdanmark'!H$3:H$482,"&lt;0"),0),-IF(A122="Halm",SUMIFS(IF(D122=År1,'Resultater - Østdanmark'!H$3:H$482,IF(D122=År2,'Resultater - Østdanmark'!I$3:I$482,'Resultater - Østdanmark'!J$3:J$482)),'Resultater - Østdanmark'!$F$3:$F$482,$A122,'Resultater - Østdanmark'!H$3:H$482,"&lt;0"),0))</f>
        <v>0</v>
      </c>
      <c r="I122" s="195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5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5" t="e">
        <f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#REF!</v>
      </c>
      <c r="L122" s="195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7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204" t="e">
        <f t="shared" si="23"/>
        <v>#REF!</v>
      </c>
      <c r="O122" s="195">
        <f t="shared" si="20"/>
        <v>0</v>
      </c>
      <c r="P122" s="205">
        <f t="shared" si="24"/>
        <v>0</v>
      </c>
      <c r="Q122" s="192">
        <f>IFERROR(VLOOKUP(A122,[1]Energiindhold!$A$2:$C$11,3,FALSE),IFERROR(VLOOKUP(A122,[1]Biogasudbytte!$A$2:$B$18,2,FALSE)*[1]Energiindhold!$C$10,0))*O122</f>
        <v>0</v>
      </c>
      <c r="R122" s="192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92">
        <f>IFERROR(VLOOKUP(A122,[1]Biogasudbytte!$A$2:$B$18,2,FALSE)*[1]Energiindhold!$C$10,0)*J122*IFERROR(VLOOKUP(A122,Biogasanlæg!$F$3:$G$8,2,FALSE),1)</f>
        <v>0</v>
      </c>
      <c r="T122" s="193">
        <f t="shared" si="25"/>
        <v>0</v>
      </c>
      <c r="U122" s="191">
        <f>O122*IFERROR(VLOOKUP(A122,[1]Tørstofindhold!A$2:B$24,2,FALSE),0)</f>
        <v>0</v>
      </c>
      <c r="V122" s="192">
        <f>IF(D122=År1,P122,SUM(O122,P122))*IFERROR(VLOOKUP(A122,[1]Tørstofindhold!A$2:B$24,2,FALSE),0)</f>
        <v>0</v>
      </c>
      <c r="W122" s="192">
        <f>J122*IFERROR(VLOOKUP(A122,[1]Tørstofindhold!A$2:B$24,2,FALSE),0)</f>
        <v>0</v>
      </c>
      <c r="X122" s="193">
        <f t="shared" si="26"/>
        <v>0</v>
      </c>
      <c r="Y122" s="171" t="e">
        <f t="shared" si="21"/>
        <v>#REF!</v>
      </c>
      <c r="Z122" s="103" t="e">
        <f t="shared" si="22"/>
        <v>#REF!</v>
      </c>
    </row>
    <row r="123" spans="1:26" x14ac:dyDescent="0.25">
      <c r="A123" s="194" t="str">
        <f t="shared" si="33"/>
        <v>Kvæggylle</v>
      </c>
      <c r="B123" s="194" t="str">
        <f t="shared" si="34"/>
        <v>Husdyrgødning</v>
      </c>
      <c r="C123" s="194">
        <f>IF(COUNTIFS('Resultater - Danmark'!$D$3:$D$482,'Resultat-Produktion &amp; forbrug'!A123,'Resultater - Danmark'!$A$3:$A$482,"Til energi")+COUNTIFS('Resultater - Danmark'!$D$3:$D$482,'Resultat-Produktion &amp; forbrug'!A123,'Resultater - Danmark'!$A$3:$A$482,"Biogasanlæg")&gt;0,1,0)</f>
        <v>1</v>
      </c>
      <c r="D123" s="194">
        <f t="shared" si="35"/>
        <v>2050</v>
      </c>
      <c r="E123" s="192" t="s">
        <v>23</v>
      </c>
      <c r="F123" s="195">
        <f>IF(E123="Vestdanmark",SUMIFS(IF(D123=År1,'Resultater - Vestdanmark'!H$3:H$482,IF(D123=År2,'Resultater - Vestdanmark'!I$3:I$482,'Resultater - Vestdanmark'!J$3:J$482)),'Resultater - Vestdanmark'!$F$3:$F$482,$A123,IF(D123=År1,'Resultater - Vestdanmark'!H$3:H$482,IF(D123=År2,'Resultater - Vestdanmark'!I$3:I$482,'Resultater - Vestdanmark'!J$3:J$482)),"&gt;0"),SUMIFS(IF(D123=År1,'Resultater - Østdanmark'!H$3:H$482,IF(D123=År2,'Resultater - Østdanmark'!I$3:I$482,'Resultater - Østdanmark'!J$3:J$482)),'Resultater - Østdanmark'!$F$3:$F$482,$A123,IF(D123=År1,'Resultater - Østdanmark'!H$3:H$482,IF(D123=År2,'Resultater - Østdanmark'!I$3:I$482,'Resultater - Østdanmark'!J$3:J$482)),"&gt;0"))</f>
        <v>0</v>
      </c>
      <c r="G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92">
        <f>IF(E123="Vestdanmark",-IF(A123="Halm",SUMIFS(IF(D123=År1,'Resultater - Vestdanmark'!H$3:H$482,IF(D123=År2,'Resultater - Vestdanmark'!I$3:I$482,'Resultater - Vestdanmark'!J$3:J$482)),'Resultater - Vestdanmark'!$F$3:$F$482,$A123,'Resultater - Vestdanmark'!H$3:H$482,"&lt;0"),0),-IF(A123="Halm",SUMIFS(IF(D123=År1,'Resultater - Østdanmark'!H$3:H$482,IF(D123=År2,'Resultater - Østdanmark'!I$3:I$482,'Resultater - Østdanmark'!J$3:J$482)),'Resultater - Østdanmark'!$F$3:$F$482,$A123,'Resultater - Østdanmark'!H$3:H$482,"&lt;0"),0))</f>
        <v>0</v>
      </c>
      <c r="I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5" t="e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#REF!</v>
      </c>
      <c r="K123" s="195" t="e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#REF!</v>
      </c>
      <c r="L123" s="195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7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204" t="e">
        <f t="shared" si="23"/>
        <v>#REF!</v>
      </c>
      <c r="O123" s="195" t="e">
        <f t="shared" si="20"/>
        <v>#REF!</v>
      </c>
      <c r="P123" s="205" t="e">
        <f t="shared" si="24"/>
        <v>#REF!</v>
      </c>
      <c r="Q123" s="192" t="e">
        <f>IFERROR(VLOOKUP(A123,[1]Energiindhold!$A$2:$C$11,3,FALSE),IFERROR(VLOOKUP(A123,[1]Biogasudbytte!$A$2:$B$18,2,FALSE)*[1]Energiindhold!$C$10,0))*O123</f>
        <v>#REF!</v>
      </c>
      <c r="R123" s="192" t="e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#REF!</v>
      </c>
      <c r="S123" s="192" t="e">
        <f>IFERROR(VLOOKUP(A123,[1]Biogasudbytte!$A$2:$B$18,2,FALSE)*[1]Energiindhold!$C$10,0)*J123*IFERROR(VLOOKUP(A123,Biogasanlæg!$F$3:$G$8,2,FALSE),1)</f>
        <v>#REF!</v>
      </c>
      <c r="T123" s="193" t="e">
        <f t="shared" si="25"/>
        <v>#REF!</v>
      </c>
      <c r="U123" s="191" t="e">
        <f>O123*IFERROR(VLOOKUP(A123,[1]Tørstofindhold!A$2:B$24,2,FALSE),0)</f>
        <v>#REF!</v>
      </c>
      <c r="V123" s="192" t="e">
        <f>IF(D123=År1,P123,SUM(O123,P123))*IFERROR(VLOOKUP(A123,[1]Tørstofindhold!A$2:B$24,2,FALSE),0)</f>
        <v>#REF!</v>
      </c>
      <c r="W123" s="192" t="e">
        <f>J123*IFERROR(VLOOKUP(A123,[1]Tørstofindhold!A$2:B$24,2,FALSE),0)</f>
        <v>#REF!</v>
      </c>
      <c r="X123" s="193" t="e">
        <f t="shared" si="26"/>
        <v>#REF!</v>
      </c>
      <c r="Y123" s="171" t="e">
        <f t="shared" si="21"/>
        <v>#REF!</v>
      </c>
      <c r="Z123" s="103" t="e">
        <f t="shared" si="22"/>
        <v>#REF!</v>
      </c>
    </row>
    <row r="124" spans="1:26" x14ac:dyDescent="0.25">
      <c r="A124" s="194" t="str">
        <f t="shared" si="33"/>
        <v>Mælk til foder</v>
      </c>
      <c r="B124" s="194" t="str">
        <f t="shared" si="34"/>
        <v/>
      </c>
      <c r="C124" s="194">
        <f>IF(COUNTIFS('Resultater - Danmark'!$D$3:$D$482,'Resultat-Produktion &amp; forbrug'!A124,'Resultater - Danmark'!$A$3:$A$482,"Til energi")+COUNTIFS('Resultater - Danmark'!$D$3:$D$482,'Resultat-Produktion &amp; forbrug'!A124,'Resultater - Danmark'!$A$3:$A$482,"Biogasanlæg")&gt;0,1,0)</f>
        <v>0</v>
      </c>
      <c r="D124" s="194">
        <f t="shared" si="35"/>
        <v>2050</v>
      </c>
      <c r="E124" s="192" t="s">
        <v>23</v>
      </c>
      <c r="F124" s="195">
        <f>IF(E124="Vestdanmark",SUMIFS(IF(D124=År1,'Resultater - Vestdanmark'!H$3:H$482,IF(D124=År2,'Resultater - Vestdanmark'!I$3:I$482,'Resultater - Vestdanmark'!J$3:J$482)),'Resultater - Vestdanmark'!$F$3:$F$482,$A124,IF(D124=År1,'Resultater - Vestdanmark'!H$3:H$482,IF(D124=År2,'Resultater - Vestdanmark'!I$3:I$482,'Resultater - Vestdanmark'!J$3:J$482)),"&gt;0"),SUMIFS(IF(D124=År1,'Resultater - Østdanmark'!H$3:H$482,IF(D124=År2,'Resultater - Østdanmark'!I$3:I$482,'Resultater - Østdanmark'!J$3:J$482)),'Resultater - Østdanmark'!$F$3:$F$482,$A124,IF(D124=År1,'Resultater - Østdanmark'!H$3:H$482,IF(D124=År2,'Resultater - Østdanmark'!I$3:I$482,'Resultater - Østdanmark'!J$3:J$482)),"&gt;0"))</f>
        <v>0</v>
      </c>
      <c r="G124" s="195" t="e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#REF!</v>
      </c>
      <c r="H124" s="192">
        <f>IF(E124="Vestdanmark",-IF(A124="Halm",SUMIFS(IF(D124=År1,'Resultater - Vestdanmark'!H$3:H$482,IF(D124=År2,'Resultater - Vestdanmark'!I$3:I$482,'Resultater - Vestdanmark'!J$3:J$482)),'Resultater - Vestdanmark'!$F$3:$F$482,$A124,'Resultater - Vestdanmark'!H$3:H$482,"&lt;0"),0),-IF(A124="Halm",SUMIFS(IF(D124=År1,'Resultater - Østdanmark'!H$3:H$482,IF(D124=År2,'Resultater - Østdanmark'!I$3:I$482,'Resultater - Østdanmark'!J$3:J$482)),'Resultater - Østdanmark'!$F$3:$F$482,$A124,'Resultater - Østdanmark'!H$3:H$482,"&lt;0"),0))</f>
        <v>0</v>
      </c>
      <c r="I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5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7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204" t="e">
        <f t="shared" si="23"/>
        <v>#REF!</v>
      </c>
      <c r="O124" s="195">
        <f t="shared" si="20"/>
        <v>0</v>
      </c>
      <c r="P124" s="205">
        <f t="shared" si="24"/>
        <v>0</v>
      </c>
      <c r="Q124" s="192">
        <f>IFERROR(VLOOKUP(A124,[1]Energiindhold!$A$2:$C$11,3,FALSE),IFERROR(VLOOKUP(A124,[1]Biogasudbytte!$A$2:$B$18,2,FALSE)*[1]Energiindhold!$C$10,0))*O124</f>
        <v>0</v>
      </c>
      <c r="R124" s="192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92">
        <f>IFERROR(VLOOKUP(A124,[1]Biogasudbytte!$A$2:$B$18,2,FALSE)*[1]Energiindhold!$C$10,0)*J124*IFERROR(VLOOKUP(A124,Biogasanlæg!$F$3:$G$8,2,FALSE),1)</f>
        <v>0</v>
      </c>
      <c r="T124" s="193">
        <f t="shared" si="25"/>
        <v>0</v>
      </c>
      <c r="U124" s="191">
        <f>O124*IFERROR(VLOOKUP(A124,[1]Tørstofindhold!A$2:B$24,2,FALSE),0)</f>
        <v>0</v>
      </c>
      <c r="V124" s="192">
        <f>IF(D124=År1,P124,SUM(O124,P124))*IFERROR(VLOOKUP(A124,[1]Tørstofindhold!A$2:B$24,2,FALSE),0)</f>
        <v>0</v>
      </c>
      <c r="W124" s="192">
        <f>J124*IFERROR(VLOOKUP(A124,[1]Tørstofindhold!A$2:B$24,2,FALSE),0)</f>
        <v>0</v>
      </c>
      <c r="X124" s="193">
        <f t="shared" si="26"/>
        <v>0</v>
      </c>
      <c r="Y124" s="171" t="e">
        <f t="shared" si="21"/>
        <v>#REF!</v>
      </c>
      <c r="Z124" s="103" t="e">
        <f t="shared" si="22"/>
        <v>#REF!</v>
      </c>
    </row>
    <row r="125" spans="1:26" x14ac:dyDescent="0.25">
      <c r="A125" s="194" t="str">
        <f t="shared" si="33"/>
        <v>Majs</v>
      </c>
      <c r="B125" s="194" t="str">
        <f t="shared" si="34"/>
        <v>Græs og urter</v>
      </c>
      <c r="C125" s="194">
        <f>IF(COUNTIFS('Resultater - Danmark'!$D$3:$D$482,'Resultat-Produktion &amp; forbrug'!A125,'Resultater - Danmark'!$A$3:$A$482,"Til energi")+COUNTIFS('Resultater - Danmark'!$D$3:$D$482,'Resultat-Produktion &amp; forbrug'!A125,'Resultater - Danmark'!$A$3:$A$482,"Biogasanlæg")&gt;0,1,0)</f>
        <v>1</v>
      </c>
      <c r="D125" s="194">
        <f t="shared" si="35"/>
        <v>2050</v>
      </c>
      <c r="E125" s="192" t="s">
        <v>23</v>
      </c>
      <c r="F125" s="195">
        <f>IF(E125="Vestdanmark",SUMIFS(IF(D125=År1,'Resultater - Vestdanmark'!H$3:H$482,IF(D125=År2,'Resultater - Vestdanmark'!I$3:I$482,'Resultater - Vestdanmark'!J$3:J$482)),'Resultater - Vestdanmark'!$F$3:$F$482,$A125,IF(D125=År1,'Resultater - Vestdanmark'!H$3:H$482,IF(D125=År2,'Resultater - Vestdanmark'!I$3:I$482,'Resultater - Vestdanmark'!J$3:J$482)),"&gt;0"),SUMIFS(IF(D125=År1,'Resultater - Østdanmark'!H$3:H$482,IF(D125=År2,'Resultater - Østdanmark'!I$3:I$482,'Resultater - Østdanmark'!J$3:J$482)),'Resultater - Østdanmark'!$F$3:$F$482,$A125,IF(D125=År1,'Resultater - Østdanmark'!H$3:H$482,IF(D125=År2,'Resultater - Østdanmark'!I$3:I$482,'Resultater - Østdanmark'!J$3:J$482)),"&gt;0"))</f>
        <v>0</v>
      </c>
      <c r="G125" s="195" t="e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#REF!</v>
      </c>
      <c r="H125" s="192">
        <f>IF(E125="Vestdanmark",-IF(A125="Halm",SUMIFS(IF(D125=År1,'Resultater - Vestdanmark'!H$3:H$482,IF(D125=År2,'Resultater - Vestdanmark'!I$3:I$482,'Resultater - Vestdanmark'!J$3:J$482)),'Resultater - Vestdanmark'!$F$3:$F$482,$A125,'Resultater - Vestdanmark'!H$3:H$482,"&lt;0"),0),-IF(A125="Halm",SUMIFS(IF(D125=År1,'Resultater - Østdanmark'!H$3:H$482,IF(D125=År2,'Resultater - Østdanmark'!I$3:I$482,'Resultater - Østdanmark'!J$3:J$482)),'Resultater - Østdanmark'!$F$3:$F$482,$A125,'Resultater - Østdanmark'!H$3:H$482,"&lt;0"),0))</f>
        <v>0</v>
      </c>
      <c r="I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5" t="e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#REF!</v>
      </c>
      <c r="K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5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7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204" t="e">
        <f t="shared" si="23"/>
        <v>#REF!</v>
      </c>
      <c r="O125" s="195" t="e">
        <f t="shared" si="20"/>
        <v>#REF!</v>
      </c>
      <c r="P125" s="205" t="e">
        <f t="shared" si="24"/>
        <v>#REF!</v>
      </c>
      <c r="Q125" s="192" t="e">
        <f>IFERROR(VLOOKUP(A125,[1]Energiindhold!$A$2:$C$11,3,FALSE),IFERROR(VLOOKUP(A125,[1]Biogasudbytte!$A$2:$B$18,2,FALSE)*[1]Energiindhold!$C$10,0))*O125</f>
        <v>#REF!</v>
      </c>
      <c r="R125" s="192" t="e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#REF!</v>
      </c>
      <c r="S125" s="192" t="e">
        <f>IFERROR(VLOOKUP(A125,[1]Biogasudbytte!$A$2:$B$18,2,FALSE)*[1]Energiindhold!$C$10,0)*J125*IFERROR(VLOOKUP(A125,Biogasanlæg!$F$3:$G$8,2,FALSE),1)</f>
        <v>#REF!</v>
      </c>
      <c r="T125" s="193" t="e">
        <f t="shared" si="25"/>
        <v>#REF!</v>
      </c>
      <c r="U125" s="191" t="e">
        <f>O125*IFERROR(VLOOKUP(A125,[1]Tørstofindhold!A$2:B$24,2,FALSE),0)</f>
        <v>#REF!</v>
      </c>
      <c r="V125" s="192" t="e">
        <f>IF(D125=År1,P125,SUM(O125,P125))*IFERROR(VLOOKUP(A125,[1]Tørstofindhold!A$2:B$24,2,FALSE),0)</f>
        <v>#REF!</v>
      </c>
      <c r="W125" s="192" t="e">
        <f>J125*IFERROR(VLOOKUP(A125,[1]Tørstofindhold!A$2:B$24,2,FALSE),0)</f>
        <v>#REF!</v>
      </c>
      <c r="X125" s="193" t="e">
        <f t="shared" si="26"/>
        <v>#REF!</v>
      </c>
      <c r="Y125" s="171" t="e">
        <f t="shared" si="21"/>
        <v>#REF!</v>
      </c>
      <c r="Z125" s="103" t="e">
        <f t="shared" si="22"/>
        <v>#REF!</v>
      </c>
    </row>
    <row r="126" spans="1:26" x14ac:dyDescent="0.25">
      <c r="A126" s="194" t="str">
        <f t="shared" si="33"/>
        <v>Mejeriprodukter</v>
      </c>
      <c r="B126" s="194" t="str">
        <f t="shared" si="34"/>
        <v/>
      </c>
      <c r="C126" s="194">
        <f>IF(COUNTIFS('Resultater - Danmark'!$D$3:$D$482,'Resultat-Produktion &amp; forbrug'!A126,'Resultater - Danmark'!$A$3:$A$482,"Til energi")+COUNTIFS('Resultater - Danmark'!$D$3:$D$482,'Resultat-Produktion &amp; forbrug'!A126,'Resultater - Danmark'!$A$3:$A$482,"Biogasanlæg")&gt;0,1,0)</f>
        <v>0</v>
      </c>
      <c r="D126" s="194">
        <f t="shared" si="35"/>
        <v>2050</v>
      </c>
      <c r="E126" s="192" t="s">
        <v>23</v>
      </c>
      <c r="F126" s="195">
        <f>IF(E126="Vestdanmark",SUMIFS(IF(D126=År1,'Resultater - Vestdanmark'!H$3:H$482,IF(D126=År2,'Resultater - Vestdanmark'!I$3:I$482,'Resultater - Vestdanmark'!J$3:J$482)),'Resultater - Vestdanmark'!$F$3:$F$482,$A126,IF(D126=År1,'Resultater - Vestdanmark'!H$3:H$482,IF(D126=År2,'Resultater - Vestdanmark'!I$3:I$482,'Resultater - Vestdanmark'!J$3:J$482)),"&gt;0"),SUMIFS(IF(D126=År1,'Resultater - Østdanmark'!H$3:H$482,IF(D126=År2,'Resultater - Østdanmark'!I$3:I$482,'Resultater - Østdanmark'!J$3:J$482)),'Resultater - Østdanmark'!$F$3:$F$482,$A126,IF(D126=År1,'Resultater - Østdanmark'!H$3:H$482,IF(D126=År2,'Resultater - Østdanmark'!I$3:I$482,'Resultater - Østdanmark'!J$3:J$482)),"&gt;0"))</f>
        <v>0</v>
      </c>
      <c r="G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92">
        <f>IF(E126="Vestdanmark",-IF(A126="Halm",SUMIFS(IF(D126=År1,'Resultater - Vestdanmark'!H$3:H$482,IF(D126=År2,'Resultater - Vestdanmark'!I$3:I$482,'Resultater - Vestdanmark'!J$3:J$482)),'Resultater - Vestdanmark'!$F$3:$F$482,$A126,'Resultater - Vestdanmark'!H$3:H$482,"&lt;0"),0),-IF(A126="Halm",SUMIFS(IF(D126=År1,'Resultater - Østdanmark'!H$3:H$482,IF(D126=År2,'Resultater - Østdanmark'!I$3:I$482,'Resultater - Østdanmark'!J$3:J$482)),'Resultater - Østdanmark'!$F$3:$F$482,$A126,'Resultater - Østdanmark'!H$3:H$482,"&lt;0"),0))</f>
        <v>0</v>
      </c>
      <c r="I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5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7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204">
        <f t="shared" si="23"/>
        <v>-490824.54885344987</v>
      </c>
      <c r="O126" s="195">
        <f t="shared" si="20"/>
        <v>0</v>
      </c>
      <c r="P126" s="205">
        <f t="shared" si="24"/>
        <v>0</v>
      </c>
      <c r="Q126" s="192">
        <f>IFERROR(VLOOKUP(A126,[1]Energiindhold!$A$2:$C$11,3,FALSE),IFERROR(VLOOKUP(A126,[1]Biogasudbytte!$A$2:$B$18,2,FALSE)*[1]Energiindhold!$C$10,0))*O126</f>
        <v>0</v>
      </c>
      <c r="R126" s="192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92">
        <f>IFERROR(VLOOKUP(A126,[1]Biogasudbytte!$A$2:$B$18,2,FALSE)*[1]Energiindhold!$C$10,0)*J126*IFERROR(VLOOKUP(A126,Biogasanlæg!$F$3:$G$8,2,FALSE),1)</f>
        <v>0</v>
      </c>
      <c r="T126" s="193">
        <f t="shared" si="25"/>
        <v>0</v>
      </c>
      <c r="U126" s="191">
        <f>O126*IFERROR(VLOOKUP(A126,[1]Tørstofindhold!A$2:B$24,2,FALSE),0)</f>
        <v>0</v>
      </c>
      <c r="V126" s="192">
        <f>IF(D126=År1,P126,SUM(O126,P126))*IFERROR(VLOOKUP(A126,[1]Tørstofindhold!A$2:B$24,2,FALSE),0)</f>
        <v>0</v>
      </c>
      <c r="W126" s="192">
        <f>J126*IFERROR(VLOOKUP(A126,[1]Tørstofindhold!A$2:B$24,2,FALSE),0)</f>
        <v>0</v>
      </c>
      <c r="X126" s="193">
        <f t="shared" si="26"/>
        <v>0</v>
      </c>
      <c r="Y126" s="171">
        <f t="shared" si="21"/>
        <v>1</v>
      </c>
      <c r="Z126" s="103">
        <f t="shared" si="22"/>
        <v>0</v>
      </c>
    </row>
    <row r="127" spans="1:26" x14ac:dyDescent="0.25">
      <c r="A127" s="194" t="str">
        <f t="shared" si="33"/>
        <v>Muslinger</v>
      </c>
      <c r="B127" s="194" t="str">
        <f t="shared" si="34"/>
        <v>Havbiomasse</v>
      </c>
      <c r="C127" s="194">
        <f>IF(COUNTIFS('Resultater - Danmark'!$D$3:$D$482,'Resultat-Produktion &amp; forbrug'!A127,'Resultater - Danmark'!$A$3:$A$482,"Til energi")+COUNTIFS('Resultater - Danmark'!$D$3:$D$482,'Resultat-Produktion &amp; forbrug'!A127,'Resultater - Danmark'!$A$3:$A$482,"Biogasanlæg")&gt;0,1,0)</f>
        <v>1</v>
      </c>
      <c r="D127" s="194">
        <f t="shared" si="35"/>
        <v>2050</v>
      </c>
      <c r="E127" s="192" t="s">
        <v>23</v>
      </c>
      <c r="F127" s="195">
        <f>IF(E127="Vestdanmark",SUMIFS(IF(D127=År1,'Resultater - Vestdanmark'!H$3:H$482,IF(D127=År2,'Resultater - Vestdanmark'!I$3:I$482,'Resultater - Vestdanmark'!J$3:J$482)),'Resultater - Vestdanmark'!$F$3:$F$482,$A127,IF(D127=År1,'Resultater - Vestdanmark'!H$3:H$482,IF(D127=År2,'Resultater - Vestdanmark'!I$3:I$482,'Resultater - Vestdanmark'!J$3:J$482)),"&gt;0"),SUMIFS(IF(D127=År1,'Resultater - Østdanmark'!H$3:H$482,IF(D127=År2,'Resultater - Østdanmark'!I$3:I$482,'Resultater - Østdanmark'!J$3:J$482)),'Resultater - Østdanmark'!$F$3:$F$482,$A127,IF(D127=År1,'Resultater - Østdanmark'!H$3:H$482,IF(D127=År2,'Resultater - Østdanmark'!I$3:I$482,'Resultater - Østdanmark'!J$3:J$482)),"&gt;0"))</f>
        <v>0</v>
      </c>
      <c r="G127" s="195" t="e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#REF!</v>
      </c>
      <c r="H127" s="192">
        <f>IF(E127="Vestdanmark",-IF(A127="Halm",SUMIFS(IF(D127=År1,'Resultater - Vestdanmark'!H$3:H$482,IF(D127=År2,'Resultater - Vestdanmark'!I$3:I$482,'Resultater - Vestdanmark'!J$3:J$482)),'Resultater - Vestdanmark'!$F$3:$F$482,$A127,'Resultater - Vestdanmark'!H$3:H$482,"&lt;0"),0),-IF(A127="Halm",SUMIFS(IF(D127=År1,'Resultater - Østdanmark'!H$3:H$482,IF(D127=År2,'Resultater - Østdanmark'!I$3:I$482,'Resultater - Østdanmark'!J$3:J$482)),'Resultater - Østdanmark'!$F$3:$F$482,$A127,'Resultater - Østdanmark'!H$3:H$482,"&lt;0"),0))</f>
        <v>0</v>
      </c>
      <c r="I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5" t="e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#REF!</v>
      </c>
      <c r="K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5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7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204" t="e">
        <f t="shared" si="23"/>
        <v>#REF!</v>
      </c>
      <c r="O127" s="195" t="e">
        <f t="shared" si="20"/>
        <v>#REF!</v>
      </c>
      <c r="P127" s="205" t="e">
        <f t="shared" si="24"/>
        <v>#REF!</v>
      </c>
      <c r="Q127" s="192" t="e">
        <f>IFERROR(VLOOKUP(A127,[1]Energiindhold!$A$2:$C$11,3,FALSE),IFERROR(VLOOKUP(A127,[1]Biogasudbytte!$A$2:$B$18,2,FALSE)*[1]Energiindhold!$C$10,0))*O127</f>
        <v>#REF!</v>
      </c>
      <c r="R127" s="192" t="e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#REF!</v>
      </c>
      <c r="S127" s="192" t="e">
        <f>IFERROR(VLOOKUP(A127,[1]Biogasudbytte!$A$2:$B$18,2,FALSE)*[1]Energiindhold!$C$10,0)*J127*IFERROR(VLOOKUP(A127,Biogasanlæg!$F$3:$G$8,2,FALSE),1)</f>
        <v>#REF!</v>
      </c>
      <c r="T127" s="193" t="e">
        <f t="shared" si="25"/>
        <v>#REF!</v>
      </c>
      <c r="U127" s="191" t="e">
        <f>O127*IFERROR(VLOOKUP(A127,[1]Tørstofindhold!A$2:B$24,2,FALSE),0)</f>
        <v>#REF!</v>
      </c>
      <c r="V127" s="192" t="e">
        <f>IF(D127=År1,P127,SUM(O127,P127))*IFERROR(VLOOKUP(A127,[1]Tørstofindhold!A$2:B$24,2,FALSE),0)</f>
        <v>#REF!</v>
      </c>
      <c r="W127" s="192" t="e">
        <f>J127*IFERROR(VLOOKUP(A127,[1]Tørstofindhold!A$2:B$24,2,FALSE),0)</f>
        <v>#REF!</v>
      </c>
      <c r="X127" s="193" t="e">
        <f t="shared" si="26"/>
        <v>#REF!</v>
      </c>
      <c r="Y127" s="171" t="e">
        <f t="shared" si="21"/>
        <v>#REF!</v>
      </c>
      <c r="Z127" s="103" t="e">
        <f t="shared" si="22"/>
        <v>#REF!</v>
      </c>
    </row>
    <row r="128" spans="1:26" x14ac:dyDescent="0.25">
      <c r="A128" s="194" t="str">
        <f t="shared" si="33"/>
        <v>Oksekød</v>
      </c>
      <c r="B128" s="194" t="str">
        <f t="shared" si="34"/>
        <v/>
      </c>
      <c r="C128" s="194">
        <f>IF(COUNTIFS('Resultater - Danmark'!$D$3:$D$482,'Resultat-Produktion &amp; forbrug'!A128,'Resultater - Danmark'!$A$3:$A$482,"Til energi")+COUNTIFS('Resultater - Danmark'!$D$3:$D$482,'Resultat-Produktion &amp; forbrug'!A128,'Resultater - Danmark'!$A$3:$A$482,"Biogasanlæg")&gt;0,1,0)</f>
        <v>0</v>
      </c>
      <c r="D128" s="194">
        <f t="shared" si="35"/>
        <v>2050</v>
      </c>
      <c r="E128" s="192" t="s">
        <v>23</v>
      </c>
      <c r="F128" s="195">
        <f>IF(E128="Vestdanmark",SUMIFS(IF(D128=År1,'Resultater - Vestdanmark'!H$3:H$482,IF(D128=År2,'Resultater - Vestdanmark'!I$3:I$482,'Resultater - Vestdanmark'!J$3:J$482)),'Resultater - Vestdanmark'!$F$3:$F$482,$A128,IF(D128=År1,'Resultater - Vestdanmark'!H$3:H$482,IF(D128=År2,'Resultater - Vestdanmark'!I$3:I$482,'Resultater - Vestdanmark'!J$3:J$482)),"&gt;0"),SUMIFS(IF(D128=År1,'Resultater - Østdanmark'!H$3:H$482,IF(D128=År2,'Resultater - Østdanmark'!I$3:I$482,'Resultater - Østdanmark'!J$3:J$482)),'Resultater - Østdanmark'!$F$3:$F$482,$A128,IF(D128=År1,'Resultater - Østdanmark'!H$3:H$482,IF(D128=År2,'Resultater - Østdanmark'!I$3:I$482,'Resultater - Østdanmark'!J$3:J$482)),"&gt;0"))</f>
        <v>0</v>
      </c>
      <c r="G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92">
        <f>IF(E128="Vestdanmark",-IF(A128="Halm",SUMIFS(IF(D128=År1,'Resultater - Vestdanmark'!H$3:H$482,IF(D128=År2,'Resultater - Vestdanmark'!I$3:I$482,'Resultater - Vestdanmark'!J$3:J$482)),'Resultater - Vestdanmark'!$F$3:$F$482,$A128,'Resultater - Vestdanmark'!H$3:H$482,"&lt;0"),0),-IF(A128="Halm",SUMIFS(IF(D128=År1,'Resultater - Østdanmark'!H$3:H$482,IF(D128=År2,'Resultater - Østdanmark'!I$3:I$482,'Resultater - Østdanmark'!J$3:J$482)),'Resultater - Østdanmark'!$F$3:$F$482,$A128,'Resultater - Østdanmark'!H$3:H$482,"&lt;0"),0))</f>
        <v>0</v>
      </c>
      <c r="I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5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7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204">
        <f t="shared" si="23"/>
        <v>-62368.567673274578</v>
      </c>
      <c r="O128" s="195">
        <f t="shared" si="20"/>
        <v>0</v>
      </c>
      <c r="P128" s="205">
        <f t="shared" si="24"/>
        <v>0</v>
      </c>
      <c r="Q128" s="192">
        <f>IFERROR(VLOOKUP(A128,[1]Energiindhold!$A$2:$C$11,3,FALSE),IFERROR(VLOOKUP(A128,[1]Biogasudbytte!$A$2:$B$18,2,FALSE)*[1]Energiindhold!$C$10,0))*O128</f>
        <v>0</v>
      </c>
      <c r="R128" s="192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92">
        <f>IFERROR(VLOOKUP(A128,[1]Biogasudbytte!$A$2:$B$18,2,FALSE)*[1]Energiindhold!$C$10,0)*J128*IFERROR(VLOOKUP(A128,Biogasanlæg!$F$3:$G$8,2,FALSE),1)</f>
        <v>0</v>
      </c>
      <c r="T128" s="193">
        <f t="shared" si="25"/>
        <v>0</v>
      </c>
      <c r="U128" s="191">
        <f>O128*IFERROR(VLOOKUP(A128,[1]Tørstofindhold!A$2:B$24,2,FALSE),0)</f>
        <v>0</v>
      </c>
      <c r="V128" s="192">
        <f>IF(D128=År1,P128,SUM(O128,P128))*IFERROR(VLOOKUP(A128,[1]Tørstofindhold!A$2:B$24,2,FALSE),0)</f>
        <v>0</v>
      </c>
      <c r="W128" s="192">
        <f>J128*IFERROR(VLOOKUP(A128,[1]Tørstofindhold!A$2:B$24,2,FALSE),0)</f>
        <v>0</v>
      </c>
      <c r="X128" s="193">
        <f t="shared" si="26"/>
        <v>0</v>
      </c>
      <c r="Y128" s="171">
        <f t="shared" si="21"/>
        <v>1</v>
      </c>
      <c r="Z128" s="103">
        <f t="shared" si="22"/>
        <v>0</v>
      </c>
    </row>
    <row r="129" spans="1:26" x14ac:dyDescent="0.25">
      <c r="A129" s="194" t="str">
        <f t="shared" si="33"/>
        <v>Øvrige</v>
      </c>
      <c r="B129" s="194" t="str">
        <f t="shared" si="34"/>
        <v/>
      </c>
      <c r="C129" s="194">
        <f>IF(COUNTIFS('Resultater - Danmark'!$D$3:$D$482,'Resultat-Produktion &amp; forbrug'!A129,'Resultater - Danmark'!$A$3:$A$482,"Til energi")+COUNTIFS('Resultater - Danmark'!$D$3:$D$482,'Resultat-Produktion &amp; forbrug'!A129,'Resultater - Danmark'!$A$3:$A$482,"Biogasanlæg")&gt;0,1,0)</f>
        <v>0</v>
      </c>
      <c r="D129" s="194">
        <f t="shared" si="35"/>
        <v>2050</v>
      </c>
      <c r="E129" s="192" t="s">
        <v>23</v>
      </c>
      <c r="F129" s="195">
        <f>IF(E129="Vestdanmark",SUMIFS(IF(D129=År1,'Resultater - Vestdanmark'!H$3:H$482,IF(D129=År2,'Resultater - Vestdanmark'!I$3:I$482,'Resultater - Vestdanmark'!J$3:J$482)),'Resultater - Vestdanmark'!$F$3:$F$482,$A129,IF(D129=År1,'Resultater - Vestdanmark'!H$3:H$482,IF(D129=År2,'Resultater - Vestdanmark'!I$3:I$482,'Resultater - Vestdanmark'!J$3:J$482)),"&gt;0"),SUMIFS(IF(D129=År1,'Resultater - Østdanmark'!H$3:H$482,IF(D129=År2,'Resultater - Østdanmark'!I$3:I$482,'Resultater - Østdanmark'!J$3:J$482)),'Resultater - Østdanmark'!$F$3:$F$482,$A129,IF(D129=År1,'Resultater - Østdanmark'!H$3:H$482,IF(D129=År2,'Resultater - Østdanmark'!I$3:I$482,'Resultater - Østdanmark'!J$3:J$482)),"&gt;0"))</f>
        <v>0</v>
      </c>
      <c r="G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92">
        <f>IF(E129="Vestdanmark",-IF(A129="Halm",SUMIFS(IF(D129=År1,'Resultater - Vestdanmark'!H$3:H$482,IF(D129=År2,'Resultater - Vestdanmark'!I$3:I$482,'Resultater - Vestdanmark'!J$3:J$482)),'Resultater - Vestdanmark'!$F$3:$F$482,$A129,'Resultater - Vestdanmark'!H$3:H$482,"&lt;0"),0),-IF(A129="Halm",SUMIFS(IF(D129=År1,'Resultater - Østdanmark'!H$3:H$482,IF(D129=År2,'Resultater - Østdanmark'!I$3:I$482,'Resultater - Østdanmark'!J$3:J$482)),'Resultater - Østdanmark'!$F$3:$F$482,$A129,'Resultater - Østdanmark'!H$3:H$482,"&lt;0"),0))</f>
        <v>0</v>
      </c>
      <c r="I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5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7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204">
        <f t="shared" si="23"/>
        <v>0</v>
      </c>
      <c r="O129" s="195">
        <f t="shared" si="20"/>
        <v>0</v>
      </c>
      <c r="P129" s="205">
        <f t="shared" si="24"/>
        <v>0</v>
      </c>
      <c r="Q129" s="192">
        <f>IFERROR(VLOOKUP(A129,[1]Energiindhold!$A$2:$C$11,3,FALSE),IFERROR(VLOOKUP(A129,[1]Biogasudbytte!$A$2:$B$18,2,FALSE)*[1]Energiindhold!$C$10,0))*O129</f>
        <v>0</v>
      </c>
      <c r="R129" s="192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92">
        <f>IFERROR(VLOOKUP(A129,[1]Biogasudbytte!$A$2:$B$18,2,FALSE)*[1]Energiindhold!$C$10,0)*J129*IFERROR(VLOOKUP(A129,Biogasanlæg!$F$3:$G$8,2,FALSE),1)</f>
        <v>0</v>
      </c>
      <c r="T129" s="193">
        <f t="shared" si="25"/>
        <v>0</v>
      </c>
      <c r="U129" s="191">
        <f>O129*IFERROR(VLOOKUP(A129,[1]Tørstofindhold!A$2:B$24,2,FALSE),0)</f>
        <v>0</v>
      </c>
      <c r="V129" s="192">
        <f>IF(D129=År1,P129,SUM(O129,P129))*IFERROR(VLOOKUP(A129,[1]Tørstofindhold!A$2:B$24,2,FALSE),0)</f>
        <v>0</v>
      </c>
      <c r="W129" s="192">
        <f>J129*IFERROR(VLOOKUP(A129,[1]Tørstofindhold!A$2:B$24,2,FALSE),0)</f>
        <v>0</v>
      </c>
      <c r="X129" s="193">
        <f t="shared" si="26"/>
        <v>0</v>
      </c>
      <c r="Y129" s="171">
        <f t="shared" si="21"/>
        <v>0</v>
      </c>
      <c r="Z129" s="103">
        <f t="shared" si="22"/>
        <v>0</v>
      </c>
    </row>
    <row r="130" spans="1:26" x14ac:dyDescent="0.25">
      <c r="A130" s="194" t="str">
        <f t="shared" si="33"/>
        <v>Pil &amp; poppel</v>
      </c>
      <c r="B130" s="194" t="str">
        <f t="shared" si="34"/>
        <v>Vedmasse</v>
      </c>
      <c r="C130" s="194">
        <f>IF(COUNTIFS('Resultater - Danmark'!$D$3:$D$482,'Resultat-Produktion &amp; forbrug'!A130,'Resultater - Danmark'!$A$3:$A$482,"Til energi")+COUNTIFS('Resultater - Danmark'!$D$3:$D$482,'Resultat-Produktion &amp; forbrug'!A130,'Resultater - Danmark'!$A$3:$A$482,"Biogasanlæg")&gt;0,1,0)</f>
        <v>1</v>
      </c>
      <c r="D130" s="194">
        <f t="shared" si="35"/>
        <v>2050</v>
      </c>
      <c r="E130" s="192" t="s">
        <v>23</v>
      </c>
      <c r="F130" s="195">
        <f>IF(E130="Vestdanmark",SUMIFS(IF(D130=År1,'Resultater - Vestdanmark'!H$3:H$482,IF(D130=År2,'Resultater - Vestdanmark'!I$3:I$482,'Resultater - Vestdanmark'!J$3:J$482)),'Resultater - Vestdanmark'!$F$3:$F$482,$A130,IF(D130=År1,'Resultater - Vestdanmark'!H$3:H$482,IF(D130=År2,'Resultater - Vestdanmark'!I$3:I$482,'Resultater - Vestdanmark'!J$3:J$482)),"&gt;0"),SUMIFS(IF(D130=År1,'Resultater - Østdanmark'!H$3:H$482,IF(D130=År2,'Resultater - Østdanmark'!I$3:I$482,'Resultater - Østdanmark'!J$3:J$482)),'Resultater - Østdanmark'!$F$3:$F$482,$A130,IF(D130=År1,'Resultater - Østdanmark'!H$3:H$482,IF(D130=År2,'Resultater - Østdanmark'!I$3:I$482,'Resultater - Østdanmark'!J$3:J$482)),"&gt;0"))</f>
        <v>0</v>
      </c>
      <c r="G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92">
        <f>IF(E130="Vestdanmark",-IF(A130="Halm",SUMIFS(IF(D130=År1,'Resultater - Vestdanmark'!H$3:H$482,IF(D130=År2,'Resultater - Vestdanmark'!I$3:I$482,'Resultater - Vestdanmark'!J$3:J$482)),'Resultater - Vestdanmark'!$F$3:$F$482,$A130,'Resultater - Vestdanmark'!H$3:H$482,"&lt;0"),0),-IF(A130="Halm",SUMIFS(IF(D130=År1,'Resultater - Østdanmark'!H$3:H$482,IF(D130=År2,'Resultater - Østdanmark'!I$3:I$482,'Resultater - Østdanmark'!J$3:J$482)),'Resultater - Østdanmark'!$F$3:$F$482,$A130,'Resultater - Østdanmark'!H$3:H$482,"&lt;0"),0))</f>
        <v>0</v>
      </c>
      <c r="I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5" t="e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#REF!</v>
      </c>
      <c r="M130" s="157" t="e">
        <f>SUMIFS('Forbrug af biomasse'!E:E,'Forbrug af biomasse'!C:C,'Resultat-Produktion &amp; forbrug'!$A130,'Forbrug af biomasse'!D:D,'Resultat-Produktion &amp; forbrug'!$D130,'Forbrug af biomasse'!G:G,1,'Forbrug af biomasse'!B:B,$E130)</f>
        <v>#REF!</v>
      </c>
      <c r="N130" s="204" t="e">
        <f t="shared" si="23"/>
        <v>#REF!</v>
      </c>
      <c r="O130" s="195" t="e">
        <f t="shared" si="20"/>
        <v>#REF!</v>
      </c>
      <c r="P130" s="205" t="e">
        <f t="shared" si="24"/>
        <v>#REF!</v>
      </c>
      <c r="Q130" s="192" t="e">
        <f>IFERROR(VLOOKUP(A130,[1]Energiindhold!$A$2:$C$11,3,FALSE),IFERROR(VLOOKUP(A130,[1]Biogasudbytte!$A$2:$B$18,2,FALSE)*[1]Energiindhold!$C$10,0))*O130</f>
        <v>#REF!</v>
      </c>
      <c r="R130" s="192" t="e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#REF!</v>
      </c>
      <c r="S130" s="192">
        <f>IFERROR(VLOOKUP(A130,[1]Biogasudbytte!$A$2:$B$18,2,FALSE)*[1]Energiindhold!$C$10,0)*J130*IFERROR(VLOOKUP(A130,Biogasanlæg!$F$3:$G$8,2,FALSE),1)</f>
        <v>0</v>
      </c>
      <c r="T130" s="193" t="e">
        <f t="shared" si="25"/>
        <v>#REF!</v>
      </c>
      <c r="U130" s="191" t="e">
        <f>O130*IFERROR(VLOOKUP(A130,[1]Tørstofindhold!A$2:B$24,2,FALSE),0)</f>
        <v>#REF!</v>
      </c>
      <c r="V130" s="192" t="e">
        <f>IF(D130=År1,P130,SUM(O130,P130))*IFERROR(VLOOKUP(A130,[1]Tørstofindhold!A$2:B$24,2,FALSE),0)</f>
        <v>#REF!</v>
      </c>
      <c r="W130" s="192">
        <f>J130*IFERROR(VLOOKUP(A130,[1]Tørstofindhold!A$2:B$24,2,FALSE),0)</f>
        <v>0</v>
      </c>
      <c r="X130" s="193" t="e">
        <f t="shared" si="26"/>
        <v>#REF!</v>
      </c>
      <c r="Y130" s="171" t="e">
        <f t="shared" si="21"/>
        <v>#REF!</v>
      </c>
      <c r="Z130" s="103" t="e">
        <f t="shared" si="22"/>
        <v>#REF!</v>
      </c>
    </row>
    <row r="131" spans="1:26" x14ac:dyDescent="0.25">
      <c r="A131" s="194" t="str">
        <f t="shared" ref="A131:A132" si="36">A83</f>
        <v>Pyrolysegas</v>
      </c>
      <c r="B131" s="194" t="str">
        <f t="shared" ref="B131:B132" si="37">IF(B83&lt;&gt;"",B83,"")</f>
        <v>Pyrolyseprodukter</v>
      </c>
      <c r="C131" s="194">
        <f>IF(COUNTIFS('Resultater - Danmark'!$D$3:$D$482,'Resultat-Produktion &amp; forbrug'!A131,'Resultater - Danmark'!$A$3:$A$482,"Til energi")+COUNTIFS('Resultater - Danmark'!$D$3:$D$482,'Resultat-Produktion &amp; forbrug'!A131,'Resultater - Danmark'!$A$3:$A$482,"Biogasanlæg")&gt;0,1,0)</f>
        <v>1</v>
      </c>
      <c r="D131" s="194">
        <f t="shared" si="35"/>
        <v>2050</v>
      </c>
      <c r="E131" s="192" t="s">
        <v>23</v>
      </c>
      <c r="F131" s="195">
        <f>IF(E131="Vestdanmark",SUMIFS(IF(D131=År1,'Resultater - Vestdanmark'!H$3:H$482,IF(D131=År2,'Resultater - Vestdanmark'!I$3:I$482,'Resultater - Vestdanmark'!J$3:J$482)),'Resultater - Vestdanmark'!$F$3:$F$482,$A131,IF(D131=År1,'Resultater - Vestdanmark'!H$3:H$482,IF(D131=År2,'Resultater - Vestdanmark'!I$3:I$482,'Resultater - Vestdanmark'!J$3:J$482)),"&gt;0"),SUMIFS(IF(D131=År1,'Resultater - Østdanmark'!H$3:H$482,IF(D131=År2,'Resultater - Østdanmark'!I$3:I$482,'Resultater - Østdanmark'!J$3:J$482)),'Resultater - Østdanmark'!$F$3:$F$482,$A131,IF(D131=År1,'Resultater - Østdanmark'!H$3:H$482,IF(D131=År2,'Resultater - Østdanmark'!I$3:I$482,'Resultater - Østdanmark'!J$3:J$482)),"&gt;0"))</f>
        <v>0</v>
      </c>
      <c r="G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92">
        <f>IF(E131="Vestdanmark",-IF(A131="Halm",SUMIFS(IF(D131=År1,'Resultater - Vestdanmark'!H$3:H$482,IF(D131=År2,'Resultater - Vestdanmark'!I$3:I$482,'Resultater - Vestdanmark'!J$3:J$482)),'Resultater - Vestdanmark'!$F$3:$F$482,$A131,'Resultater - Vestdanmark'!H$3:H$482,"&lt;0"),0),-IF(A131="Halm",SUMIFS(IF(D131=År1,'Resultater - Østdanmark'!H$3:H$482,IF(D131=År2,'Resultater - Østdanmark'!I$3:I$482,'Resultater - Østdanmark'!J$3:J$482)),'Resultater - Østdanmark'!$F$3:$F$482,$A131,'Resultater - Østdanmark'!H$3:H$482,"&lt;0"),0))</f>
        <v>0</v>
      </c>
      <c r="I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5" t="e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#REF!</v>
      </c>
      <c r="M131" s="157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204" t="e">
        <f t="shared" ref="N131:N132" si="38">F131-SUM(G131:M131)</f>
        <v>#REF!</v>
      </c>
      <c r="O131" s="195" t="e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#REF!</v>
      </c>
      <c r="P131" s="205" t="e">
        <f t="shared" ref="P131:P132" si="40">SUM(J131,L131)</f>
        <v>#REF!</v>
      </c>
      <c r="Q131" s="192" t="e">
        <f>IFERROR(VLOOKUP(A131,[1]Energiindhold!$A$2:$C$11,3,FALSE),IFERROR(VLOOKUP(A131,[1]Biogasudbytte!$A$2:$B$18,2,FALSE)*[1]Energiindhold!$C$10,0))*O131</f>
        <v>#REF!</v>
      </c>
      <c r="R131" s="192" t="e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#REF!</v>
      </c>
      <c r="S131" s="192">
        <f>IFERROR(VLOOKUP(A131,[1]Biogasudbytte!$A$2:$B$18,2,FALSE)*[1]Energiindhold!$C$10,0)*J131*IFERROR(VLOOKUP(A131,Biogasanlæg!$F$3:$G$8,2,FALSE),1)</f>
        <v>0</v>
      </c>
      <c r="T131" s="193" t="e">
        <f t="shared" ref="T131:T132" si="41">R131-S131</f>
        <v>#REF!</v>
      </c>
      <c r="U131" s="191" t="e">
        <f>O131*IFERROR(VLOOKUP(A131,[1]Tørstofindhold!A$2:B$24,2,FALSE),0)</f>
        <v>#REF!</v>
      </c>
      <c r="V131" s="192" t="e">
        <f>IF(D131=År1,P131,SUM(O131,P131))*IFERROR(VLOOKUP(A131,[1]Tørstofindhold!A$2:B$24,2,FALSE),0)</f>
        <v>#REF!</v>
      </c>
      <c r="W131" s="192">
        <f>J131*IFERROR(VLOOKUP(A131,[1]Tørstofindhold!A$2:B$24,2,FALSE),0)</f>
        <v>0</v>
      </c>
      <c r="X131" s="193" t="e">
        <f t="shared" ref="X131:X132" si="42">V131-W131</f>
        <v>#REF!</v>
      </c>
      <c r="Y131" s="171" t="e">
        <f t="shared" ref="Y131:Y194" si="43">IF(SUMIFS($N$3:$N$290,$A$3:$A$290,A131,$D$3:$D$290,D131)&lt;0,1,0)</f>
        <v>#REF!</v>
      </c>
      <c r="Z131" s="103" t="e">
        <f t="shared" ref="Z131:Z194" si="44">IF(SUMIFS($N$3:$N$290,$A$3:$A$290,A131,$D$3:$D$290,D131)&gt;0,1,0)</f>
        <v>#REF!</v>
      </c>
    </row>
    <row r="132" spans="1:26" x14ac:dyDescent="0.25">
      <c r="A132" s="194" t="str">
        <f t="shared" si="36"/>
        <v>Pyrolyseolie</v>
      </c>
      <c r="B132" s="194" t="str">
        <f t="shared" si="37"/>
        <v>Pyrolyseprodukter</v>
      </c>
      <c r="C132" s="194">
        <f>IF(COUNTIFS('Resultater - Danmark'!$D$3:$D$482,'Resultat-Produktion &amp; forbrug'!A132,'Resultater - Danmark'!$A$3:$A$482,"Til energi")+COUNTIFS('Resultater - Danmark'!$D$3:$D$482,'Resultat-Produktion &amp; forbrug'!A132,'Resultater - Danmark'!$A$3:$A$482,"Biogasanlæg")&gt;0,1,0)</f>
        <v>1</v>
      </c>
      <c r="D132" s="194">
        <f t="shared" si="35"/>
        <v>2050</v>
      </c>
      <c r="E132" s="192" t="s">
        <v>23</v>
      </c>
      <c r="F132" s="195">
        <f>IF(E132="Vestdanmark",SUMIFS(IF(D132=År1,'Resultater - Vestdanmark'!H$3:H$482,IF(D132=År2,'Resultater - Vestdanmark'!I$3:I$482,'Resultater - Vestdanmark'!J$3:J$482)),'Resultater - Vestdanmark'!$F$3:$F$482,$A132,IF(D132=År1,'Resultater - Vestdanmark'!H$3:H$482,IF(D132=År2,'Resultater - Vestdanmark'!I$3:I$482,'Resultater - Vestdanmark'!J$3:J$482)),"&gt;0"),SUMIFS(IF(D132=År1,'Resultater - Østdanmark'!H$3:H$482,IF(D132=År2,'Resultater - Østdanmark'!I$3:I$482,'Resultater - Østdanmark'!J$3:J$482)),'Resultater - Østdanmark'!$F$3:$F$482,$A132,IF(D132=År1,'Resultater - Østdanmark'!H$3:H$482,IF(D132=År2,'Resultater - Østdanmark'!I$3:I$482,'Resultater - Østdanmark'!J$3:J$482)),"&gt;0"))</f>
        <v>0</v>
      </c>
      <c r="G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92">
        <f>IF(E132="Vestdanmark",-IF(A132="Halm",SUMIFS(IF(D132=År1,'Resultater - Vestdanmark'!H$3:H$482,IF(D132=År2,'Resultater - Vestdanmark'!I$3:I$482,'Resultater - Vestdanmark'!J$3:J$482)),'Resultater - Vestdanmark'!$F$3:$F$482,$A132,'Resultater - Vestdanmark'!H$3:H$482,"&lt;0"),0),-IF(A132="Halm",SUMIFS(IF(D132=År1,'Resultater - Østdanmark'!H$3:H$482,IF(D132=År2,'Resultater - Østdanmark'!I$3:I$482,'Resultater - Østdanmark'!J$3:J$482)),'Resultater - Østdanmark'!$F$3:$F$482,$A132,'Resultater - Østdanmark'!H$3:H$482,"&lt;0"),0))</f>
        <v>0</v>
      </c>
      <c r="I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5" t="e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#REF!</v>
      </c>
      <c r="M132" s="157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204" t="e">
        <f t="shared" si="38"/>
        <v>#REF!</v>
      </c>
      <c r="O132" s="195" t="e">
        <f t="shared" si="39"/>
        <v>#REF!</v>
      </c>
      <c r="P132" s="205" t="e">
        <f t="shared" si="40"/>
        <v>#REF!</v>
      </c>
      <c r="Q132" s="192" t="e">
        <f>IFERROR(VLOOKUP(A132,[1]Energiindhold!$A$2:$C$11,3,FALSE),IFERROR(VLOOKUP(A132,[1]Biogasudbytte!$A$2:$B$18,2,FALSE)*[1]Energiindhold!$C$10,0))*O132</f>
        <v>#REF!</v>
      </c>
      <c r="R132" s="192" t="e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#REF!</v>
      </c>
      <c r="S132" s="192">
        <f>IFERROR(VLOOKUP(A132,[1]Biogasudbytte!$A$2:$B$18,2,FALSE)*[1]Energiindhold!$C$10,0)*J132*IFERROR(VLOOKUP(A132,Biogasanlæg!$F$3:$G$8,2,FALSE),1)</f>
        <v>0</v>
      </c>
      <c r="T132" s="193" t="e">
        <f t="shared" si="41"/>
        <v>#REF!</v>
      </c>
      <c r="U132" s="191" t="e">
        <f>O132*IFERROR(VLOOKUP(A132,[1]Tørstofindhold!A$2:B$24,2,FALSE),0)</f>
        <v>#REF!</v>
      </c>
      <c r="V132" s="192" t="e">
        <f>IF(D132=År1,P132,SUM(O132,P132))*IFERROR(VLOOKUP(A132,[1]Tørstofindhold!A$2:B$24,2,FALSE),0)</f>
        <v>#REF!</v>
      </c>
      <c r="W132" s="192">
        <f>J132*IFERROR(VLOOKUP(A132,[1]Tørstofindhold!A$2:B$24,2,FALSE),0)</f>
        <v>0</v>
      </c>
      <c r="X132" s="193" t="e">
        <f t="shared" si="42"/>
        <v>#REF!</v>
      </c>
      <c r="Y132" s="171" t="e">
        <f t="shared" si="43"/>
        <v>#REF!</v>
      </c>
      <c r="Z132" s="103" t="e">
        <f t="shared" si="44"/>
        <v>#REF!</v>
      </c>
    </row>
    <row r="133" spans="1:26" x14ac:dyDescent="0.25">
      <c r="A133" s="194" t="str">
        <f t="shared" ref="A133:A146" si="45">A85</f>
        <v>Råmælk</v>
      </c>
      <c r="B133" s="194" t="str">
        <f t="shared" ref="B133:B146" si="46">IF(B85&lt;&gt;"",B85,"")</f>
        <v/>
      </c>
      <c r="C133" s="194">
        <f>IF(COUNTIFS('Resultater - Danmark'!$D$3:$D$482,'Resultat-Produktion &amp; forbrug'!A133,'Resultater - Danmark'!$A$3:$A$482,"Til energi")+COUNTIFS('Resultater - Danmark'!$D$3:$D$482,'Resultat-Produktion &amp; forbrug'!A133,'Resultater - Danmark'!$A$3:$A$482,"Biogasanlæg")&gt;0,1,0)</f>
        <v>0</v>
      </c>
      <c r="D133" s="194">
        <f t="shared" si="35"/>
        <v>2050</v>
      </c>
      <c r="E133" s="192" t="s">
        <v>23</v>
      </c>
      <c r="F133" s="195">
        <f>IF(E133="Vestdanmark",SUMIFS(IF(D133=År1,'Resultater - Vestdanmark'!H$3:H$482,IF(D133=År2,'Resultater - Vestdanmark'!I$3:I$482,'Resultater - Vestdanmark'!J$3:J$482)),'Resultater - Vestdanmark'!$F$3:$F$482,$A133,IF(D133=År1,'Resultater - Vestdanmark'!H$3:H$482,IF(D133=År2,'Resultater - Vestdanmark'!I$3:I$482,'Resultater - Vestdanmark'!J$3:J$482)),"&gt;0"),SUMIFS(IF(D133=År1,'Resultater - Østdanmark'!H$3:H$482,IF(D133=År2,'Resultater - Østdanmark'!I$3:I$482,'Resultater - Østdanmark'!J$3:J$482)),'Resultater - Østdanmark'!$F$3:$F$482,$A133,IF(D133=År1,'Resultater - Østdanmark'!H$3:H$482,IF(D133=År2,'Resultater - Østdanmark'!I$3:I$482,'Resultater - Østdanmark'!J$3:J$482)),"&gt;0"))</f>
        <v>0</v>
      </c>
      <c r="G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92">
        <f>IF(E133="Vestdanmark",-IF(A133="Halm",SUMIFS(IF(D133=År1,'Resultater - Vestdanmark'!H$3:H$482,IF(D133=År2,'Resultater - Vestdanmark'!I$3:I$482,'Resultater - Vestdanmark'!J$3:J$482)),'Resultater - Vestdanmark'!$F$3:$F$482,$A133,'Resultater - Vestdanmark'!H$3:H$482,"&lt;0"),0),-IF(A133="Halm",SUMIFS(IF(D133=År1,'Resultater - Østdanmark'!H$3:H$482,IF(D133=År2,'Resultater - Østdanmark'!I$3:I$482,'Resultater - Østdanmark'!J$3:J$482)),'Resultater - Østdanmark'!$F$3:$F$482,$A133,'Resultater - Østdanmark'!H$3:H$482,"&lt;0"),0))</f>
        <v>0</v>
      </c>
      <c r="I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5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7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204">
        <f t="shared" si="23"/>
        <v>0</v>
      </c>
      <c r="O133" s="195">
        <f t="shared" si="39"/>
        <v>0</v>
      </c>
      <c r="P133" s="205">
        <f t="shared" si="24"/>
        <v>0</v>
      </c>
      <c r="Q133" s="192">
        <f>IFERROR(VLOOKUP(A133,[1]Energiindhold!$A$2:$C$11,3,FALSE),IFERROR(VLOOKUP(A133,[1]Biogasudbytte!$A$2:$B$18,2,FALSE)*[1]Energiindhold!$C$10,0))*O133</f>
        <v>0</v>
      </c>
      <c r="R133" s="192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92">
        <f>IFERROR(VLOOKUP(A133,[1]Biogasudbytte!$A$2:$B$18,2,FALSE)*[1]Energiindhold!$C$10,0)*J133*IFERROR(VLOOKUP(A133,Biogasanlæg!$F$3:$G$8,2,FALSE),1)</f>
        <v>0</v>
      </c>
      <c r="T133" s="193">
        <f t="shared" si="25"/>
        <v>0</v>
      </c>
      <c r="U133" s="191">
        <f>O133*IFERROR(VLOOKUP(A133,[1]Tørstofindhold!A$2:B$24,2,FALSE),0)</f>
        <v>0</v>
      </c>
      <c r="V133" s="192">
        <f>IF(D133=År1,P133,SUM(O133,P133))*IFERROR(VLOOKUP(A133,[1]Tørstofindhold!A$2:B$24,2,FALSE),0)</f>
        <v>0</v>
      </c>
      <c r="W133" s="192">
        <f>J133*IFERROR(VLOOKUP(A133,[1]Tørstofindhold!A$2:B$24,2,FALSE),0)</f>
        <v>0</v>
      </c>
      <c r="X133" s="193">
        <f t="shared" si="26"/>
        <v>0</v>
      </c>
      <c r="Y133" s="171">
        <f t="shared" si="43"/>
        <v>0</v>
      </c>
      <c r="Z133" s="103">
        <f t="shared" si="44"/>
        <v>0</v>
      </c>
    </row>
    <row r="134" spans="1:26" x14ac:dyDescent="0.25">
      <c r="A134" s="194" t="str">
        <f t="shared" si="45"/>
        <v>Raps</v>
      </c>
      <c r="B134" s="194" t="str">
        <f t="shared" si="46"/>
        <v/>
      </c>
      <c r="C134" s="194">
        <f>IF(COUNTIFS('Resultater - Danmark'!$D$3:$D$482,'Resultat-Produktion &amp; forbrug'!A134,'Resultater - Danmark'!$A$3:$A$482,"Til energi")+COUNTIFS('Resultater - Danmark'!$D$3:$D$482,'Resultat-Produktion &amp; forbrug'!A134,'Resultater - Danmark'!$A$3:$A$482,"Biogasanlæg")&gt;0,1,0)</f>
        <v>0</v>
      </c>
      <c r="D134" s="194">
        <f t="shared" si="35"/>
        <v>2050</v>
      </c>
      <c r="E134" s="192" t="s">
        <v>23</v>
      </c>
      <c r="F134" s="195">
        <f>IF(E134="Vestdanmark",SUMIFS(IF(D134=År1,'Resultater - Vestdanmark'!H$3:H$482,IF(D134=År2,'Resultater - Vestdanmark'!I$3:I$482,'Resultater - Vestdanmark'!J$3:J$482)),'Resultater - Vestdanmark'!$F$3:$F$482,$A134,IF(D134=År1,'Resultater - Vestdanmark'!H$3:H$482,IF(D134=År2,'Resultater - Vestdanmark'!I$3:I$482,'Resultater - Vestdanmark'!J$3:J$482)),"&gt;0"),SUMIFS(IF(D134=År1,'Resultater - Østdanmark'!H$3:H$482,IF(D134=År2,'Resultater - Østdanmark'!I$3:I$482,'Resultater - Østdanmark'!J$3:J$482)),'Resultater - Østdanmark'!$F$3:$F$482,$A134,IF(D134=År1,'Resultater - Østdanmark'!H$3:H$482,IF(D134=År2,'Resultater - Østdanmark'!I$3:I$482,'Resultater - Østdanmark'!J$3:J$482)),"&gt;0"))</f>
        <v>0</v>
      </c>
      <c r="G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92">
        <f>IF(E134="Vestdanmark",-IF(A134="Halm",SUMIFS(IF(D134=År1,'Resultater - Vestdanmark'!H$3:H$482,IF(D134=År2,'Resultater - Vestdanmark'!I$3:I$482,'Resultater - Vestdanmark'!J$3:J$482)),'Resultater - Vestdanmark'!$F$3:$F$482,$A134,'Resultater - Vestdanmark'!H$3:H$482,"&lt;0"),0),-IF(A134="Halm",SUMIFS(IF(D134=År1,'Resultater - Østdanmark'!H$3:H$482,IF(D134=År2,'Resultater - Østdanmark'!I$3:I$482,'Resultater - Østdanmark'!J$3:J$482)),'Resultater - Østdanmark'!$F$3:$F$482,$A134,'Resultater - Østdanmark'!H$3:H$482,"&lt;0"),0))</f>
        <v>0</v>
      </c>
      <c r="I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5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7" t="e">
        <f>SUMIFS('Forbrug af biomasse'!E:E,'Forbrug af biomasse'!C:C,'Resultat-Produktion &amp; forbrug'!$A134,'Forbrug af biomasse'!D:D,'Resultat-Produktion &amp; forbrug'!$D134,'Forbrug af biomasse'!G:G,1,'Forbrug af biomasse'!B:B,$E134)</f>
        <v>#REF!</v>
      </c>
      <c r="N134" s="204" t="e">
        <f t="shared" si="23"/>
        <v>#REF!</v>
      </c>
      <c r="O134" s="195">
        <f t="shared" si="39"/>
        <v>0</v>
      </c>
      <c r="P134" s="205">
        <f t="shared" si="24"/>
        <v>0</v>
      </c>
      <c r="Q134" s="192">
        <f>IFERROR(VLOOKUP(A134,[1]Energiindhold!$A$2:$C$11,3,FALSE),IFERROR(VLOOKUP(A134,[1]Biogasudbytte!$A$2:$B$18,2,FALSE)*[1]Energiindhold!$C$10,0))*O134</f>
        <v>0</v>
      </c>
      <c r="R134" s="192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92">
        <f>IFERROR(VLOOKUP(A134,[1]Biogasudbytte!$A$2:$B$18,2,FALSE)*[1]Energiindhold!$C$10,0)*J134*IFERROR(VLOOKUP(A134,Biogasanlæg!$F$3:$G$8,2,FALSE),1)</f>
        <v>0</v>
      </c>
      <c r="T134" s="193">
        <f t="shared" si="25"/>
        <v>0</v>
      </c>
      <c r="U134" s="191">
        <f>O134*IFERROR(VLOOKUP(A134,[1]Tørstofindhold!A$2:B$24,2,FALSE),0)</f>
        <v>0</v>
      </c>
      <c r="V134" s="192">
        <f>IF(D134=År1,P134,SUM(O134,P134))*IFERROR(VLOOKUP(A134,[1]Tørstofindhold!A$2:B$24,2,FALSE),0)</f>
        <v>0</v>
      </c>
      <c r="W134" s="192">
        <f>J134*IFERROR(VLOOKUP(A134,[1]Tørstofindhold!A$2:B$24,2,FALSE),0)</f>
        <v>0</v>
      </c>
      <c r="X134" s="193">
        <f t="shared" si="26"/>
        <v>0</v>
      </c>
      <c r="Y134" s="171" t="e">
        <f t="shared" si="43"/>
        <v>#REF!</v>
      </c>
      <c r="Z134" s="103" t="e">
        <f t="shared" si="44"/>
        <v>#REF!</v>
      </c>
    </row>
    <row r="135" spans="1:26" x14ac:dyDescent="0.25">
      <c r="A135" s="194" t="str">
        <f t="shared" si="45"/>
        <v>Rapskage</v>
      </c>
      <c r="B135" s="194" t="str">
        <f t="shared" si="46"/>
        <v/>
      </c>
      <c r="C135" s="194">
        <f>IF(COUNTIFS('Resultater - Danmark'!$D$3:$D$482,'Resultat-Produktion &amp; forbrug'!A135,'Resultater - Danmark'!$A$3:$A$482,"Til energi")+COUNTIFS('Resultater - Danmark'!$D$3:$D$482,'Resultat-Produktion &amp; forbrug'!A135,'Resultater - Danmark'!$A$3:$A$482,"Biogasanlæg")&gt;0,1,0)</f>
        <v>0</v>
      </c>
      <c r="D135" s="194">
        <f t="shared" si="35"/>
        <v>2050</v>
      </c>
      <c r="E135" s="192" t="s">
        <v>23</v>
      </c>
      <c r="F135" s="195">
        <f>IF(E135="Vestdanmark",SUMIFS(IF(D135=År1,'Resultater - Vestdanmark'!H$3:H$482,IF(D135=År2,'Resultater - Vestdanmark'!I$3:I$482,'Resultater - Vestdanmark'!J$3:J$482)),'Resultater - Vestdanmark'!$F$3:$F$482,$A135,IF(D135=År1,'Resultater - Vestdanmark'!H$3:H$482,IF(D135=År2,'Resultater - Vestdanmark'!I$3:I$482,'Resultater - Vestdanmark'!J$3:J$482)),"&gt;0"),SUMIFS(IF(D135=År1,'Resultater - Østdanmark'!H$3:H$482,IF(D135=År2,'Resultater - Østdanmark'!I$3:I$482,'Resultater - Østdanmark'!J$3:J$482)),'Resultater - Østdanmark'!$F$3:$F$482,$A135,IF(D135=År1,'Resultater - Østdanmark'!H$3:H$482,IF(D135=År2,'Resultater - Østdanmark'!I$3:I$482,'Resultater - Østdanmark'!J$3:J$482)),"&gt;0"))</f>
        <v>0</v>
      </c>
      <c r="G135" s="195" t="e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#REF!</v>
      </c>
      <c r="H135" s="192">
        <f>IF(E135="Vestdanmark",-IF(A135="Halm",SUMIFS(IF(D135=År1,'Resultater - Vestdanmark'!H$3:H$482,IF(D135=År2,'Resultater - Vestdanmark'!I$3:I$482,'Resultater - Vestdanmark'!J$3:J$482)),'Resultater - Vestdanmark'!$F$3:$F$482,$A135,'Resultater - Vestdanmark'!H$3:H$482,"&lt;0"),0),-IF(A135="Halm",SUMIFS(IF(D135=År1,'Resultater - Østdanmark'!H$3:H$482,IF(D135=År2,'Resultater - Østdanmark'!I$3:I$482,'Resultater - Østdanmark'!J$3:J$482)),'Resultater - Østdanmark'!$F$3:$F$482,$A135,'Resultater - Østdanmark'!H$3:H$482,"&lt;0"),0))</f>
        <v>0</v>
      </c>
      <c r="I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5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7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204" t="e">
        <f t="shared" si="23"/>
        <v>#REF!</v>
      </c>
      <c r="O135" s="195">
        <f t="shared" si="39"/>
        <v>0</v>
      </c>
      <c r="P135" s="205">
        <f t="shared" si="24"/>
        <v>0</v>
      </c>
      <c r="Q135" s="192">
        <f>IFERROR(VLOOKUP(A135,[1]Energiindhold!$A$2:$C$11,3,FALSE),IFERROR(VLOOKUP(A135,[1]Biogasudbytte!$A$2:$B$18,2,FALSE)*[1]Energiindhold!$C$10,0))*O135</f>
        <v>0</v>
      </c>
      <c r="R135" s="192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92">
        <f>IFERROR(VLOOKUP(A135,[1]Biogasudbytte!$A$2:$B$18,2,FALSE)*[1]Energiindhold!$C$10,0)*J135*IFERROR(VLOOKUP(A135,Biogasanlæg!$F$3:$G$8,2,FALSE),1)</f>
        <v>0</v>
      </c>
      <c r="T135" s="193">
        <f t="shared" si="25"/>
        <v>0</v>
      </c>
      <c r="U135" s="191">
        <f>O135*IFERROR(VLOOKUP(A135,[1]Tørstofindhold!A$2:B$24,2,FALSE),0)</f>
        <v>0</v>
      </c>
      <c r="V135" s="192">
        <f>IF(D135=År1,P135,SUM(O135,P135))*IFERROR(VLOOKUP(A135,[1]Tørstofindhold!A$2:B$24,2,FALSE),0)</f>
        <v>0</v>
      </c>
      <c r="W135" s="192">
        <f>J135*IFERROR(VLOOKUP(A135,[1]Tørstofindhold!A$2:B$24,2,FALSE),0)</f>
        <v>0</v>
      </c>
      <c r="X135" s="193">
        <f t="shared" si="26"/>
        <v>0</v>
      </c>
      <c r="Y135" s="171" t="e">
        <f t="shared" si="43"/>
        <v>#REF!</v>
      </c>
      <c r="Z135" s="103" t="e">
        <f t="shared" si="44"/>
        <v>#REF!</v>
      </c>
    </row>
    <row r="136" spans="1:26" x14ac:dyDescent="0.25">
      <c r="A136" s="194" t="str">
        <f t="shared" si="45"/>
        <v>Rapsolie</v>
      </c>
      <c r="B136" s="194" t="str">
        <f t="shared" si="46"/>
        <v>Rapsolie</v>
      </c>
      <c r="C136" s="194">
        <f>IF(COUNTIFS('Resultater - Danmark'!$D$3:$D$482,'Resultat-Produktion &amp; forbrug'!A136,'Resultater - Danmark'!$A$3:$A$482,"Til energi")+COUNTIFS('Resultater - Danmark'!$D$3:$D$482,'Resultat-Produktion &amp; forbrug'!A136,'Resultater - Danmark'!$A$3:$A$482,"Biogasanlæg")&gt;0,1,0)</f>
        <v>1</v>
      </c>
      <c r="D136" s="194">
        <f t="shared" si="35"/>
        <v>2050</v>
      </c>
      <c r="E136" s="192" t="s">
        <v>23</v>
      </c>
      <c r="F136" s="195">
        <f>IF(E136="Vestdanmark",SUMIFS(IF(D136=År1,'Resultater - Vestdanmark'!H$3:H$482,IF(D136=År2,'Resultater - Vestdanmark'!I$3:I$482,'Resultater - Vestdanmark'!J$3:J$482)),'Resultater - Vestdanmark'!$F$3:$F$482,$A136,IF(D136=År1,'Resultater - Vestdanmark'!H$3:H$482,IF(D136=År2,'Resultater - Vestdanmark'!I$3:I$482,'Resultater - Vestdanmark'!J$3:J$482)),"&gt;0"),SUMIFS(IF(D136=År1,'Resultater - Østdanmark'!H$3:H$482,IF(D136=År2,'Resultater - Østdanmark'!I$3:I$482,'Resultater - Østdanmark'!J$3:J$482)),'Resultater - Østdanmark'!$F$3:$F$482,$A136,IF(D136=År1,'Resultater - Østdanmark'!H$3:H$482,IF(D136=År2,'Resultater - Østdanmark'!I$3:I$482,'Resultater - Østdanmark'!J$3:J$482)),"&gt;0"))</f>
        <v>0</v>
      </c>
      <c r="G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92">
        <f>IF(E136="Vestdanmark",-IF(A136="Halm",SUMIFS(IF(D136=År1,'Resultater - Vestdanmark'!H$3:H$482,IF(D136=År2,'Resultater - Vestdanmark'!I$3:I$482,'Resultater - Vestdanmark'!J$3:J$482)),'Resultater - Vestdanmark'!$F$3:$F$482,$A136,'Resultater - Vestdanmark'!H$3:H$482,"&lt;0"),0),-IF(A136="Halm",SUMIFS(IF(D136=År1,'Resultater - Østdanmark'!H$3:H$482,IF(D136=År2,'Resultater - Østdanmark'!I$3:I$482,'Resultater - Østdanmark'!J$3:J$482)),'Resultater - Østdanmark'!$F$3:$F$482,$A136,'Resultater - Østdanmark'!H$3:H$482,"&lt;0"),0))</f>
        <v>0</v>
      </c>
      <c r="I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5" t="e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#REF!</v>
      </c>
      <c r="M136" s="157" t="e">
        <f>SUMIFS('Forbrug af biomasse'!E:E,'Forbrug af biomasse'!C:C,'Resultat-Produktion &amp; forbrug'!$A136,'Forbrug af biomasse'!D:D,'Resultat-Produktion &amp; forbrug'!$D136,'Forbrug af biomasse'!G:G,1,'Forbrug af biomasse'!B:B,$E136)</f>
        <v>#REF!</v>
      </c>
      <c r="N136" s="204" t="e">
        <f t="shared" si="23"/>
        <v>#REF!</v>
      </c>
      <c r="O136" s="195" t="e">
        <f t="shared" si="39"/>
        <v>#REF!</v>
      </c>
      <c r="P136" s="205" t="e">
        <f t="shared" si="24"/>
        <v>#REF!</v>
      </c>
      <c r="Q136" s="192" t="e">
        <f>IFERROR(VLOOKUP(A136,[1]Energiindhold!$A$2:$C$11,3,FALSE),IFERROR(VLOOKUP(A136,[1]Biogasudbytte!$A$2:$B$18,2,FALSE)*[1]Energiindhold!$C$10,0))*O136</f>
        <v>#REF!</v>
      </c>
      <c r="R136" s="192" t="e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#REF!</v>
      </c>
      <c r="S136" s="192">
        <f>IFERROR(VLOOKUP(A136,[1]Biogasudbytte!$A$2:$B$18,2,FALSE)*[1]Energiindhold!$C$10,0)*J136*IFERROR(VLOOKUP(A136,Biogasanlæg!$F$3:$G$8,2,FALSE),1)</f>
        <v>0</v>
      </c>
      <c r="T136" s="193" t="e">
        <f t="shared" si="25"/>
        <v>#REF!</v>
      </c>
      <c r="U136" s="191" t="e">
        <f>O136*IFERROR(VLOOKUP(A136,[1]Tørstofindhold!A$2:B$24,2,FALSE),0)</f>
        <v>#REF!</v>
      </c>
      <c r="V136" s="192" t="e">
        <f>IF(D136=År1,P136,SUM(O136,P136))*IFERROR(VLOOKUP(A136,[1]Tørstofindhold!A$2:B$24,2,FALSE),0)</f>
        <v>#REF!</v>
      </c>
      <c r="W136" s="192">
        <f>J136*IFERROR(VLOOKUP(A136,[1]Tørstofindhold!A$2:B$24,2,FALSE),0)</f>
        <v>0</v>
      </c>
      <c r="X136" s="193" t="e">
        <f t="shared" si="26"/>
        <v>#REF!</v>
      </c>
      <c r="Y136" s="171" t="e">
        <f t="shared" si="43"/>
        <v>#REF!</v>
      </c>
      <c r="Z136" s="103" t="e">
        <f t="shared" si="44"/>
        <v>#REF!</v>
      </c>
    </row>
    <row r="137" spans="1:26" x14ac:dyDescent="0.25">
      <c r="A137" s="194" t="str">
        <f t="shared" si="45"/>
        <v>Roer</v>
      </c>
      <c r="B137" s="194" t="str">
        <f t="shared" si="46"/>
        <v>Græs og urter</v>
      </c>
      <c r="C137" s="194">
        <f>IF(COUNTIFS('Resultater - Danmark'!$D$3:$D$482,'Resultat-Produktion &amp; forbrug'!A137,'Resultater - Danmark'!$A$3:$A$482,"Til energi")+COUNTIFS('Resultater - Danmark'!$D$3:$D$482,'Resultat-Produktion &amp; forbrug'!A137,'Resultater - Danmark'!$A$3:$A$482,"Biogasanlæg")&gt;0,1,0)</f>
        <v>1</v>
      </c>
      <c r="D137" s="194">
        <f t="shared" si="35"/>
        <v>2050</v>
      </c>
      <c r="E137" s="192" t="s">
        <v>23</v>
      </c>
      <c r="F137" s="195">
        <f>IF(E137="Vestdanmark",SUMIFS(IF(D137=År1,'Resultater - Vestdanmark'!H$3:H$482,IF(D137=År2,'Resultater - Vestdanmark'!I$3:I$482,'Resultater - Vestdanmark'!J$3:J$482)),'Resultater - Vestdanmark'!$F$3:$F$482,$A137,IF(D137=År1,'Resultater - Vestdanmark'!H$3:H$482,IF(D137=År2,'Resultater - Vestdanmark'!I$3:I$482,'Resultater - Vestdanmark'!J$3:J$482)),"&gt;0"),SUMIFS(IF(D137=År1,'Resultater - Østdanmark'!H$3:H$482,IF(D137=År2,'Resultater - Østdanmark'!I$3:I$482,'Resultater - Østdanmark'!J$3:J$482)),'Resultater - Østdanmark'!$F$3:$F$482,$A137,IF(D137=År1,'Resultater - Østdanmark'!H$3:H$482,IF(D137=År2,'Resultater - Østdanmark'!I$3:I$482,'Resultater - Østdanmark'!J$3:J$482)),"&gt;0"))</f>
        <v>0</v>
      </c>
      <c r="G137" s="195" t="e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#REF!</v>
      </c>
      <c r="H137" s="192">
        <f>IF(E137="Vestdanmark",-IF(A137="Halm",SUMIFS(IF(D137=År1,'Resultater - Vestdanmark'!H$3:H$482,IF(D137=År2,'Resultater - Vestdanmark'!I$3:I$482,'Resultater - Vestdanmark'!J$3:J$482)),'Resultater - Vestdanmark'!$F$3:$F$482,$A137,'Resultater - Vestdanmark'!H$3:H$482,"&lt;0"),0),-IF(A137="Halm",SUMIFS(IF(D137=År1,'Resultater - Østdanmark'!H$3:H$482,IF(D137=År2,'Resultater - Østdanmark'!I$3:I$482,'Resultater - Østdanmark'!J$3:J$482)),'Resultater - Østdanmark'!$F$3:$F$482,$A137,'Resultater - Østdanmark'!H$3:H$482,"&lt;0"),0))</f>
        <v>0</v>
      </c>
      <c r="I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5" t="e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#REF!</v>
      </c>
      <c r="K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5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7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204" t="e">
        <f t="shared" si="23"/>
        <v>#REF!</v>
      </c>
      <c r="O137" s="195" t="e">
        <f t="shared" si="39"/>
        <v>#REF!</v>
      </c>
      <c r="P137" s="205" t="e">
        <f t="shared" si="24"/>
        <v>#REF!</v>
      </c>
      <c r="Q137" s="192" t="e">
        <f>IFERROR(VLOOKUP(A137,[1]Energiindhold!$A$2:$C$11,3,FALSE),IFERROR(VLOOKUP(A137,[1]Biogasudbytte!$A$2:$B$18,2,FALSE)*[1]Energiindhold!$C$10,0))*O137</f>
        <v>#REF!</v>
      </c>
      <c r="R137" s="192" t="e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#REF!</v>
      </c>
      <c r="S137" s="192" t="e">
        <f>IFERROR(VLOOKUP(A137,[1]Biogasudbytte!$A$2:$B$18,2,FALSE)*[1]Energiindhold!$C$10,0)*J137*IFERROR(VLOOKUP(A137,Biogasanlæg!$F$3:$G$8,2,FALSE),1)</f>
        <v>#REF!</v>
      </c>
      <c r="T137" s="193" t="e">
        <f t="shared" si="25"/>
        <v>#REF!</v>
      </c>
      <c r="U137" s="191" t="e">
        <f>O137*IFERROR(VLOOKUP(A137,[1]Tørstofindhold!A$2:B$24,2,FALSE),0)</f>
        <v>#REF!</v>
      </c>
      <c r="V137" s="192" t="e">
        <f>IF(D137=År1,P137,SUM(O137,P137))*IFERROR(VLOOKUP(A137,[1]Tørstofindhold!A$2:B$24,2,FALSE),0)</f>
        <v>#REF!</v>
      </c>
      <c r="W137" s="192" t="e">
        <f>J137*IFERROR(VLOOKUP(A137,[1]Tørstofindhold!A$2:B$24,2,FALSE),0)</f>
        <v>#REF!</v>
      </c>
      <c r="X137" s="193" t="e">
        <f t="shared" si="26"/>
        <v>#REF!</v>
      </c>
      <c r="Y137" s="171" t="e">
        <f t="shared" si="43"/>
        <v>#REF!</v>
      </c>
      <c r="Z137" s="103" t="e">
        <f t="shared" si="44"/>
        <v>#REF!</v>
      </c>
    </row>
    <row r="138" spans="1:26" x14ac:dyDescent="0.25">
      <c r="A138" s="194" t="str">
        <f t="shared" si="45"/>
        <v>Slagteriaffald til andet</v>
      </c>
      <c r="B138" s="194" t="str">
        <f t="shared" si="46"/>
        <v/>
      </c>
      <c r="C138" s="194">
        <f>IF(COUNTIFS('Resultater - Danmark'!$D$3:$D$482,'Resultat-Produktion &amp; forbrug'!A138,'Resultater - Danmark'!$A$3:$A$482,"Til energi")+COUNTIFS('Resultater - Danmark'!$D$3:$D$482,'Resultat-Produktion &amp; forbrug'!A138,'Resultater - Danmark'!$A$3:$A$482,"Biogasanlæg")&gt;0,1,0)</f>
        <v>0</v>
      </c>
      <c r="D138" s="194">
        <f t="shared" si="35"/>
        <v>2050</v>
      </c>
      <c r="E138" s="192" t="s">
        <v>23</v>
      </c>
      <c r="F138" s="195">
        <f>IF(E138="Vestdanmark",SUMIFS(IF(D138=År1,'Resultater - Vestdanmark'!H$3:H$482,IF(D138=År2,'Resultater - Vestdanmark'!I$3:I$482,'Resultater - Vestdanmark'!J$3:J$482)),'Resultater - Vestdanmark'!$F$3:$F$482,$A138,IF(D138=År1,'Resultater - Vestdanmark'!H$3:H$482,IF(D138=År2,'Resultater - Vestdanmark'!I$3:I$482,'Resultater - Vestdanmark'!J$3:J$482)),"&gt;0"),SUMIFS(IF(D138=År1,'Resultater - Østdanmark'!H$3:H$482,IF(D138=År2,'Resultater - Østdanmark'!I$3:I$482,'Resultater - Østdanmark'!J$3:J$482)),'Resultater - Østdanmark'!$F$3:$F$482,$A138,IF(D138=År1,'Resultater - Østdanmark'!H$3:H$482,IF(D138=År2,'Resultater - Østdanmark'!I$3:I$482,'Resultater - Østdanmark'!J$3:J$482)),"&gt;0"))</f>
        <v>0</v>
      </c>
      <c r="G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92">
        <f>IF(E138="Vestdanmark",-IF(A138="Halm",SUMIFS(IF(D138=År1,'Resultater - Vestdanmark'!H$3:H$482,IF(D138=År2,'Resultater - Vestdanmark'!I$3:I$482,'Resultater - Vestdanmark'!J$3:J$482)),'Resultater - Vestdanmark'!$F$3:$F$482,$A138,'Resultater - Vestdanmark'!H$3:H$482,"&lt;0"),0),-IF(A138="Halm",SUMIFS(IF(D138=År1,'Resultater - Østdanmark'!H$3:H$482,IF(D138=År2,'Resultater - Østdanmark'!I$3:I$482,'Resultater - Østdanmark'!J$3:J$482)),'Resultater - Østdanmark'!$F$3:$F$482,$A138,'Resultater - Østdanmark'!H$3:H$482,"&lt;0"),0))</f>
        <v>0</v>
      </c>
      <c r="I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5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7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204">
        <f t="shared" si="23"/>
        <v>0</v>
      </c>
      <c r="O138" s="195">
        <f t="shared" si="39"/>
        <v>0</v>
      </c>
      <c r="P138" s="205">
        <f t="shared" si="24"/>
        <v>0</v>
      </c>
      <c r="Q138" s="192">
        <f>IFERROR(VLOOKUP(A138,[1]Energiindhold!$A$2:$C$11,3,FALSE),IFERROR(VLOOKUP(A138,[1]Biogasudbytte!$A$2:$B$18,2,FALSE)*[1]Energiindhold!$C$10,0))*O138</f>
        <v>0</v>
      </c>
      <c r="R138" s="192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92">
        <f>IFERROR(VLOOKUP(A138,[1]Biogasudbytte!$A$2:$B$18,2,FALSE)*[1]Energiindhold!$C$10,0)*J138*IFERROR(VLOOKUP(A138,Biogasanlæg!$F$3:$G$8,2,FALSE),1)</f>
        <v>0</v>
      </c>
      <c r="T138" s="193">
        <f t="shared" si="25"/>
        <v>0</v>
      </c>
      <c r="U138" s="191">
        <f>O138*IFERROR(VLOOKUP(A138,[1]Tørstofindhold!A$2:B$24,2,FALSE),0)</f>
        <v>0</v>
      </c>
      <c r="V138" s="192">
        <f>IF(D138=År1,P138,SUM(O138,P138))*IFERROR(VLOOKUP(A138,[1]Tørstofindhold!A$2:B$24,2,FALSE),0)</f>
        <v>0</v>
      </c>
      <c r="W138" s="192">
        <f>J138*IFERROR(VLOOKUP(A138,[1]Tørstofindhold!A$2:B$24,2,FALSE),0)</f>
        <v>0</v>
      </c>
      <c r="X138" s="193">
        <f t="shared" si="26"/>
        <v>0</v>
      </c>
      <c r="Y138" s="171">
        <f t="shared" si="43"/>
        <v>0</v>
      </c>
      <c r="Z138" s="103">
        <f t="shared" si="44"/>
        <v>0</v>
      </c>
    </row>
    <row r="139" spans="1:26" x14ac:dyDescent="0.25">
      <c r="A139" s="194" t="str">
        <f t="shared" si="45"/>
        <v>Slagteriaffald til foder</v>
      </c>
      <c r="B139" s="194" t="str">
        <f t="shared" si="46"/>
        <v/>
      </c>
      <c r="C139" s="194">
        <f>IF(COUNTIFS('Resultater - Danmark'!$D$3:$D$482,'Resultat-Produktion &amp; forbrug'!A139,'Resultater - Danmark'!$A$3:$A$482,"Til energi")+COUNTIFS('Resultater - Danmark'!$D$3:$D$482,'Resultat-Produktion &amp; forbrug'!A139,'Resultater - Danmark'!$A$3:$A$482,"Biogasanlæg")&gt;0,1,0)</f>
        <v>0</v>
      </c>
      <c r="D139" s="194">
        <f t="shared" si="35"/>
        <v>2050</v>
      </c>
      <c r="E139" s="192" t="s">
        <v>23</v>
      </c>
      <c r="F139" s="195">
        <f>IF(E139="Vestdanmark",SUMIFS(IF(D139=År1,'Resultater - Vestdanmark'!H$3:H$482,IF(D139=År2,'Resultater - Vestdanmark'!I$3:I$482,'Resultater - Vestdanmark'!J$3:J$482)),'Resultater - Vestdanmark'!$F$3:$F$482,$A139,IF(D139=År1,'Resultater - Vestdanmark'!H$3:H$482,IF(D139=År2,'Resultater - Vestdanmark'!I$3:I$482,'Resultater - Vestdanmark'!J$3:J$482)),"&gt;0"),SUMIFS(IF(D139=År1,'Resultater - Østdanmark'!H$3:H$482,IF(D139=År2,'Resultater - Østdanmark'!I$3:I$482,'Resultater - Østdanmark'!J$3:J$482)),'Resultater - Østdanmark'!$F$3:$F$482,$A139,IF(D139=År1,'Resultater - Østdanmark'!H$3:H$482,IF(D139=År2,'Resultater - Østdanmark'!I$3:I$482,'Resultater - Østdanmark'!J$3:J$482)),"&gt;0"))</f>
        <v>0</v>
      </c>
      <c r="G139" s="195" t="e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#REF!</v>
      </c>
      <c r="H139" s="192">
        <f>IF(E139="Vestdanmark",-IF(A139="Halm",SUMIFS(IF(D139=År1,'Resultater - Vestdanmark'!H$3:H$482,IF(D139=År2,'Resultater - Vestdanmark'!I$3:I$482,'Resultater - Vestdanmark'!J$3:J$482)),'Resultater - Vestdanmark'!$F$3:$F$482,$A139,'Resultater - Vestdanmark'!H$3:H$482,"&lt;0"),0),-IF(A139="Halm",SUMIFS(IF(D139=År1,'Resultater - Østdanmark'!H$3:H$482,IF(D139=År2,'Resultater - Østdanmark'!I$3:I$482,'Resultater - Østdanmark'!J$3:J$482)),'Resultater - Østdanmark'!$F$3:$F$482,$A139,'Resultater - Østdanmark'!H$3:H$482,"&lt;0"),0))</f>
        <v>0</v>
      </c>
      <c r="I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5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7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204" t="e">
        <f t="shared" si="23"/>
        <v>#REF!</v>
      </c>
      <c r="O139" s="195">
        <f t="shared" si="39"/>
        <v>0</v>
      </c>
      <c r="P139" s="205">
        <f t="shared" si="24"/>
        <v>0</v>
      </c>
      <c r="Q139" s="192">
        <f>IFERROR(VLOOKUP(A139,[1]Energiindhold!$A$2:$C$11,3,FALSE),IFERROR(VLOOKUP(A139,[1]Biogasudbytte!$A$2:$B$18,2,FALSE)*[1]Energiindhold!$C$10,0))*O139</f>
        <v>0</v>
      </c>
      <c r="R139" s="192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92">
        <f>IFERROR(VLOOKUP(A139,[1]Biogasudbytte!$A$2:$B$18,2,FALSE)*[1]Energiindhold!$C$10,0)*J139*IFERROR(VLOOKUP(A139,Biogasanlæg!$F$3:$G$8,2,FALSE),1)</f>
        <v>0</v>
      </c>
      <c r="T139" s="193">
        <f t="shared" si="25"/>
        <v>0</v>
      </c>
      <c r="U139" s="191">
        <f>O139*IFERROR(VLOOKUP(A139,[1]Tørstofindhold!A$2:B$24,2,FALSE),0)</f>
        <v>0</v>
      </c>
      <c r="V139" s="192">
        <f>IF(D139=År1,P139,SUM(O139,P139))*IFERROR(VLOOKUP(A139,[1]Tørstofindhold!A$2:B$24,2,FALSE),0)</f>
        <v>0</v>
      </c>
      <c r="W139" s="192">
        <f>J139*IFERROR(VLOOKUP(A139,[1]Tørstofindhold!A$2:B$24,2,FALSE),0)</f>
        <v>0</v>
      </c>
      <c r="X139" s="193">
        <f t="shared" si="26"/>
        <v>0</v>
      </c>
      <c r="Y139" s="171" t="e">
        <f t="shared" si="43"/>
        <v>#REF!</v>
      </c>
      <c r="Z139" s="103" t="e">
        <f t="shared" si="44"/>
        <v>#REF!</v>
      </c>
    </row>
    <row r="140" spans="1:26" x14ac:dyDescent="0.25">
      <c r="A140" s="194" t="str">
        <f t="shared" si="45"/>
        <v>Spildevandsslam</v>
      </c>
      <c r="B140" s="194" t="str">
        <f t="shared" si="46"/>
        <v>Bionedbrydeligt affald</v>
      </c>
      <c r="C140" s="194">
        <f>IF(COUNTIFS('Resultater - Danmark'!$D$3:$D$482,'Resultat-Produktion &amp; forbrug'!A140,'Resultater - Danmark'!$A$3:$A$482,"Til energi")+COUNTIFS('Resultater - Danmark'!$D$3:$D$482,'Resultat-Produktion &amp; forbrug'!A140,'Resultater - Danmark'!$A$3:$A$482,"Biogasanlæg")&gt;0,1,0)</f>
        <v>1</v>
      </c>
      <c r="D140" s="194">
        <f t="shared" si="35"/>
        <v>2050</v>
      </c>
      <c r="E140" s="192" t="s">
        <v>23</v>
      </c>
      <c r="F140" s="195">
        <f>IF(E140="Vestdanmark",SUMIFS(IF(D140=År1,'Resultater - Vestdanmark'!H$3:H$482,IF(D140=År2,'Resultater - Vestdanmark'!I$3:I$482,'Resultater - Vestdanmark'!J$3:J$482)),'Resultater - Vestdanmark'!$F$3:$F$482,$A140,IF(D140=År1,'Resultater - Vestdanmark'!H$3:H$482,IF(D140=År2,'Resultater - Vestdanmark'!I$3:I$482,'Resultater - Vestdanmark'!J$3:J$482)),"&gt;0"),SUMIFS(IF(D140=År1,'Resultater - Østdanmark'!H$3:H$482,IF(D140=År2,'Resultater - Østdanmark'!I$3:I$482,'Resultater - Østdanmark'!J$3:J$482)),'Resultater - Østdanmark'!$F$3:$F$482,$A140,IF(D140=År1,'Resultater - Østdanmark'!H$3:H$482,IF(D140=År2,'Resultater - Østdanmark'!I$3:I$482,'Resultater - Østdanmark'!J$3:J$482)),"&gt;0"))</f>
        <v>0</v>
      </c>
      <c r="G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92">
        <f>IF(E140="Vestdanmark",-IF(A140="Halm",SUMIFS(IF(D140=År1,'Resultater - Vestdanmark'!H$3:H$482,IF(D140=År2,'Resultater - Vestdanmark'!I$3:I$482,'Resultater - Vestdanmark'!J$3:J$482)),'Resultater - Vestdanmark'!$F$3:$F$482,$A140,'Resultater - Vestdanmark'!H$3:H$482,"&lt;0"),0),-IF(A140="Halm",SUMIFS(IF(D140=År1,'Resultater - Østdanmark'!H$3:H$482,IF(D140=År2,'Resultater - Østdanmark'!I$3:I$482,'Resultater - Østdanmark'!J$3:J$482)),'Resultater - Østdanmark'!$F$3:$F$482,$A140,'Resultater - Østdanmark'!H$3:H$482,"&lt;0"),0))</f>
        <v>0</v>
      </c>
      <c r="I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5" t="e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#REF!</v>
      </c>
      <c r="K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5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7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204" t="e">
        <f t="shared" si="23"/>
        <v>#REF!</v>
      </c>
      <c r="O140" s="195" t="e">
        <f t="shared" si="39"/>
        <v>#REF!</v>
      </c>
      <c r="P140" s="205" t="e">
        <f t="shared" si="24"/>
        <v>#REF!</v>
      </c>
      <c r="Q140" s="192" t="e">
        <f>IFERROR(VLOOKUP(A140,[1]Energiindhold!$A$2:$C$11,3,FALSE),IFERROR(VLOOKUP(A140,[1]Biogasudbytte!$A$2:$B$18,2,FALSE)*[1]Energiindhold!$C$10,0))*O140</f>
        <v>#REF!</v>
      </c>
      <c r="R140" s="192" t="e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#REF!</v>
      </c>
      <c r="S140" s="192" t="e">
        <f>IFERROR(VLOOKUP(A140,[1]Biogasudbytte!$A$2:$B$18,2,FALSE)*[1]Energiindhold!$C$10,0)*J140*IFERROR(VLOOKUP(A140,Biogasanlæg!$F$3:$G$8,2,FALSE),1)</f>
        <v>#REF!</v>
      </c>
      <c r="T140" s="193" t="e">
        <f t="shared" si="25"/>
        <v>#REF!</v>
      </c>
      <c r="U140" s="191" t="e">
        <f>O140*IFERROR(VLOOKUP(A140,[1]Tørstofindhold!A$2:B$24,2,FALSE),0)</f>
        <v>#REF!</v>
      </c>
      <c r="V140" s="192" t="e">
        <f>IF(D140=År1,P140,SUM(O140,P140))*IFERROR(VLOOKUP(A140,[1]Tørstofindhold!A$2:B$24,2,FALSE),0)</f>
        <v>#REF!</v>
      </c>
      <c r="W140" s="192" t="e">
        <f>J140*IFERROR(VLOOKUP(A140,[1]Tørstofindhold!A$2:B$24,2,FALSE),0)</f>
        <v>#REF!</v>
      </c>
      <c r="X140" s="193" t="e">
        <f t="shared" si="26"/>
        <v>#REF!</v>
      </c>
      <c r="Y140" s="171" t="e">
        <f t="shared" si="43"/>
        <v>#REF!</v>
      </c>
      <c r="Z140" s="103" t="e">
        <f t="shared" si="44"/>
        <v>#REF!</v>
      </c>
    </row>
    <row r="141" spans="1:26" x14ac:dyDescent="0.25">
      <c r="A141" s="194" t="str">
        <f t="shared" si="45"/>
        <v>Svinegylle</v>
      </c>
      <c r="B141" s="194" t="str">
        <f t="shared" si="46"/>
        <v>Husdyrgødning</v>
      </c>
      <c r="C141" s="194">
        <f>IF(COUNTIFS('Resultater - Danmark'!$D$3:$D$482,'Resultat-Produktion &amp; forbrug'!A141,'Resultater - Danmark'!$A$3:$A$482,"Til energi")+COUNTIFS('Resultater - Danmark'!$D$3:$D$482,'Resultat-Produktion &amp; forbrug'!A141,'Resultater - Danmark'!$A$3:$A$482,"Biogasanlæg")&gt;0,1,0)</f>
        <v>1</v>
      </c>
      <c r="D141" s="194">
        <f t="shared" si="35"/>
        <v>2050</v>
      </c>
      <c r="E141" s="192" t="s">
        <v>23</v>
      </c>
      <c r="F141" s="195">
        <f>IF(E141="Vestdanmark",SUMIFS(IF(D141=År1,'Resultater - Vestdanmark'!H$3:H$482,IF(D141=År2,'Resultater - Vestdanmark'!I$3:I$482,'Resultater - Vestdanmark'!J$3:J$482)),'Resultater - Vestdanmark'!$F$3:$F$482,$A141,IF(D141=År1,'Resultater - Vestdanmark'!H$3:H$482,IF(D141=År2,'Resultater - Vestdanmark'!I$3:I$482,'Resultater - Vestdanmark'!J$3:J$482)),"&gt;0"),SUMIFS(IF(D141=År1,'Resultater - Østdanmark'!H$3:H$482,IF(D141=År2,'Resultater - Østdanmark'!I$3:I$482,'Resultater - Østdanmark'!J$3:J$482)),'Resultater - Østdanmark'!$F$3:$F$482,$A141,IF(D141=År1,'Resultater - Østdanmark'!H$3:H$482,IF(D141=År2,'Resultater - Østdanmark'!I$3:I$482,'Resultater - Østdanmark'!J$3:J$482)),"&gt;0"))</f>
        <v>0</v>
      </c>
      <c r="G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92">
        <f>IF(E141="Vestdanmark",-IF(A141="Halm",SUMIFS(IF(D141=År1,'Resultater - Vestdanmark'!H$3:H$482,IF(D141=År2,'Resultater - Vestdanmark'!I$3:I$482,'Resultater - Vestdanmark'!J$3:J$482)),'Resultater - Vestdanmark'!$F$3:$F$482,$A141,'Resultater - Vestdanmark'!H$3:H$482,"&lt;0"),0),-IF(A141="Halm",SUMIFS(IF(D141=År1,'Resultater - Østdanmark'!H$3:H$482,IF(D141=År2,'Resultater - Østdanmark'!I$3:I$482,'Resultater - Østdanmark'!J$3:J$482)),'Resultater - Østdanmark'!$F$3:$F$482,$A141,'Resultater - Østdanmark'!H$3:H$482,"&lt;0"),0))</f>
        <v>0</v>
      </c>
      <c r="I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5" t="e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#REF!</v>
      </c>
      <c r="K141" s="195" t="e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#REF!</v>
      </c>
      <c r="L141" s="195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7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204" t="e">
        <f t="shared" si="23"/>
        <v>#REF!</v>
      </c>
      <c r="O141" s="195" t="e">
        <f t="shared" si="39"/>
        <v>#REF!</v>
      </c>
      <c r="P141" s="205" t="e">
        <f t="shared" si="24"/>
        <v>#REF!</v>
      </c>
      <c r="Q141" s="192" t="e">
        <f>IFERROR(VLOOKUP(A141,[1]Energiindhold!$A$2:$C$11,3,FALSE),IFERROR(VLOOKUP(A141,[1]Biogasudbytte!$A$2:$B$18,2,FALSE)*[1]Energiindhold!$C$10,0))*O141</f>
        <v>#REF!</v>
      </c>
      <c r="R141" s="192" t="e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#REF!</v>
      </c>
      <c r="S141" s="192" t="e">
        <f>IFERROR(VLOOKUP(A141,[1]Biogasudbytte!$A$2:$B$18,2,FALSE)*[1]Energiindhold!$C$10,0)*J141*IFERROR(VLOOKUP(A141,Biogasanlæg!$F$3:$G$8,2,FALSE),1)</f>
        <v>#REF!</v>
      </c>
      <c r="T141" s="193" t="e">
        <f t="shared" si="25"/>
        <v>#REF!</v>
      </c>
      <c r="U141" s="191" t="e">
        <f>O141*IFERROR(VLOOKUP(A141,[1]Tørstofindhold!A$2:B$24,2,FALSE),0)</f>
        <v>#REF!</v>
      </c>
      <c r="V141" s="192" t="e">
        <f>IF(D141=År1,P141,SUM(O141,P141))*IFERROR(VLOOKUP(A141,[1]Tørstofindhold!A$2:B$24,2,FALSE),0)</f>
        <v>#REF!</v>
      </c>
      <c r="W141" s="192" t="e">
        <f>J141*IFERROR(VLOOKUP(A141,[1]Tørstofindhold!A$2:B$24,2,FALSE),0)</f>
        <v>#REF!</v>
      </c>
      <c r="X141" s="193" t="e">
        <f t="shared" si="26"/>
        <v>#REF!</v>
      </c>
      <c r="Y141" s="171" t="e">
        <f t="shared" si="43"/>
        <v>#REF!</v>
      </c>
      <c r="Z141" s="103" t="e">
        <f t="shared" si="44"/>
        <v>#REF!</v>
      </c>
    </row>
    <row r="142" spans="1:26" x14ac:dyDescent="0.25">
      <c r="A142" s="194" t="str">
        <f t="shared" si="45"/>
        <v>Svinekød</v>
      </c>
      <c r="B142" s="194" t="str">
        <f t="shared" si="46"/>
        <v/>
      </c>
      <c r="C142" s="194">
        <f>IF(COUNTIFS('Resultater - Danmark'!$D$3:$D$482,'Resultat-Produktion &amp; forbrug'!A142,'Resultater - Danmark'!$A$3:$A$482,"Til energi")+COUNTIFS('Resultater - Danmark'!$D$3:$D$482,'Resultat-Produktion &amp; forbrug'!A142,'Resultater - Danmark'!$A$3:$A$482,"Biogasanlæg")&gt;0,1,0)</f>
        <v>0</v>
      </c>
      <c r="D142" s="194">
        <f t="shared" si="35"/>
        <v>2050</v>
      </c>
      <c r="E142" s="192" t="s">
        <v>23</v>
      </c>
      <c r="F142" s="195">
        <f>IF(E142="Vestdanmark",SUMIFS(IF(D142=År1,'Resultater - Vestdanmark'!H$3:H$482,IF(D142=År2,'Resultater - Vestdanmark'!I$3:I$482,'Resultater - Vestdanmark'!J$3:J$482)),'Resultater - Vestdanmark'!$F$3:$F$482,$A142,IF(D142=År1,'Resultater - Vestdanmark'!H$3:H$482,IF(D142=År2,'Resultater - Vestdanmark'!I$3:I$482,'Resultater - Vestdanmark'!J$3:J$482)),"&gt;0"),SUMIFS(IF(D142=År1,'Resultater - Østdanmark'!H$3:H$482,IF(D142=År2,'Resultater - Østdanmark'!I$3:I$482,'Resultater - Østdanmark'!J$3:J$482)),'Resultater - Østdanmark'!$F$3:$F$482,$A142,IF(D142=År1,'Resultater - Østdanmark'!H$3:H$482,IF(D142=År2,'Resultater - Østdanmark'!I$3:I$482,'Resultater - Østdanmark'!J$3:J$482)),"&gt;0"))</f>
        <v>0</v>
      </c>
      <c r="G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92">
        <f>IF(E142="Vestdanmark",-IF(A142="Halm",SUMIFS(IF(D142=År1,'Resultater - Vestdanmark'!H$3:H$482,IF(D142=År2,'Resultater - Vestdanmark'!I$3:I$482,'Resultater - Vestdanmark'!J$3:J$482)),'Resultater - Vestdanmark'!$F$3:$F$482,$A142,'Resultater - Vestdanmark'!H$3:H$482,"&lt;0"),0),-IF(A142="Halm",SUMIFS(IF(D142=År1,'Resultater - Østdanmark'!H$3:H$482,IF(D142=År2,'Resultater - Østdanmark'!I$3:I$482,'Resultater - Østdanmark'!J$3:J$482)),'Resultater - Østdanmark'!$F$3:$F$482,$A142,'Resultater - Østdanmark'!H$3:H$482,"&lt;0"),0))</f>
        <v>0</v>
      </c>
      <c r="I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5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7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204">
        <f t="shared" si="23"/>
        <v>-126627.09194270898</v>
      </c>
      <c r="O142" s="195">
        <f t="shared" si="39"/>
        <v>0</v>
      </c>
      <c r="P142" s="205">
        <f t="shared" si="24"/>
        <v>0</v>
      </c>
      <c r="Q142" s="192">
        <f>IFERROR(VLOOKUP(A142,[1]Energiindhold!$A$2:$C$11,3,FALSE),IFERROR(VLOOKUP(A142,[1]Biogasudbytte!$A$2:$B$18,2,FALSE)*[1]Energiindhold!$C$10,0))*O142</f>
        <v>0</v>
      </c>
      <c r="R142" s="192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92">
        <f>IFERROR(VLOOKUP(A142,[1]Biogasudbytte!$A$2:$B$18,2,FALSE)*[1]Energiindhold!$C$10,0)*J142*IFERROR(VLOOKUP(A142,Biogasanlæg!$F$3:$G$8,2,FALSE),1)</f>
        <v>0</v>
      </c>
      <c r="T142" s="193">
        <f t="shared" si="25"/>
        <v>0</v>
      </c>
      <c r="U142" s="191">
        <f>O142*IFERROR(VLOOKUP(A142,[1]Tørstofindhold!A$2:B$24,2,FALSE),0)</f>
        <v>0</v>
      </c>
      <c r="V142" s="192">
        <f>IF(D142=År1,P142,SUM(O142,P142))*IFERROR(VLOOKUP(A142,[1]Tørstofindhold!A$2:B$24,2,FALSE),0)</f>
        <v>0</v>
      </c>
      <c r="W142" s="192">
        <f>J142*IFERROR(VLOOKUP(A142,[1]Tørstofindhold!A$2:B$24,2,FALSE),0)</f>
        <v>0</v>
      </c>
      <c r="X142" s="193">
        <f t="shared" si="26"/>
        <v>0</v>
      </c>
      <c r="Y142" s="171">
        <f t="shared" si="43"/>
        <v>1</v>
      </c>
      <c r="Z142" s="103">
        <f t="shared" si="44"/>
        <v>0</v>
      </c>
    </row>
    <row r="143" spans="1:26" x14ac:dyDescent="0.25">
      <c r="A143" s="194" t="str">
        <f t="shared" si="45"/>
        <v>Tang</v>
      </c>
      <c r="B143" s="194" t="str">
        <f t="shared" si="46"/>
        <v>Havbiomasse</v>
      </c>
      <c r="C143" s="194">
        <f>IF(COUNTIFS('Resultater - Danmark'!$D$3:$D$482,'Resultat-Produktion &amp; forbrug'!A143,'Resultater - Danmark'!$A$3:$A$482,"Til energi")+COUNTIFS('Resultater - Danmark'!$D$3:$D$482,'Resultat-Produktion &amp; forbrug'!A143,'Resultater - Danmark'!$A$3:$A$482,"Biogasanlæg")&gt;0,1,0)</f>
        <v>1</v>
      </c>
      <c r="D143" s="194">
        <f t="shared" si="35"/>
        <v>2050</v>
      </c>
      <c r="E143" s="192" t="s">
        <v>23</v>
      </c>
      <c r="F143" s="195">
        <f>IF(E143="Vestdanmark",SUMIFS(IF(D143=År1,'Resultater - Vestdanmark'!H$3:H$482,IF(D143=År2,'Resultater - Vestdanmark'!I$3:I$482,'Resultater - Vestdanmark'!J$3:J$482)),'Resultater - Vestdanmark'!$F$3:$F$482,$A143,IF(D143=År1,'Resultater - Vestdanmark'!H$3:H$482,IF(D143=År2,'Resultater - Vestdanmark'!I$3:I$482,'Resultater - Vestdanmark'!J$3:J$482)),"&gt;0"),SUMIFS(IF(D143=År1,'Resultater - Østdanmark'!H$3:H$482,IF(D143=År2,'Resultater - Østdanmark'!I$3:I$482,'Resultater - Østdanmark'!J$3:J$482)),'Resultater - Østdanmark'!$F$3:$F$482,$A143,IF(D143=År1,'Resultater - Østdanmark'!H$3:H$482,IF(D143=År2,'Resultater - Østdanmark'!I$3:I$482,'Resultater - Østdanmark'!J$3:J$482)),"&gt;0"))</f>
        <v>0</v>
      </c>
      <c r="G143" s="195" t="e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#REF!</v>
      </c>
      <c r="H143" s="192">
        <f>IF(E143="Vestdanmark",-IF(A143="Halm",SUMIFS(IF(D143=År1,'Resultater - Vestdanmark'!H$3:H$482,IF(D143=År2,'Resultater - Vestdanmark'!I$3:I$482,'Resultater - Vestdanmark'!J$3:J$482)),'Resultater - Vestdanmark'!$F$3:$F$482,$A143,'Resultater - Vestdanmark'!H$3:H$482,"&lt;0"),0),-IF(A143="Halm",SUMIFS(IF(D143=År1,'Resultater - Østdanmark'!H$3:H$482,IF(D143=År2,'Resultater - Østdanmark'!I$3:I$482,'Resultater - Østdanmark'!J$3:J$482)),'Resultater - Østdanmark'!$F$3:$F$482,$A143,'Resultater - Østdanmark'!H$3:H$482,"&lt;0"),0))</f>
        <v>0</v>
      </c>
      <c r="I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5" t="e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#REF!</v>
      </c>
      <c r="K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5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7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204" t="e">
        <f t="shared" si="23"/>
        <v>#REF!</v>
      </c>
      <c r="O143" s="195" t="e">
        <f t="shared" si="39"/>
        <v>#REF!</v>
      </c>
      <c r="P143" s="205" t="e">
        <f t="shared" si="24"/>
        <v>#REF!</v>
      </c>
      <c r="Q143" s="192" t="e">
        <f>IFERROR(VLOOKUP(A143,[1]Energiindhold!$A$2:$C$11,3,FALSE),IFERROR(VLOOKUP(A143,[1]Biogasudbytte!$A$2:$B$18,2,FALSE)*[1]Energiindhold!$C$10,0))*O143</f>
        <v>#REF!</v>
      </c>
      <c r="R143" s="192" t="e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#REF!</v>
      </c>
      <c r="S143" s="192" t="e">
        <f>IFERROR(VLOOKUP(A143,[1]Biogasudbytte!$A$2:$B$18,2,FALSE)*[1]Energiindhold!$C$10,0)*J143*IFERROR(VLOOKUP(A143,Biogasanlæg!$F$3:$G$8,2,FALSE),1)</f>
        <v>#REF!</v>
      </c>
      <c r="T143" s="193" t="e">
        <f t="shared" si="25"/>
        <v>#REF!</v>
      </c>
      <c r="U143" s="191" t="e">
        <f>O143*IFERROR(VLOOKUP(A143,[1]Tørstofindhold!A$2:B$24,2,FALSE),0)</f>
        <v>#REF!</v>
      </c>
      <c r="V143" s="192" t="e">
        <f>IF(D143=År1,P143,SUM(O143,P143))*IFERROR(VLOOKUP(A143,[1]Tørstofindhold!A$2:B$24,2,FALSE),0)</f>
        <v>#REF!</v>
      </c>
      <c r="W143" s="192" t="e">
        <f>J143*IFERROR(VLOOKUP(A143,[1]Tørstofindhold!A$2:B$24,2,FALSE),0)</f>
        <v>#REF!</v>
      </c>
      <c r="X143" s="193" t="e">
        <f t="shared" si="26"/>
        <v>#REF!</v>
      </c>
      <c r="Y143" s="171" t="e">
        <f t="shared" si="43"/>
        <v>#REF!</v>
      </c>
      <c r="Z143" s="103" t="e">
        <f t="shared" si="44"/>
        <v>#REF!</v>
      </c>
    </row>
    <row r="144" spans="1:26" x14ac:dyDescent="0.25">
      <c r="A144" s="194" t="str">
        <f t="shared" si="45"/>
        <v>Total til biogas</v>
      </c>
      <c r="B144" s="194" t="str">
        <f t="shared" si="46"/>
        <v/>
      </c>
      <c r="C144" s="194">
        <f>IF(COUNTIFS('Resultater - Danmark'!$D$3:$D$482,'Resultat-Produktion &amp; forbrug'!A144,'Resultater - Danmark'!$A$3:$A$482,"Til energi")+COUNTIFS('Resultater - Danmark'!$D$3:$D$482,'Resultat-Produktion &amp; forbrug'!A144,'Resultater - Danmark'!$A$3:$A$482,"Biogasanlæg")&gt;0,1,0)</f>
        <v>1</v>
      </c>
      <c r="D144" s="194">
        <f t="shared" si="35"/>
        <v>2050</v>
      </c>
      <c r="E144" s="192" t="s">
        <v>23</v>
      </c>
      <c r="F144" s="195">
        <f>IF(E144="Vestdanmark",SUMIFS(IF(D144=År1,'Resultater - Vestdanmark'!H$3:H$482,IF(D144=År2,'Resultater - Vestdanmark'!I$3:I$482,'Resultater - Vestdanmark'!J$3:J$482)),'Resultater - Vestdanmark'!$F$3:$F$482,$A144,IF(D144=År1,'Resultater - Vestdanmark'!H$3:H$482,IF(D144=År2,'Resultater - Vestdanmark'!I$3:I$482,'Resultater - Vestdanmark'!J$3:J$482)),"&gt;0"),SUMIFS(IF(D144=År1,'Resultater - Østdanmark'!H$3:H$482,IF(D144=År2,'Resultater - Østdanmark'!I$3:I$482,'Resultater - Østdanmark'!J$3:J$482)),'Resultater - Østdanmark'!$F$3:$F$482,$A144,IF(D144=År1,'Resultater - Østdanmark'!H$3:H$482,IF(D144=År2,'Resultater - Østdanmark'!I$3:I$482,'Resultater - Østdanmark'!J$3:J$482)),"&gt;0"))</f>
        <v>0</v>
      </c>
      <c r="G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92">
        <f>IF(E144="Vestdanmark",-IF(A144="Halm",SUMIFS(IF(D144=År1,'Resultater - Vestdanmark'!H$3:H$482,IF(D144=År2,'Resultater - Vestdanmark'!I$3:I$482,'Resultater - Vestdanmark'!J$3:J$482)),'Resultater - Vestdanmark'!$F$3:$F$482,$A144,'Resultater - Vestdanmark'!H$3:H$482,"&lt;0"),0),-IF(A144="Halm",SUMIFS(IF(D144=År1,'Resultater - Østdanmark'!H$3:H$482,IF(D144=År2,'Resultater - Østdanmark'!I$3:I$482,'Resultater - Østdanmark'!J$3:J$482)),'Resultater - Østdanmark'!$F$3:$F$482,$A144,'Resultater - Østdanmark'!H$3:H$482,"&lt;0"),0))</f>
        <v>0</v>
      </c>
      <c r="I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5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7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204">
        <f t="shared" si="23"/>
        <v>0</v>
      </c>
      <c r="O144" s="195">
        <f t="shared" si="39"/>
        <v>0</v>
      </c>
      <c r="P144" s="205">
        <f t="shared" si="24"/>
        <v>0</v>
      </c>
      <c r="Q144" s="192">
        <f>IFERROR(VLOOKUP(A144,[1]Energiindhold!$A$2:$C$11,3,FALSE),IFERROR(VLOOKUP(A144,[1]Biogasudbytte!$A$2:$B$18,2,FALSE)*[1]Energiindhold!$C$10,0))*O144</f>
        <v>0</v>
      </c>
      <c r="R144" s="192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92">
        <f>IFERROR(VLOOKUP(A144,[1]Biogasudbytte!$A$2:$B$18,2,FALSE)*[1]Energiindhold!$C$10,0)*J144*IFERROR(VLOOKUP(A144,Biogasanlæg!$F$3:$G$8,2,FALSE),1)</f>
        <v>0</v>
      </c>
      <c r="T144" s="193">
        <f t="shared" si="25"/>
        <v>0</v>
      </c>
      <c r="U144" s="191">
        <f>O144*IFERROR(VLOOKUP(A144,[1]Tørstofindhold!A$2:B$24,2,FALSE),0)</f>
        <v>0</v>
      </c>
      <c r="V144" s="192">
        <f>IF(D144=År1,P144,SUM(O144,P144))*IFERROR(VLOOKUP(A144,[1]Tørstofindhold!A$2:B$24,2,FALSE),0)</f>
        <v>0</v>
      </c>
      <c r="W144" s="192">
        <f>J144*IFERROR(VLOOKUP(A144,[1]Tørstofindhold!A$2:B$24,2,FALSE),0)</f>
        <v>0</v>
      </c>
      <c r="X144" s="193">
        <f t="shared" si="26"/>
        <v>0</v>
      </c>
      <c r="Y144" s="171">
        <f t="shared" si="43"/>
        <v>0</v>
      </c>
      <c r="Z144" s="103">
        <f t="shared" si="44"/>
        <v>0</v>
      </c>
    </row>
    <row r="145" spans="1:26" x14ac:dyDescent="0.25">
      <c r="A145" s="194" t="str">
        <f t="shared" si="45"/>
        <v>Træ til energi</v>
      </c>
      <c r="B145" s="194" t="str">
        <f t="shared" si="46"/>
        <v>Vedmasse</v>
      </c>
      <c r="C145" s="194">
        <f>IF(COUNTIFS('Resultater - Danmark'!$D$3:$D$482,'Resultat-Produktion &amp; forbrug'!A145,'Resultater - Danmark'!$A$3:$A$482,"Til energi")+COUNTIFS('Resultater - Danmark'!$D$3:$D$482,'Resultat-Produktion &amp; forbrug'!A145,'Resultater - Danmark'!$A$3:$A$482,"Biogasanlæg")&gt;0,1,0)</f>
        <v>1</v>
      </c>
      <c r="D145" s="194">
        <f t="shared" si="35"/>
        <v>2050</v>
      </c>
      <c r="E145" s="192" t="s">
        <v>23</v>
      </c>
      <c r="F145" s="195">
        <f>IF(E145="Vestdanmark",SUMIFS(IF(D145=År1,'Resultater - Vestdanmark'!H$3:H$482,IF(D145=År2,'Resultater - Vestdanmark'!I$3:I$482,'Resultater - Vestdanmark'!J$3:J$482)),'Resultater - Vestdanmark'!$F$3:$F$482,$A145,IF(D145=År1,'Resultater - Vestdanmark'!H$3:H$482,IF(D145=År2,'Resultater - Vestdanmark'!I$3:I$482,'Resultater - Vestdanmark'!J$3:J$482)),"&gt;0"),SUMIFS(IF(D145=År1,'Resultater - Østdanmark'!H$3:H$482,IF(D145=År2,'Resultater - Østdanmark'!I$3:I$482,'Resultater - Østdanmark'!J$3:J$482)),'Resultater - Østdanmark'!$F$3:$F$482,$A145,IF(D145=År1,'Resultater - Østdanmark'!H$3:H$482,IF(D145=År2,'Resultater - Østdanmark'!I$3:I$482,'Resultater - Østdanmark'!J$3:J$482)),"&gt;0"))</f>
        <v>0</v>
      </c>
      <c r="G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92">
        <f>IF(E145="Vestdanmark",-IF(A145="Halm",SUMIFS(IF(D145=År1,'Resultater - Vestdanmark'!H$3:H$482,IF(D145=År2,'Resultater - Vestdanmark'!I$3:I$482,'Resultater - Vestdanmark'!J$3:J$482)),'Resultater - Vestdanmark'!$F$3:$F$482,$A145,'Resultater - Vestdanmark'!H$3:H$482,"&lt;0"),0),-IF(A145="Halm",SUMIFS(IF(D145=År1,'Resultater - Østdanmark'!H$3:H$482,IF(D145=År2,'Resultater - Østdanmark'!I$3:I$482,'Resultater - Østdanmark'!J$3:J$482)),'Resultater - Østdanmark'!$F$3:$F$482,$A145,'Resultater - Østdanmark'!H$3:H$482,"&lt;0"),0))</f>
        <v>0</v>
      </c>
      <c r="I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5" t="e">
        <f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#REF!</v>
      </c>
      <c r="M145" s="157" t="e">
        <f>SUMIFS('Forbrug af biomasse'!E:E,'Forbrug af biomasse'!C:C,'Resultat-Produktion &amp; forbrug'!$A145,'Forbrug af biomasse'!D:D,'Resultat-Produktion &amp; forbrug'!$D145,'Forbrug af biomasse'!G:G,1,'Forbrug af biomasse'!B:B,$E145)</f>
        <v>#REF!</v>
      </c>
      <c r="N145" s="204" t="e">
        <f t="shared" si="23"/>
        <v>#REF!</v>
      </c>
      <c r="O145" s="195" t="e">
        <f t="shared" si="39"/>
        <v>#REF!</v>
      </c>
      <c r="P145" s="205" t="e">
        <f t="shared" si="24"/>
        <v>#REF!</v>
      </c>
      <c r="Q145" s="192" t="e">
        <f>IFERROR(VLOOKUP(A145,[1]Energiindhold!$A$2:$C$11,3,FALSE),IFERROR(VLOOKUP(A145,[1]Biogasudbytte!$A$2:$B$18,2,FALSE)*[1]Energiindhold!$C$10,0))*O145</f>
        <v>#REF!</v>
      </c>
      <c r="R145" s="192" t="e">
        <f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#REF!</v>
      </c>
      <c r="S145" s="192">
        <f>IFERROR(VLOOKUP(A145,[1]Biogasudbytte!$A$2:$B$18,2,FALSE)*[1]Energiindhold!$C$10,0)*J145*IFERROR(VLOOKUP(A145,Biogasanlæg!$F$3:$G$8,2,FALSE),1)</f>
        <v>0</v>
      </c>
      <c r="T145" s="193" t="e">
        <f t="shared" si="25"/>
        <v>#REF!</v>
      </c>
      <c r="U145" s="191" t="e">
        <f>O145*IFERROR(VLOOKUP(A145,[1]Tørstofindhold!A$2:B$24,2,FALSE),0)</f>
        <v>#REF!</v>
      </c>
      <c r="V145" s="192" t="e">
        <f>IF(D145=År1,P145,SUM(O145,P145))*IFERROR(VLOOKUP(A145,[1]Tørstofindhold!A$2:B$24,2,FALSE),0)</f>
        <v>#REF!</v>
      </c>
      <c r="W145" s="192">
        <f>J145*IFERROR(VLOOKUP(A145,[1]Tørstofindhold!A$2:B$24,2,FALSE),0)</f>
        <v>0</v>
      </c>
      <c r="X145" s="193" t="e">
        <f t="shared" si="26"/>
        <v>#REF!</v>
      </c>
      <c r="Y145" s="171" t="e">
        <f t="shared" si="43"/>
        <v>#REF!</v>
      </c>
      <c r="Z145" s="103" t="e">
        <f t="shared" si="44"/>
        <v>#REF!</v>
      </c>
    </row>
    <row r="146" spans="1:26" x14ac:dyDescent="0.25">
      <c r="A146" s="194" t="str">
        <f t="shared" si="45"/>
        <v>Træmaterialer</v>
      </c>
      <c r="B146" s="194" t="str">
        <f t="shared" si="46"/>
        <v/>
      </c>
      <c r="C146" s="194">
        <f>IF(COUNTIFS('Resultater - Danmark'!$D$3:$D$482,'Resultat-Produktion &amp; forbrug'!A146,'Resultater - Danmark'!$A$3:$A$482,"Til energi")+COUNTIFS('Resultater - Danmark'!$D$3:$D$482,'Resultat-Produktion &amp; forbrug'!A146,'Resultater - Danmark'!$A$3:$A$482,"Biogasanlæg")&gt;0,1,0)</f>
        <v>0</v>
      </c>
      <c r="D146" s="194">
        <f t="shared" si="35"/>
        <v>2050</v>
      </c>
      <c r="E146" s="192" t="s">
        <v>23</v>
      </c>
      <c r="F146" s="195">
        <f>IF(E146="Vestdanmark",SUMIFS(IF(D146=År1,'Resultater - Vestdanmark'!H$3:H$482,IF(D146=År2,'Resultater - Vestdanmark'!I$3:I$482,'Resultater - Vestdanmark'!J$3:J$482)),'Resultater - Vestdanmark'!$F$3:$F$482,$A146,IF(D146=År1,'Resultater - Vestdanmark'!H$3:H$482,IF(D146=År2,'Resultater - Vestdanmark'!I$3:I$482,'Resultater - Vestdanmark'!J$3:J$482)),"&gt;0"),SUMIFS(IF(D146=År1,'Resultater - Østdanmark'!H$3:H$482,IF(D146=År2,'Resultater - Østdanmark'!I$3:I$482,'Resultater - Østdanmark'!J$3:J$482)),'Resultater - Østdanmark'!$F$3:$F$482,$A146,IF(D146=År1,'Resultater - Østdanmark'!H$3:H$482,IF(D146=År2,'Resultater - Østdanmark'!I$3:I$482,'Resultater - Østdanmark'!J$3:J$482)),"&gt;0"))</f>
        <v>0</v>
      </c>
      <c r="G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92">
        <f>IF(E146="Vestdanmark",-IF(A146="Halm",SUMIFS(IF(D146=År1,'Resultater - Vestdanmark'!H$3:H$482,IF(D146=År2,'Resultater - Vestdanmark'!I$3:I$482,'Resultater - Vestdanmark'!J$3:J$482)),'Resultater - Vestdanmark'!$F$3:$F$482,$A146,'Resultater - Vestdanmark'!H$3:H$482,"&lt;0"),0),-IF(A146="Halm",SUMIFS(IF(D146=År1,'Resultater - Østdanmark'!H$3:H$482,IF(D146=År2,'Resultater - Østdanmark'!I$3:I$482,'Resultater - Østdanmark'!J$3:J$482)),'Resultater - Østdanmark'!$F$3:$F$482,$A146,'Resultater - Østdanmark'!H$3:H$482,"&lt;0"),0))</f>
        <v>0</v>
      </c>
      <c r="I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5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7">
        <f>SUMIFS('Forbrug af biomasse'!E:E,'Forbrug af biomasse'!C:C,'Resultat-Produktion &amp; forbrug'!$A146,'Forbrug af biomasse'!D:D,'Resultat-Produktion &amp; forbrug'!$D146,'Forbrug af biomasse'!G:G,1,'Forbrug af biomasse'!B:B,$E146)</f>
        <v>0</v>
      </c>
      <c r="N146" s="204">
        <f t="shared" si="23"/>
        <v>0</v>
      </c>
      <c r="O146" s="195">
        <f t="shared" si="39"/>
        <v>0</v>
      </c>
      <c r="P146" s="205">
        <f t="shared" si="24"/>
        <v>0</v>
      </c>
      <c r="Q146" s="192">
        <f>IFERROR(VLOOKUP(A146,[1]Energiindhold!$A$2:$C$11,3,FALSE),IFERROR(VLOOKUP(A146,[1]Biogasudbytte!$A$2:$B$18,2,FALSE)*[1]Energiindhold!$C$10,0))*O146</f>
        <v>0</v>
      </c>
      <c r="R146" s="192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92">
        <f>IFERROR(VLOOKUP(A146,[1]Biogasudbytte!$A$2:$B$18,2,FALSE)*[1]Energiindhold!$C$10,0)*J146*IFERROR(VLOOKUP(A146,Biogasanlæg!$F$3:$G$8,2,FALSE),1)</f>
        <v>0</v>
      </c>
      <c r="T146" s="193">
        <f t="shared" si="25"/>
        <v>0</v>
      </c>
      <c r="U146" s="191">
        <f>O146*IFERROR(VLOOKUP(A146,[1]Tørstofindhold!A$2:B$24,2,FALSE),0)</f>
        <v>0</v>
      </c>
      <c r="V146" s="192">
        <f>IF(D146=År1,P146,SUM(O146,P146))*IFERROR(VLOOKUP(A146,[1]Tørstofindhold!A$2:B$24,2,FALSE),0)</f>
        <v>0</v>
      </c>
      <c r="W146" s="192">
        <f>J146*IFERROR(VLOOKUP(A146,[1]Tørstofindhold!A$2:B$24,2,FALSE),0)</f>
        <v>0</v>
      </c>
      <c r="X146" s="193">
        <f t="shared" si="26"/>
        <v>0</v>
      </c>
      <c r="Y146" s="171">
        <f t="shared" si="43"/>
        <v>0</v>
      </c>
      <c r="Z146" s="103">
        <f t="shared" si="44"/>
        <v>0</v>
      </c>
    </row>
    <row r="147" spans="1:26" x14ac:dyDescent="0.25">
      <c r="A147" s="194" t="s">
        <v>15</v>
      </c>
      <c r="B147" s="194"/>
      <c r="C147" s="194">
        <f>IF(COUNTIFS('Resultater - Danmark'!$D$3:$D$482,'Resultat-Produktion &amp; forbrug'!A147,'Resultater - Danmark'!$A$3:$A$482,"Til energi")+COUNTIFS('Resultater - Danmark'!$D$3:$D$482,'Resultat-Produktion &amp; forbrug'!A147,'Resultater - Danmark'!$A$3:$A$482,"Biogasanlæg")&gt;0,1,0)</f>
        <v>0</v>
      </c>
      <c r="D147" s="194">
        <f t="shared" ref="D147:D194" si="47">År1</f>
        <v>2019</v>
      </c>
      <c r="E147" s="192" t="s">
        <v>24</v>
      </c>
      <c r="F147" s="195">
        <f>IF(E147="Vestdanmark",SUMIFS(IF(D147=År1,'Resultater - Vestdanmark'!H$3:H$482,IF(D147=År2,'Resultater - Vestdanmark'!I$3:I$482,'Resultater - Vestdanmark'!J$3:J$482)),'Resultater - Vestdanmark'!$F$3:$F$482,$A147,IF(D147=År1,'Resultater - Vestdanmark'!H$3:H$482,IF(D147=År2,'Resultater - Vestdanmark'!I$3:I$482,'Resultater - Vestdanmark'!J$3:J$482)),"&gt;0"),SUMIFS(IF(D147=År1,'Resultater - Østdanmark'!H$3:H$482,IF(D147=År2,'Resultater - Østdanmark'!I$3:I$482,'Resultater - Østdanmark'!J$3:J$482)),'Resultater - Østdanmark'!$F$3:$F$482,$A147,IF(D147=År1,'Resultater - Østdanmark'!H$3:H$482,IF(D147=År2,'Resultater - Østdanmark'!I$3:I$482,'Resultater - Østdanmark'!J$3:J$482)),"&gt;0"))</f>
        <v>0</v>
      </c>
      <c r="G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92">
        <f>IF(E147="Vestdanmark",-IF(A147="Halm",SUMIFS(IF(D147=År1,'Resultater - Vestdanmark'!H$3:H$482,IF(D147=År2,'Resultater - Vestdanmark'!I$3:I$482,'Resultater - Vestdanmark'!J$3:J$482)),'Resultater - Vestdanmark'!$F$3:$F$482,$A147,'Resultater - Vestdanmark'!H$3:H$482,"&lt;0"),0),-IF(A147="Halm",SUMIFS(IF(D147=År1,'Resultater - Østdanmark'!H$3:H$482,IF(D147=År2,'Resultater - Østdanmark'!I$3:I$482,'Resultater - Østdanmark'!J$3:J$482)),'Resultater - Østdanmark'!$F$3:$F$482,$A147,'Resultater - Østdanmark'!H$3:H$482,"&lt;0"),0))</f>
        <v>0</v>
      </c>
      <c r="I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5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7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204">
        <f t="shared" si="23"/>
        <v>-26880.542267330831</v>
      </c>
      <c r="O147" s="195">
        <f t="shared" si="39"/>
        <v>0</v>
      </c>
      <c r="P147" s="205">
        <f t="shared" si="24"/>
        <v>0</v>
      </c>
      <c r="Q147" s="192">
        <f>IFERROR(VLOOKUP(A147,[1]Energiindhold!$A$2:$C$11,3,FALSE),IFERROR(VLOOKUP(A147,[1]Biogasudbytte!$A$2:$B$18,2,FALSE)*[1]Energiindhold!$C$10,0))*O147</f>
        <v>0</v>
      </c>
      <c r="R147" s="192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92">
        <f>IFERROR(VLOOKUP(A147,[1]Biogasudbytte!$A$2:$B$18,2,FALSE)*[1]Energiindhold!$C$10,0)*J147*IFERROR(VLOOKUP(A147,Biogasanlæg!$F$3:$G$8,2,FALSE),1)</f>
        <v>0</v>
      </c>
      <c r="T147" s="193">
        <f t="shared" si="25"/>
        <v>0</v>
      </c>
      <c r="U147" s="191">
        <f>O147*IFERROR(VLOOKUP(A147,[1]Tørstofindhold!A$2:B$24,2,FALSE),0)</f>
        <v>0</v>
      </c>
      <c r="V147" s="192">
        <f>IF(D147=År1,P147,SUM(O147,P147))*IFERROR(VLOOKUP(A147,[1]Tørstofindhold!A$2:B$24,2,FALSE),0)</f>
        <v>0</v>
      </c>
      <c r="W147" s="192">
        <f>J147*IFERROR(VLOOKUP(A147,[1]Tørstofindhold!A$2:B$24,2,FALSE),0)</f>
        <v>0</v>
      </c>
      <c r="X147" s="193">
        <f t="shared" si="26"/>
        <v>0</v>
      </c>
      <c r="Y147" s="171">
        <f t="shared" si="43"/>
        <v>1</v>
      </c>
      <c r="Z147" s="103">
        <f t="shared" si="44"/>
        <v>0</v>
      </c>
    </row>
    <row r="148" spans="1:26" x14ac:dyDescent="0.25">
      <c r="A148" s="194" t="s">
        <v>49</v>
      </c>
      <c r="B148" s="194"/>
      <c r="C148" s="194">
        <f>IF(COUNTIFS('Resultater - Danmark'!$D$3:$D$482,'Resultat-Produktion &amp; forbrug'!A148,'Resultater - Danmark'!$A$3:$A$482,"Til energi")+COUNTIFS('Resultater - Danmark'!$D$3:$D$482,'Resultat-Produktion &amp; forbrug'!A148,'Resultater - Danmark'!$A$3:$A$482,"Biogasanlæg")&gt;0,1,0)</f>
        <v>0</v>
      </c>
      <c r="D148" s="194">
        <f t="shared" si="47"/>
        <v>2019</v>
      </c>
      <c r="E148" s="192" t="s">
        <v>24</v>
      </c>
      <c r="F148" s="195">
        <f>IF(E148="Vestdanmark",SUMIFS(IF(D148=År1,'Resultater - Vestdanmark'!H$3:H$482,IF(D148=År2,'Resultater - Vestdanmark'!I$3:I$482,'Resultater - Vestdanmark'!J$3:J$482)),'Resultater - Vestdanmark'!$F$3:$F$482,$A148,IF(D148=År1,'Resultater - Vestdanmark'!H$3:H$482,IF(D148=År2,'Resultater - Vestdanmark'!I$3:I$482,'Resultater - Vestdanmark'!J$3:J$482)),"&gt;0"),SUMIFS(IF(D148=År1,'Resultater - Østdanmark'!H$3:H$482,IF(D148=År2,'Resultater - Østdanmark'!I$3:I$482,'Resultater - Østdanmark'!J$3:J$482)),'Resultater - Østdanmark'!$F$3:$F$482,$A148,IF(D148=År1,'Resultater - Østdanmark'!H$3:H$482,IF(D148=År2,'Resultater - Østdanmark'!I$3:I$482,'Resultater - Østdanmark'!J$3:J$482)),"&gt;0"))</f>
        <v>0</v>
      </c>
      <c r="G148" s="195" t="e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#REF!</v>
      </c>
      <c r="H148" s="192">
        <f>IF(E148="Vestdanmark",-IF(A148="Halm",SUMIFS(IF(D148=År1,'Resultater - Vestdanmark'!H$3:H$482,IF(D148=År2,'Resultater - Vestdanmark'!I$3:I$482,'Resultater - Vestdanmark'!J$3:J$482)),'Resultater - Vestdanmark'!$F$3:$F$482,$A148,'Resultater - Vestdanmark'!H$3:H$482,"&lt;0"),0),-IF(A148="Halm",SUMIFS(IF(D148=År1,'Resultater - Østdanmark'!H$3:H$482,IF(D148=År2,'Resultater - Østdanmark'!I$3:I$482,'Resultater - Østdanmark'!J$3:J$482)),'Resultater - Østdanmark'!$F$3:$F$482,$A148,'Resultater - Østdanmark'!H$3:H$482,"&lt;0"),0))</f>
        <v>0</v>
      </c>
      <c r="I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5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7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204" t="e">
        <f t="shared" si="23"/>
        <v>#REF!</v>
      </c>
      <c r="O148" s="195">
        <f t="shared" si="39"/>
        <v>0</v>
      </c>
      <c r="P148" s="205">
        <f t="shared" si="24"/>
        <v>0</v>
      </c>
      <c r="Q148" s="192">
        <f>IFERROR(VLOOKUP(A148,[1]Energiindhold!$A$2:$C$11,3,FALSE),IFERROR(VLOOKUP(A148,[1]Biogasudbytte!$A$2:$B$18,2,FALSE)*[1]Energiindhold!$C$10,0))*O148</f>
        <v>0</v>
      </c>
      <c r="R148" s="192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92">
        <f>IFERROR(VLOOKUP(A148,[1]Biogasudbytte!$A$2:$B$18,2,FALSE)*[1]Energiindhold!$C$10,0)*J148*IFERROR(VLOOKUP(A148,Biogasanlæg!$F$3:$G$8,2,FALSE),1)</f>
        <v>0</v>
      </c>
      <c r="T148" s="193">
        <f t="shared" si="25"/>
        <v>0</v>
      </c>
      <c r="U148" s="191">
        <f>O148*IFERROR(VLOOKUP(A148,[1]Tørstofindhold!A$2:B$24,2,FALSE),0)</f>
        <v>0</v>
      </c>
      <c r="V148" s="192">
        <f>IF(D148=År1,P148,SUM(O148,P148))*IFERROR(VLOOKUP(A148,[1]Tørstofindhold!A$2:B$24,2,FALSE),0)</f>
        <v>0</v>
      </c>
      <c r="W148" s="192">
        <f>J148*IFERROR(VLOOKUP(A148,[1]Tørstofindhold!A$2:B$24,2,FALSE),0)</f>
        <v>0</v>
      </c>
      <c r="X148" s="193">
        <f t="shared" si="26"/>
        <v>0</v>
      </c>
      <c r="Y148" s="171" t="e">
        <f t="shared" si="43"/>
        <v>#REF!</v>
      </c>
      <c r="Z148" s="103" t="e">
        <f t="shared" si="44"/>
        <v>#REF!</v>
      </c>
    </row>
    <row r="149" spans="1:26" x14ac:dyDescent="0.25">
      <c r="A149" s="194" t="s">
        <v>103</v>
      </c>
      <c r="B149" s="194" t="s">
        <v>232</v>
      </c>
      <c r="C149" s="194">
        <f>IF(COUNTIFS('Resultater - Danmark'!$D$3:$D$482,'Resultat-Produktion &amp; forbrug'!A149,'Resultater - Danmark'!$A$3:$A$482,"Til energi")+COUNTIFS('Resultater - Danmark'!$D$3:$D$482,'Resultat-Produktion &amp; forbrug'!A149,'Resultater - Danmark'!$A$3:$A$482,"Biogasanlæg")&gt;0,1,0)</f>
        <v>1</v>
      </c>
      <c r="D149" s="194">
        <f t="shared" si="47"/>
        <v>2019</v>
      </c>
      <c r="E149" s="192" t="s">
        <v>24</v>
      </c>
      <c r="F149" s="195">
        <f>IF(E149="Vestdanmark",SUMIFS(IF(D149=År1,'Resultater - Vestdanmark'!H$3:H$482,IF(D149=År2,'Resultater - Vestdanmark'!I$3:I$482,'Resultater - Vestdanmark'!J$3:J$482)),'Resultater - Vestdanmark'!$F$3:$F$482,$A149,IF(D149=År1,'Resultater - Vestdanmark'!H$3:H$482,IF(D149=År2,'Resultater - Vestdanmark'!I$3:I$482,'Resultater - Vestdanmark'!J$3:J$482)),"&gt;0"),SUMIFS(IF(D149=År1,'Resultater - Østdanmark'!H$3:H$482,IF(D149=År2,'Resultater - Østdanmark'!I$3:I$482,'Resultater - Østdanmark'!J$3:J$482)),'Resultater - Østdanmark'!$F$3:$F$482,$A149,IF(D149=År1,'Resultater - Østdanmark'!H$3:H$482,IF(D149=År2,'Resultater - Østdanmark'!I$3:I$482,'Resultater - Østdanmark'!J$3:J$482)),"&gt;0"))</f>
        <v>0</v>
      </c>
      <c r="G149" s="195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92">
        <f>IF(E149="Vestdanmark",-IF(A149="Halm",SUMIFS(IF(D149=År1,'Resultater - Vestdanmark'!H$3:H$482,IF(D149=År2,'Resultater - Vestdanmark'!I$3:I$482,'Resultater - Vestdanmark'!J$3:J$482)),'Resultater - Vestdanmark'!$F$3:$F$482,$A149,'Resultater - Vestdanmark'!H$3:H$482,"&lt;0"),0),-IF(A149="Halm",SUMIFS(IF(D149=År1,'Resultater - Østdanmark'!H$3:H$482,IF(D149=År2,'Resultater - Østdanmark'!I$3:I$482,'Resultater - Østdanmark'!J$3:J$482)),'Resultater - Østdanmark'!$F$3:$F$482,$A149,'Resultater - Østdanmark'!H$3:H$482,"&lt;0"),0))</f>
        <v>0</v>
      </c>
      <c r="I149" s="195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5" t="e">
        <f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#REF!</v>
      </c>
      <c r="K149" s="195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5" t="e">
        <f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#REF!</v>
      </c>
      <c r="M149" s="157" t="e">
        <f>SUMIFS('Forbrug af biomasse'!E:E,'Forbrug af biomasse'!C:C,'Resultat-Produktion &amp; forbrug'!$A149,'Forbrug af biomasse'!D:D,'Resultat-Produktion &amp; forbrug'!$D149,'Forbrug af biomasse'!G:G,1,'Forbrug af biomasse'!B:B,$E149)</f>
        <v>#REF!</v>
      </c>
      <c r="N149" s="204" t="e">
        <f t="shared" si="23"/>
        <v>#REF!</v>
      </c>
      <c r="O149" s="195" t="e">
        <f t="shared" si="39"/>
        <v>#REF!</v>
      </c>
      <c r="P149" s="205" t="e">
        <f t="shared" si="24"/>
        <v>#REF!</v>
      </c>
      <c r="Q149" s="192" t="e">
        <f>IFERROR(VLOOKUP(A149,[1]Energiindhold!$A$2:$C$11,3,FALSE),IFERROR(VLOOKUP(A149,[1]Biogasudbytte!$A$2:$B$18,2,FALSE)*[1]Energiindhold!$C$10,0))*O149</f>
        <v>#REF!</v>
      </c>
      <c r="R149" s="192" t="e">
        <f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#REF!</v>
      </c>
      <c r="S149" s="192" t="e">
        <f>IFERROR(VLOOKUP(A149,[1]Biogasudbytte!$A$2:$B$18,2,FALSE)*[1]Energiindhold!$C$10,0)*J149*IFERROR(VLOOKUP(A149,Biogasanlæg!$F$3:$G$8,2,FALSE),1)</f>
        <v>#REF!</v>
      </c>
      <c r="T149" s="193" t="e">
        <f t="shared" si="25"/>
        <v>#REF!</v>
      </c>
      <c r="U149" s="191" t="e">
        <f>O149*IFERROR(VLOOKUP(A149,[1]Tørstofindhold!A$2:B$24,2,FALSE),0)</f>
        <v>#REF!</v>
      </c>
      <c r="V149" s="192" t="e">
        <f>IF(D149=År1,P149,SUM(O149,P149))*IFERROR(VLOOKUP(A149,[1]Tørstofindhold!A$2:B$24,2,FALSE),0)</f>
        <v>#REF!</v>
      </c>
      <c r="W149" s="192" t="e">
        <f>J149*IFERROR(VLOOKUP(A149,[1]Tørstofindhold!A$2:B$24,2,FALSE),0)</f>
        <v>#REF!</v>
      </c>
      <c r="X149" s="193" t="e">
        <f t="shared" si="26"/>
        <v>#REF!</v>
      </c>
      <c r="Y149" s="171" t="e">
        <f t="shared" si="43"/>
        <v>#REF!</v>
      </c>
      <c r="Z149" s="103" t="e">
        <f t="shared" si="44"/>
        <v>#REF!</v>
      </c>
    </row>
    <row r="150" spans="1:26" x14ac:dyDescent="0.25">
      <c r="A150" s="194" t="s">
        <v>110</v>
      </c>
      <c r="B150" s="194"/>
      <c r="C150" s="194">
        <f>IF(COUNTIFS('Resultater - Danmark'!$D$3:$D$482,'Resultat-Produktion &amp; forbrug'!A150,'Resultater - Danmark'!$A$3:$A$482,"Til energi")+COUNTIFS('Resultater - Danmark'!$D$3:$D$482,'Resultat-Produktion &amp; forbrug'!A150,'Resultater - Danmark'!$A$3:$A$482,"Biogasanlæg")&gt;0,1,0)</f>
        <v>1</v>
      </c>
      <c r="D150" s="194">
        <f t="shared" si="47"/>
        <v>2019</v>
      </c>
      <c r="E150" s="192" t="s">
        <v>24</v>
      </c>
      <c r="F150" s="195">
        <f>IF(E150="Vestdanmark",SUMIFS(IF(D150=År1,'Resultater - Vestdanmark'!H$3:H$482,IF(D150=År2,'Resultater - Vestdanmark'!I$3:I$482,'Resultater - Vestdanmark'!J$3:J$482)),'Resultater - Vestdanmark'!$F$3:$F$482,$A150,IF(D150=År1,'Resultater - Vestdanmark'!H$3:H$482,IF(D150=År2,'Resultater - Vestdanmark'!I$3:I$482,'Resultater - Vestdanmark'!J$3:J$482)),"&gt;0"),SUMIFS(IF(D150=År1,'Resultater - Østdanmark'!H$3:H$482,IF(D150=År2,'Resultater - Østdanmark'!I$3:I$482,'Resultater - Østdanmark'!J$3:J$482)),'Resultater - Østdanmark'!$F$3:$F$482,$A150,IF(D150=År1,'Resultater - Østdanmark'!H$3:H$482,IF(D150=År2,'Resultater - Østdanmark'!I$3:I$482,'Resultater - Østdanmark'!J$3:J$482)),"&gt;0"))</f>
        <v>12086250.624000002</v>
      </c>
      <c r="G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92">
        <f>IF(E150="Vestdanmark",-IF(A150="Halm",SUMIFS(IF(D150=År1,'Resultater - Vestdanmark'!H$3:H$482,IF(D150=År2,'Resultater - Vestdanmark'!I$3:I$482,'Resultater - Vestdanmark'!J$3:J$482)),'Resultater - Vestdanmark'!$F$3:$F$482,$A150,'Resultater - Vestdanmark'!H$3:H$482,"&lt;0"),0),-IF(A150="Halm",SUMIFS(IF(D150=År1,'Resultater - Østdanmark'!H$3:H$482,IF(D150=År2,'Resultater - Østdanmark'!I$3:I$482,'Resultater - Østdanmark'!J$3:J$482)),'Resultater - Østdanmark'!$F$3:$F$482,$A150,'Resultater - Østdanmark'!H$3:H$482,"&lt;0"),0))</f>
        <v>0</v>
      </c>
      <c r="I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5">
        <f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12086250.624000002</v>
      </c>
      <c r="M150" s="157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204">
        <f t="shared" ref="N150:N215" si="48">F150-SUM(G150:M150)</f>
        <v>0</v>
      </c>
      <c r="O150" s="195">
        <f t="shared" si="39"/>
        <v>0</v>
      </c>
      <c r="P150" s="205">
        <f t="shared" ref="P150:P215" si="49">SUM(J150,L150)</f>
        <v>12086250.624000002</v>
      </c>
      <c r="Q150" s="192">
        <f>IFERROR(VLOOKUP(A150,[1]Energiindhold!$A$2:$C$11,3,FALSE),IFERROR(VLOOKUP(A150,[1]Biogasudbytte!$A$2:$B$18,2,FALSE)*[1]Energiindhold!$C$10,0))*O150</f>
        <v>0</v>
      </c>
      <c r="R150" s="192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92">
        <f>IFERROR(VLOOKUP(A150,[1]Biogasudbytte!$A$2:$B$18,2,FALSE)*[1]Energiindhold!$C$10,0)*J150*IFERROR(VLOOKUP(A150,Biogasanlæg!$F$3:$G$8,2,FALSE),1)</f>
        <v>0</v>
      </c>
      <c r="T150" s="193">
        <f t="shared" ref="T150:T215" si="50">R150-S150</f>
        <v>0</v>
      </c>
      <c r="U150" s="191">
        <f>O150*IFERROR(VLOOKUP(A150,[1]Tørstofindhold!A$2:B$24,2,FALSE),0)</f>
        <v>0</v>
      </c>
      <c r="V150" s="192">
        <f>IF(D150=År1,P150,SUM(O150,P150))*IFERROR(VLOOKUP(A150,[1]Tørstofindhold!A$2:B$24,2,FALSE),0)</f>
        <v>0</v>
      </c>
      <c r="W150" s="192">
        <f>J150*IFERROR(VLOOKUP(A150,[1]Tørstofindhold!A$2:B$24,2,FALSE),0)</f>
        <v>0</v>
      </c>
      <c r="X150" s="193">
        <f t="shared" ref="X150:X215" si="51">V150-W150</f>
        <v>0</v>
      </c>
      <c r="Y150" s="171">
        <f t="shared" si="43"/>
        <v>0</v>
      </c>
      <c r="Z150" s="103">
        <f t="shared" si="44"/>
        <v>0</v>
      </c>
    </row>
    <row r="151" spans="1:26" x14ac:dyDescent="0.25">
      <c r="A151" s="194" t="s">
        <v>111</v>
      </c>
      <c r="B151" s="194"/>
      <c r="C151" s="194">
        <f>IF(COUNTIFS('Resultater - Danmark'!$D$3:$D$482,'Resultat-Produktion &amp; forbrug'!A151,'Resultater - Danmark'!$A$3:$A$482,"Til energi")+COUNTIFS('Resultater - Danmark'!$D$3:$D$482,'Resultat-Produktion &amp; forbrug'!A151,'Resultater - Danmark'!$A$3:$A$482,"Biogasanlæg")&gt;0,1,0)</f>
        <v>0</v>
      </c>
      <c r="D151" s="194">
        <f t="shared" si="47"/>
        <v>2019</v>
      </c>
      <c r="E151" s="192" t="s">
        <v>24</v>
      </c>
      <c r="F151" s="195">
        <f>IF(E151="Vestdanmark",SUMIFS(IF(D151=År1,'Resultater - Vestdanmark'!H$3:H$482,IF(D151=År2,'Resultater - Vestdanmark'!I$3:I$482,'Resultater - Vestdanmark'!J$3:J$482)),'Resultater - Vestdanmark'!$F$3:$F$482,$A151,IF(D151=År1,'Resultater - Vestdanmark'!H$3:H$482,IF(D151=År2,'Resultater - Vestdanmark'!I$3:I$482,'Resultater - Vestdanmark'!J$3:J$482)),"&gt;0"),SUMIFS(IF(D151=År1,'Resultater - Østdanmark'!H$3:H$482,IF(D151=År2,'Resultater - Østdanmark'!I$3:I$482,'Resultater - Østdanmark'!J$3:J$482)),'Resultater - Østdanmark'!$F$3:$F$482,$A151,IF(D151=År1,'Resultater - Østdanmark'!H$3:H$482,IF(D151=År2,'Resultater - Østdanmark'!I$3:I$482,'Resultater - Østdanmark'!J$3:J$482)),"&gt;0"))</f>
        <v>0</v>
      </c>
      <c r="G151" s="195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92">
        <f>IF(E151="Vestdanmark",-IF(A151="Halm",SUMIFS(IF(D151=År1,'Resultater - Vestdanmark'!H$3:H$482,IF(D151=År2,'Resultater - Vestdanmark'!I$3:I$482,'Resultater - Vestdanmark'!J$3:J$482)),'Resultater - Vestdanmark'!$F$3:$F$482,$A151,'Resultater - Vestdanmark'!H$3:H$482,"&lt;0"),0),-IF(A151="Halm",SUMIFS(IF(D151=År1,'Resultater - Østdanmark'!H$3:H$482,IF(D151=År2,'Resultater - Østdanmark'!I$3:I$482,'Resultater - Østdanmark'!J$3:J$482)),'Resultater - Østdanmark'!$F$3:$F$482,$A151,'Resultater - Østdanmark'!H$3:H$482,"&lt;0"),0))</f>
        <v>0</v>
      </c>
      <c r="I151" s="195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5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5" t="e">
        <f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#REF!</v>
      </c>
      <c r="L151" s="195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7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204" t="e">
        <f t="shared" si="48"/>
        <v>#REF!</v>
      </c>
      <c r="O151" s="195">
        <f t="shared" si="39"/>
        <v>0</v>
      </c>
      <c r="P151" s="205">
        <f t="shared" si="49"/>
        <v>0</v>
      </c>
      <c r="Q151" s="192">
        <f>IFERROR(VLOOKUP(A151,[1]Energiindhold!$A$2:$C$11,3,FALSE),IFERROR(VLOOKUP(A151,[1]Biogasudbytte!$A$2:$B$18,2,FALSE)*[1]Energiindhold!$C$10,0))*O151</f>
        <v>0</v>
      </c>
      <c r="R151" s="192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92">
        <f>IFERROR(VLOOKUP(A151,[1]Biogasudbytte!$A$2:$B$18,2,FALSE)*[1]Energiindhold!$C$10,0)*J151*IFERROR(VLOOKUP(A151,Biogasanlæg!$F$3:$G$8,2,FALSE),1)</f>
        <v>0</v>
      </c>
      <c r="T151" s="193">
        <f t="shared" si="50"/>
        <v>0</v>
      </c>
      <c r="U151" s="191">
        <f>O151*IFERROR(VLOOKUP(A151,[1]Tørstofindhold!A$2:B$24,2,FALSE),0)</f>
        <v>0</v>
      </c>
      <c r="V151" s="192">
        <f>IF(D151=År1,P151,SUM(O151,P151))*IFERROR(VLOOKUP(A151,[1]Tørstofindhold!A$2:B$24,2,FALSE),0)</f>
        <v>0</v>
      </c>
      <c r="W151" s="192">
        <f>J151*IFERROR(VLOOKUP(A151,[1]Tørstofindhold!A$2:B$24,2,FALSE),0)</f>
        <v>0</v>
      </c>
      <c r="X151" s="193">
        <f t="shared" si="51"/>
        <v>0</v>
      </c>
      <c r="Y151" s="171" t="e">
        <f t="shared" si="43"/>
        <v>#REF!</v>
      </c>
      <c r="Z151" s="103" t="e">
        <f t="shared" si="44"/>
        <v>#REF!</v>
      </c>
    </row>
    <row r="152" spans="1:26" x14ac:dyDescent="0.25">
      <c r="A152" s="194" t="s">
        <v>210</v>
      </c>
      <c r="B152" s="194" t="s">
        <v>232</v>
      </c>
      <c r="C152" s="194">
        <f>IF(COUNTIFS('Resultater - Danmark'!$D$3:$D$482,'Resultat-Produktion &amp; forbrug'!A152,'Resultater - Danmark'!$A$3:$A$482,"Til energi")+COUNTIFS('Resultater - Danmark'!$D$3:$D$482,'Resultat-Produktion &amp; forbrug'!A152,'Resultater - Danmark'!$A$3:$A$482,"Biogasanlæg")&gt;0,1,0)</f>
        <v>1</v>
      </c>
      <c r="D152" s="194">
        <f t="shared" si="47"/>
        <v>2019</v>
      </c>
      <c r="E152" s="192" t="s">
        <v>24</v>
      </c>
      <c r="F152" s="195">
        <f>IF(E152="Vestdanmark",SUMIFS(IF(D152=År1,'Resultater - Vestdanmark'!H$3:H$482,IF(D152=År2,'Resultater - Vestdanmark'!I$3:I$482,'Resultater - Vestdanmark'!J$3:J$482)),'Resultater - Vestdanmark'!$F$3:$F$482,$A152,IF(D152=År1,'Resultater - Vestdanmark'!H$3:H$482,IF(D152=År2,'Resultater - Vestdanmark'!I$3:I$482,'Resultater - Vestdanmark'!J$3:J$482)),"&gt;0"),SUMIFS(IF(D152=År1,'Resultater - Østdanmark'!H$3:H$482,IF(D152=År2,'Resultater - Østdanmark'!I$3:I$482,'Resultater - Østdanmark'!J$3:J$482)),'Resultater - Østdanmark'!$F$3:$F$482,$A152,IF(D152=År1,'Resultater - Østdanmark'!H$3:H$482,IF(D152=År2,'Resultater - Østdanmark'!I$3:I$482,'Resultater - Østdanmark'!J$3:J$482)),"&gt;0"))</f>
        <v>0</v>
      </c>
      <c r="G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92">
        <f>IF(E152="Vestdanmark",-IF(A152="Halm",SUMIFS(IF(D152=År1,'Resultater - Vestdanmark'!H$3:H$482,IF(D152=År2,'Resultater - Vestdanmark'!I$3:I$482,'Resultater - Vestdanmark'!J$3:J$482)),'Resultater - Vestdanmark'!$F$3:$F$482,$A152,'Resultater - Vestdanmark'!H$3:H$482,"&lt;0"),0),-IF(A152="Halm",SUMIFS(IF(D152=År1,'Resultater - Østdanmark'!H$3:H$482,IF(D152=År2,'Resultater - Østdanmark'!I$3:I$482,'Resultater - Østdanmark'!J$3:J$482)),'Resultater - Østdanmark'!$F$3:$F$482,$A152,'Resultater - Østdanmark'!H$3:H$482,"&lt;0"),0))</f>
        <v>0</v>
      </c>
      <c r="I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5" t="e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#REF!</v>
      </c>
      <c r="K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5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7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204" t="e">
        <f t="shared" si="48"/>
        <v>#REF!</v>
      </c>
      <c r="O152" s="195" t="e">
        <f t="shared" si="39"/>
        <v>#REF!</v>
      </c>
      <c r="P152" s="205" t="e">
        <f t="shared" si="49"/>
        <v>#REF!</v>
      </c>
      <c r="Q152" s="192" t="e">
        <f>IFERROR(VLOOKUP(A152,[1]Energiindhold!$A$2:$C$11,3,FALSE),IFERROR(VLOOKUP(A152,[1]Biogasudbytte!$A$2:$B$18,2,FALSE)*[1]Energiindhold!$C$10,0))*O152</f>
        <v>#REF!</v>
      </c>
      <c r="R152" s="192" t="e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#REF!</v>
      </c>
      <c r="S152" s="192" t="e">
        <f>IFERROR(VLOOKUP(A152,[1]Biogasudbytte!$A$2:$B$18,2,FALSE)*[1]Energiindhold!$C$10,0)*J152*IFERROR(VLOOKUP(A152,Biogasanlæg!$F$3:$G$8,2,FALSE),1)</f>
        <v>#REF!</v>
      </c>
      <c r="T152" s="193" t="e">
        <f t="shared" si="50"/>
        <v>#REF!</v>
      </c>
      <c r="U152" s="191" t="e">
        <f>O152*IFERROR(VLOOKUP(A152,[1]Tørstofindhold!A$2:B$24,2,FALSE),0)</f>
        <v>#REF!</v>
      </c>
      <c r="V152" s="192" t="e">
        <f>IF(D152=År1,P152,SUM(O152,P152))*IFERROR(VLOOKUP(A152,[1]Tørstofindhold!A$2:B$24,2,FALSE),0)</f>
        <v>#REF!</v>
      </c>
      <c r="W152" s="192" t="e">
        <f>J152*IFERROR(VLOOKUP(A152,[1]Tørstofindhold!A$2:B$24,2,FALSE),0)</f>
        <v>#REF!</v>
      </c>
      <c r="X152" s="193" t="e">
        <f t="shared" si="51"/>
        <v>#REF!</v>
      </c>
      <c r="Y152" s="171" t="e">
        <f t="shared" si="43"/>
        <v>#REF!</v>
      </c>
      <c r="Z152" s="103" t="e">
        <f t="shared" si="44"/>
        <v>#REF!</v>
      </c>
    </row>
    <row r="153" spans="1:26" x14ac:dyDescent="0.25">
      <c r="A153" s="192" t="s">
        <v>102</v>
      </c>
      <c r="B153" s="194" t="s">
        <v>224</v>
      </c>
      <c r="C153" s="194">
        <f>IF(COUNTIFS('Resultater - Danmark'!$D$3:$D$482,'Resultat-Produktion &amp; forbrug'!A153,'Resultater - Danmark'!$A$3:$A$482,"Til energi")+COUNTIFS('Resultater - Danmark'!$D$3:$D$482,'Resultat-Produktion &amp; forbrug'!A153,'Resultater - Danmark'!$A$3:$A$482,"Biogasanlæg")&gt;0,1,0)</f>
        <v>1</v>
      </c>
      <c r="D153" s="194">
        <f t="shared" si="47"/>
        <v>2019</v>
      </c>
      <c r="E153" s="192" t="s">
        <v>24</v>
      </c>
      <c r="F153" s="195">
        <f>IF(E153="Vestdanmark",SUMIFS(IF(D153=År1,'Resultater - Vestdanmark'!H$3:H$482,IF(D153=År2,'Resultater - Vestdanmark'!I$3:I$482,'Resultater - Vestdanmark'!J$3:J$482)),'Resultater - Vestdanmark'!$F$3:$F$482,$A153,IF(D153=År1,'Resultater - Vestdanmark'!H$3:H$482,IF(D153=År2,'Resultater - Vestdanmark'!I$3:I$482,'Resultater - Vestdanmark'!J$3:J$482)),"&gt;0"),SUMIFS(IF(D153=År1,'Resultater - Østdanmark'!H$3:H$482,IF(D153=År2,'Resultater - Østdanmark'!I$3:I$482,'Resultater - Østdanmark'!J$3:J$482)),'Resultater - Østdanmark'!$F$3:$F$482,$A153,IF(D153=År1,'Resultater - Østdanmark'!H$3:H$482,IF(D153=År2,'Resultater - Østdanmark'!I$3:I$482,'Resultater - Østdanmark'!J$3:J$482)),"&gt;0"))</f>
        <v>0</v>
      </c>
      <c r="G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92">
        <f>IF(E153="Vestdanmark",-IF(A153="Halm",SUMIFS(IF(D153=År1,'Resultater - Vestdanmark'!H$3:H$482,IF(D153=År2,'Resultater - Vestdanmark'!I$3:I$482,'Resultater - Vestdanmark'!J$3:J$482)),'Resultater - Vestdanmark'!$F$3:$F$482,$A153,'Resultater - Vestdanmark'!H$3:H$482,"&lt;0"),0),-IF(A153="Halm",SUMIFS(IF(D153=År1,'Resultater - Østdanmark'!H$3:H$482,IF(D153=År2,'Resultater - Østdanmark'!I$3:I$482,'Resultater - Østdanmark'!J$3:J$482)),'Resultater - Østdanmark'!$F$3:$F$482,$A153,'Resultater - Østdanmark'!H$3:H$482,"&lt;0"),0))</f>
        <v>0</v>
      </c>
      <c r="I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5" t="e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#REF!</v>
      </c>
      <c r="K153" s="195" t="e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#REF!</v>
      </c>
      <c r="L153" s="195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7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204" t="e">
        <f t="shared" si="48"/>
        <v>#REF!</v>
      </c>
      <c r="O153" s="195" t="e">
        <f t="shared" si="39"/>
        <v>#REF!</v>
      </c>
      <c r="P153" s="205" t="e">
        <f t="shared" si="49"/>
        <v>#REF!</v>
      </c>
      <c r="Q153" s="192" t="e">
        <f>IFERROR(VLOOKUP(A153,[1]Energiindhold!$A$2:$C$11,3,FALSE),IFERROR(VLOOKUP(A153,[1]Biogasudbytte!$A$2:$B$18,2,FALSE)*[1]Energiindhold!$C$10,0))*O153</f>
        <v>#REF!</v>
      </c>
      <c r="R153" s="192" t="e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#REF!</v>
      </c>
      <c r="S153" s="192" t="e">
        <f>IFERROR(VLOOKUP(A153,[1]Biogasudbytte!$A$2:$B$18,2,FALSE)*[1]Energiindhold!$C$10,0)*J153*IFERROR(VLOOKUP(A153,Biogasanlæg!$F$3:$G$8,2,FALSE),1)</f>
        <v>#REF!</v>
      </c>
      <c r="T153" s="193" t="e">
        <f t="shared" si="50"/>
        <v>#REF!</v>
      </c>
      <c r="U153" s="191" t="e">
        <f>O153*IFERROR(VLOOKUP(A153,[1]Tørstofindhold!A$2:B$24,2,FALSE),0)</f>
        <v>#REF!</v>
      </c>
      <c r="V153" s="192" t="e">
        <f>IF(D153=År1,P153,SUM(O153,P153))*IFERROR(VLOOKUP(A153,[1]Tørstofindhold!A$2:B$24,2,FALSE),0)</f>
        <v>#REF!</v>
      </c>
      <c r="W153" s="192" t="e">
        <f>J153*IFERROR(VLOOKUP(A153,[1]Tørstofindhold!A$2:B$24,2,FALSE),0)</f>
        <v>#REF!</v>
      </c>
      <c r="X153" s="193" t="e">
        <f t="shared" si="51"/>
        <v>#REF!</v>
      </c>
      <c r="Y153" s="171" t="e">
        <f t="shared" si="43"/>
        <v>#REF!</v>
      </c>
      <c r="Z153" s="103" t="e">
        <f t="shared" si="44"/>
        <v>#REF!</v>
      </c>
    </row>
    <row r="154" spans="1:26" x14ac:dyDescent="0.25">
      <c r="A154" s="192" t="s">
        <v>206</v>
      </c>
      <c r="B154" s="194"/>
      <c r="C154" s="194">
        <f>IF(COUNTIFS('Resultater - Danmark'!$D$3:$D$482,'Resultat-Produktion &amp; forbrug'!A154,'Resultater - Danmark'!$A$3:$A$482,"Til energi")+COUNTIFS('Resultater - Danmark'!$D$3:$D$482,'Resultat-Produktion &amp; forbrug'!A154,'Resultater - Danmark'!$A$3:$A$482,"Biogasanlæg")&gt;0,1,0)</f>
        <v>0</v>
      </c>
      <c r="D154" s="194">
        <f t="shared" si="47"/>
        <v>2019</v>
      </c>
      <c r="E154" s="192" t="s">
        <v>24</v>
      </c>
      <c r="F154" s="195">
        <f>IF(E154="Vestdanmark",SUMIFS(IF(D154=År1,'Resultater - Vestdanmark'!H$3:H$482,IF(D154=År2,'Resultater - Vestdanmark'!I$3:I$482,'Resultater - Vestdanmark'!J$3:J$482)),'Resultater - Vestdanmark'!$F$3:$F$482,$A154,IF(D154=År1,'Resultater - Vestdanmark'!H$3:H$482,IF(D154=År2,'Resultater - Vestdanmark'!I$3:I$482,'Resultater - Vestdanmark'!J$3:J$482)),"&gt;0"),SUMIFS(IF(D154=År1,'Resultater - Østdanmark'!H$3:H$482,IF(D154=År2,'Resultater - Østdanmark'!I$3:I$482,'Resultater - Østdanmark'!J$3:J$482)),'Resultater - Østdanmark'!$F$3:$F$482,$A154,IF(D154=År1,'Resultater - Østdanmark'!H$3:H$482,IF(D154=År2,'Resultater - Østdanmark'!I$3:I$482,'Resultater - Østdanmark'!J$3:J$482)),"&gt;0"))</f>
        <v>0</v>
      </c>
      <c r="G154" s="195" t="e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#REF!</v>
      </c>
      <c r="H154" s="192">
        <f>IF(E154="Vestdanmark",-IF(A154="Halm",SUMIFS(IF(D154=År1,'Resultater - Vestdanmark'!H$3:H$482,IF(D154=År2,'Resultater - Vestdanmark'!I$3:I$482,'Resultater - Vestdanmark'!J$3:J$482)),'Resultater - Vestdanmark'!$F$3:$F$482,$A154,'Resultater - Vestdanmark'!H$3:H$482,"&lt;0"),0),-IF(A154="Halm",SUMIFS(IF(D154=År1,'Resultater - Østdanmark'!H$3:H$482,IF(D154=År2,'Resultater - Østdanmark'!I$3:I$482,'Resultater - Østdanmark'!J$3:J$482)),'Resultater - Østdanmark'!$F$3:$F$482,$A154,'Resultater - Østdanmark'!H$3:H$482,"&lt;0"),0))</f>
        <v>0</v>
      </c>
      <c r="I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5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7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204" t="e">
        <f t="shared" si="48"/>
        <v>#REF!</v>
      </c>
      <c r="O154" s="195">
        <f t="shared" si="39"/>
        <v>0</v>
      </c>
      <c r="P154" s="205">
        <f t="shared" si="49"/>
        <v>0</v>
      </c>
      <c r="Q154" s="192">
        <f>IFERROR(VLOOKUP(A154,[1]Energiindhold!$A$2:$C$11,3,FALSE),IFERROR(VLOOKUP(A154,[1]Biogasudbytte!$A$2:$B$18,2,FALSE)*[1]Energiindhold!$C$10,0))*O154</f>
        <v>0</v>
      </c>
      <c r="R154" s="192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92">
        <f>IFERROR(VLOOKUP(A154,[1]Biogasudbytte!$A$2:$B$18,2,FALSE)*[1]Energiindhold!$C$10,0)*J154*IFERROR(VLOOKUP(A154,Biogasanlæg!$F$3:$G$8,2,FALSE),1)</f>
        <v>0</v>
      </c>
      <c r="T154" s="193">
        <f t="shared" si="50"/>
        <v>0</v>
      </c>
      <c r="U154" s="191">
        <f>O154*IFERROR(VLOOKUP(A154,[1]Tørstofindhold!A$2:B$24,2,FALSE),0)</f>
        <v>0</v>
      </c>
      <c r="V154" s="192">
        <f>IF(D154=År1,P154,SUM(O154,P154))*IFERROR(VLOOKUP(A154,[1]Tørstofindhold!A$2:B$24,2,FALSE),0)</f>
        <v>0</v>
      </c>
      <c r="W154" s="192">
        <f>J154*IFERROR(VLOOKUP(A154,[1]Tørstofindhold!A$2:B$24,2,FALSE),0)</f>
        <v>0</v>
      </c>
      <c r="X154" s="193">
        <f t="shared" si="51"/>
        <v>0</v>
      </c>
      <c r="Y154" s="171" t="e">
        <f t="shared" si="43"/>
        <v>#REF!</v>
      </c>
      <c r="Z154" s="103" t="e">
        <f t="shared" si="44"/>
        <v>#REF!</v>
      </c>
    </row>
    <row r="155" spans="1:26" x14ac:dyDescent="0.25">
      <c r="A155" s="192" t="s">
        <v>138</v>
      </c>
      <c r="B155" s="194" t="s">
        <v>224</v>
      </c>
      <c r="C155" s="194">
        <f>IF(COUNTIFS('Resultater - Danmark'!$D$3:$D$482,'Resultat-Produktion &amp; forbrug'!A155,'Resultater - Danmark'!$A$3:$A$482,"Til energi")+COUNTIFS('Resultater - Danmark'!$D$3:$D$482,'Resultat-Produktion &amp; forbrug'!A155,'Resultater - Danmark'!$A$3:$A$482,"Biogasanlæg")&gt;0,1,0)</f>
        <v>1</v>
      </c>
      <c r="D155" s="194">
        <f t="shared" si="47"/>
        <v>2019</v>
      </c>
      <c r="E155" s="192" t="s">
        <v>24</v>
      </c>
      <c r="F155" s="195">
        <f>IF(E155="Vestdanmark",SUMIFS(IF(D155=År1,'Resultater - Vestdanmark'!H$3:H$482,IF(D155=År2,'Resultater - Vestdanmark'!I$3:I$482,'Resultater - Vestdanmark'!J$3:J$482)),'Resultater - Vestdanmark'!$F$3:$F$482,$A155,IF(D155=År1,'Resultater - Vestdanmark'!H$3:H$482,IF(D155=År2,'Resultater - Vestdanmark'!I$3:I$482,'Resultater - Vestdanmark'!J$3:J$482)),"&gt;0"),SUMIFS(IF(D155=År1,'Resultater - Østdanmark'!H$3:H$482,IF(D155=År2,'Resultater - Østdanmark'!I$3:I$482,'Resultater - Østdanmark'!J$3:J$482)),'Resultater - Østdanmark'!$F$3:$F$482,$A155,IF(D155=År1,'Resultater - Østdanmark'!H$3:H$482,IF(D155=År2,'Resultater - Østdanmark'!I$3:I$482,'Resultater - Østdanmark'!J$3:J$482)),"&gt;0"))</f>
        <v>0</v>
      </c>
      <c r="G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92">
        <f>IF(E155="Vestdanmark",-IF(A155="Halm",SUMIFS(IF(D155=År1,'Resultater - Vestdanmark'!H$3:H$482,IF(D155=År2,'Resultater - Vestdanmark'!I$3:I$482,'Resultater - Vestdanmark'!J$3:J$482)),'Resultater - Vestdanmark'!$F$3:$F$482,$A155,'Resultater - Vestdanmark'!H$3:H$482,"&lt;0"),0),-IF(A155="Halm",SUMIFS(IF(D155=År1,'Resultater - Østdanmark'!H$3:H$482,IF(D155=År2,'Resultater - Østdanmark'!I$3:I$482,'Resultater - Østdanmark'!J$3:J$482)),'Resultater - Østdanmark'!$F$3:$F$482,$A155,'Resultater - Østdanmark'!H$3:H$482,"&lt;0"),0))</f>
        <v>0</v>
      </c>
      <c r="I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5" t="e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#REF!</v>
      </c>
      <c r="K155" s="195" t="e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#REF!</v>
      </c>
      <c r="L155" s="195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7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204" t="e">
        <f t="shared" si="48"/>
        <v>#REF!</v>
      </c>
      <c r="O155" s="195" t="e">
        <f t="shared" si="39"/>
        <v>#REF!</v>
      </c>
      <c r="P155" s="205" t="e">
        <f t="shared" si="49"/>
        <v>#REF!</v>
      </c>
      <c r="Q155" s="192" t="e">
        <f>IFERROR(VLOOKUP(A155,[1]Energiindhold!$A$2:$C$11,3,FALSE),IFERROR(VLOOKUP(A155,[1]Biogasudbytte!$A$2:$B$18,2,FALSE)*[1]Energiindhold!$C$10,0))*O155</f>
        <v>#REF!</v>
      </c>
      <c r="R155" s="192" t="e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#REF!</v>
      </c>
      <c r="S155" s="192" t="e">
        <f>IFERROR(VLOOKUP(A155,[1]Biogasudbytte!$A$2:$B$18,2,FALSE)*[1]Energiindhold!$C$10,0)*J155*IFERROR(VLOOKUP(A155,Biogasanlæg!$F$3:$G$8,2,FALSE),1)</f>
        <v>#REF!</v>
      </c>
      <c r="T155" s="193" t="e">
        <f t="shared" si="50"/>
        <v>#REF!</v>
      </c>
      <c r="U155" s="191" t="e">
        <f>O155*IFERROR(VLOOKUP(A155,[1]Tørstofindhold!A$2:B$24,2,FALSE),0)</f>
        <v>#REF!</v>
      </c>
      <c r="V155" s="192" t="e">
        <f>IF(D155=År1,P155,SUM(O155,P155))*IFERROR(VLOOKUP(A155,[1]Tørstofindhold!A$2:B$24,2,FALSE),0)</f>
        <v>#REF!</v>
      </c>
      <c r="W155" s="192" t="e">
        <f>J155*IFERROR(VLOOKUP(A155,[1]Tørstofindhold!A$2:B$24,2,FALSE),0)</f>
        <v>#REF!</v>
      </c>
      <c r="X155" s="193" t="e">
        <f t="shared" si="51"/>
        <v>#REF!</v>
      </c>
      <c r="Y155" s="171" t="e">
        <f t="shared" si="43"/>
        <v>#REF!</v>
      </c>
      <c r="Z155" s="103" t="e">
        <f t="shared" si="44"/>
        <v>#REF!</v>
      </c>
    </row>
    <row r="156" spans="1:26" x14ac:dyDescent="0.25">
      <c r="A156" s="192" t="s">
        <v>97</v>
      </c>
      <c r="B156" s="194"/>
      <c r="C156" s="194">
        <f>IF(COUNTIFS('Resultater - Danmark'!$D$3:$D$482,'Resultat-Produktion &amp; forbrug'!A156,'Resultater - Danmark'!$A$3:$A$482,"Til energi")+COUNTIFS('Resultater - Danmark'!$D$3:$D$482,'Resultat-Produktion &amp; forbrug'!A156,'Resultater - Danmark'!$A$3:$A$482,"Biogasanlæg")&gt;0,1,0)</f>
        <v>0</v>
      </c>
      <c r="D156" s="194">
        <f t="shared" si="47"/>
        <v>2019</v>
      </c>
      <c r="E156" s="192" t="s">
        <v>24</v>
      </c>
      <c r="F156" s="195">
        <f>IF(E156="Vestdanmark",SUMIFS(IF(D156=År1,'Resultater - Vestdanmark'!H$3:H$482,IF(D156=År2,'Resultater - Vestdanmark'!I$3:I$482,'Resultater - Vestdanmark'!J$3:J$482)),'Resultater - Vestdanmark'!$F$3:$F$482,$A156,IF(D156=År1,'Resultater - Vestdanmark'!H$3:H$482,IF(D156=År2,'Resultater - Vestdanmark'!I$3:I$482,'Resultater - Vestdanmark'!J$3:J$482)),"&gt;0"),SUMIFS(IF(D156=År1,'Resultater - Østdanmark'!H$3:H$482,IF(D156=År2,'Resultater - Østdanmark'!I$3:I$482,'Resultater - Østdanmark'!J$3:J$482)),'Resultater - Østdanmark'!$F$3:$F$482,$A156,IF(D156=År1,'Resultater - Østdanmark'!H$3:H$482,IF(D156=År2,'Resultater - Østdanmark'!I$3:I$482,'Resultater - Østdanmark'!J$3:J$482)),"&gt;0"))</f>
        <v>0</v>
      </c>
      <c r="G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92">
        <f>IF(E156="Vestdanmark",-IF(A156="Halm",SUMIFS(IF(D156=År1,'Resultater - Vestdanmark'!H$3:H$482,IF(D156=År2,'Resultater - Vestdanmark'!I$3:I$482,'Resultater - Vestdanmark'!J$3:J$482)),'Resultater - Vestdanmark'!$F$3:$F$482,$A156,'Resultater - Vestdanmark'!H$3:H$482,"&lt;0"),0),-IF(A156="Halm",SUMIFS(IF(D156=År1,'Resultater - Østdanmark'!H$3:H$482,IF(D156=År2,'Resultater - Østdanmark'!I$3:I$482,'Resultater - Østdanmark'!J$3:J$482)),'Resultater - Østdanmark'!$F$3:$F$482,$A156,'Resultater - Østdanmark'!H$3:H$482,"&lt;0"),0))</f>
        <v>0</v>
      </c>
      <c r="I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5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7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204">
        <f t="shared" si="48"/>
        <v>-29120.587456275069</v>
      </c>
      <c r="O156" s="195">
        <f t="shared" si="39"/>
        <v>0</v>
      </c>
      <c r="P156" s="205">
        <f t="shared" si="49"/>
        <v>0</v>
      </c>
      <c r="Q156" s="192">
        <f>IFERROR(VLOOKUP(A156,[1]Energiindhold!$A$2:$C$11,3,FALSE),IFERROR(VLOOKUP(A156,[1]Biogasudbytte!$A$2:$B$18,2,FALSE)*[1]Energiindhold!$C$10,0))*O156</f>
        <v>0</v>
      </c>
      <c r="R156" s="192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92">
        <f>IFERROR(VLOOKUP(A156,[1]Biogasudbytte!$A$2:$B$18,2,FALSE)*[1]Energiindhold!$C$10,0)*J156*IFERROR(VLOOKUP(A156,Biogasanlæg!$F$3:$G$8,2,FALSE),1)</f>
        <v>0</v>
      </c>
      <c r="T156" s="193">
        <f t="shared" si="50"/>
        <v>0</v>
      </c>
      <c r="U156" s="191">
        <f>O156*IFERROR(VLOOKUP(A156,[1]Tørstofindhold!A$2:B$24,2,FALSE),0)</f>
        <v>0</v>
      </c>
      <c r="V156" s="192">
        <f>IF(D156=År1,P156,SUM(O156,P156))*IFERROR(VLOOKUP(A156,[1]Tørstofindhold!A$2:B$24,2,FALSE),0)</f>
        <v>0</v>
      </c>
      <c r="W156" s="192">
        <f>J156*IFERROR(VLOOKUP(A156,[1]Tørstofindhold!A$2:B$24,2,FALSE),0)</f>
        <v>0</v>
      </c>
      <c r="X156" s="193">
        <f t="shared" si="51"/>
        <v>0</v>
      </c>
      <c r="Y156" s="171">
        <f t="shared" si="43"/>
        <v>1</v>
      </c>
      <c r="Z156" s="103">
        <f t="shared" si="44"/>
        <v>0</v>
      </c>
    </row>
    <row r="157" spans="1:26" x14ac:dyDescent="0.25">
      <c r="A157" s="192" t="s">
        <v>114</v>
      </c>
      <c r="B157" s="194"/>
      <c r="C157" s="194">
        <f>IF(COUNTIFS('Resultater - Danmark'!$D$3:$D$482,'Resultat-Produktion &amp; forbrug'!A157,'Resultater - Danmark'!$A$3:$A$482,"Til energi")+COUNTIFS('Resultater - Danmark'!$D$3:$D$482,'Resultat-Produktion &amp; forbrug'!A157,'Resultater - Danmark'!$A$3:$A$482,"Biogasanlæg")&gt;0,1,0)</f>
        <v>0</v>
      </c>
      <c r="D157" s="194">
        <f t="shared" si="47"/>
        <v>2019</v>
      </c>
      <c r="E157" s="192" t="s">
        <v>24</v>
      </c>
      <c r="F157" s="195">
        <f>IF(E157="Vestdanmark",SUMIFS(IF(D157=År1,'Resultater - Vestdanmark'!H$3:H$482,IF(D157=År2,'Resultater - Vestdanmark'!I$3:I$482,'Resultater - Vestdanmark'!J$3:J$482)),'Resultater - Vestdanmark'!$F$3:$F$482,$A157,IF(D157=År1,'Resultater - Vestdanmark'!H$3:H$482,IF(D157=År2,'Resultater - Vestdanmark'!I$3:I$482,'Resultater - Vestdanmark'!J$3:J$482)),"&gt;0"),SUMIFS(IF(D157=År1,'Resultater - Østdanmark'!H$3:H$482,IF(D157=År2,'Resultater - Østdanmark'!I$3:I$482,'Resultater - Østdanmark'!J$3:J$482)),'Resultater - Østdanmark'!$F$3:$F$482,$A157,IF(D157=År1,'Resultater - Østdanmark'!H$3:H$482,IF(D157=År2,'Resultater - Østdanmark'!I$3:I$482,'Resultater - Østdanmark'!J$3:J$482)),"&gt;0"))</f>
        <v>0</v>
      </c>
      <c r="G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92">
        <f>IF(E157="Vestdanmark",-IF(A157="Halm",SUMIFS(IF(D157=År1,'Resultater - Vestdanmark'!H$3:H$482,IF(D157=År2,'Resultater - Vestdanmark'!I$3:I$482,'Resultater - Vestdanmark'!J$3:J$482)),'Resultater - Vestdanmark'!$F$3:$F$482,$A157,'Resultater - Vestdanmark'!H$3:H$482,"&lt;0"),0),-IF(A157="Halm",SUMIFS(IF(D157=År1,'Resultater - Østdanmark'!H$3:H$482,IF(D157=År2,'Resultater - Østdanmark'!I$3:I$482,'Resultater - Østdanmark'!J$3:J$482)),'Resultater - Østdanmark'!$F$3:$F$482,$A157,'Resultater - Østdanmark'!H$3:H$482,"&lt;0"),0))</f>
        <v>0</v>
      </c>
      <c r="I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5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7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204">
        <f t="shared" si="48"/>
        <v>0</v>
      </c>
      <c r="O157" s="195">
        <f t="shared" si="39"/>
        <v>0</v>
      </c>
      <c r="P157" s="205">
        <f t="shared" si="49"/>
        <v>0</v>
      </c>
      <c r="Q157" s="192">
        <f>IFERROR(VLOOKUP(A157,[1]Energiindhold!$A$2:$C$11,3,FALSE),IFERROR(VLOOKUP(A157,[1]Biogasudbytte!$A$2:$B$18,2,FALSE)*[1]Energiindhold!$C$10,0))*O157</f>
        <v>0</v>
      </c>
      <c r="R157" s="192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92">
        <f>IFERROR(VLOOKUP(A157,[1]Biogasudbytte!$A$2:$B$18,2,FALSE)*[1]Energiindhold!$C$10,0)*J157*IFERROR(VLOOKUP(A157,Biogasanlæg!$F$3:$G$8,2,FALSE),1)</f>
        <v>0</v>
      </c>
      <c r="T157" s="193">
        <f t="shared" si="50"/>
        <v>0</v>
      </c>
      <c r="U157" s="191">
        <f>O157*IFERROR(VLOOKUP(A157,[1]Tørstofindhold!A$2:B$24,2,FALSE),0)</f>
        <v>0</v>
      </c>
      <c r="V157" s="192">
        <f>IF(D157=År1,P157,SUM(O157,P157))*IFERROR(VLOOKUP(A157,[1]Tørstofindhold!A$2:B$24,2,FALSE),0)</f>
        <v>0</v>
      </c>
      <c r="W157" s="192">
        <f>J157*IFERROR(VLOOKUP(A157,[1]Tørstofindhold!A$2:B$24,2,FALSE),0)</f>
        <v>0</v>
      </c>
      <c r="X157" s="193">
        <f t="shared" si="51"/>
        <v>0</v>
      </c>
      <c r="Y157" s="171">
        <f t="shared" si="43"/>
        <v>0</v>
      </c>
      <c r="Z157" s="103">
        <f t="shared" si="44"/>
        <v>0</v>
      </c>
    </row>
    <row r="158" spans="1:26" x14ac:dyDescent="0.25">
      <c r="A158" s="192" t="s">
        <v>54</v>
      </c>
      <c r="B158" s="194"/>
      <c r="C158" s="194">
        <f>IF(COUNTIFS('Resultater - Danmark'!$D$3:$D$482,'Resultat-Produktion &amp; forbrug'!A158,'Resultater - Danmark'!$A$3:$A$482,"Til energi")+COUNTIFS('Resultater - Danmark'!$D$3:$D$482,'Resultat-Produktion &amp; forbrug'!A158,'Resultater - Danmark'!$A$3:$A$482,"Biogasanlæg")&gt;0,1,0)</f>
        <v>0</v>
      </c>
      <c r="D158" s="194">
        <f t="shared" si="47"/>
        <v>2019</v>
      </c>
      <c r="E158" s="192" t="s">
        <v>24</v>
      </c>
      <c r="F158" s="195">
        <f>IF(E158="Vestdanmark",SUMIFS(IF(D158=År1,'Resultater - Vestdanmark'!H$3:H$482,IF(D158=År2,'Resultater - Vestdanmark'!I$3:I$482,'Resultater - Vestdanmark'!J$3:J$482)),'Resultater - Vestdanmark'!$F$3:$F$482,$A158,IF(D158=År1,'Resultater - Vestdanmark'!H$3:H$482,IF(D158=År2,'Resultater - Vestdanmark'!I$3:I$482,'Resultater - Vestdanmark'!J$3:J$482)),"&gt;0"),SUMIFS(IF(D158=År1,'Resultater - Østdanmark'!H$3:H$482,IF(D158=År2,'Resultater - Østdanmark'!I$3:I$482,'Resultater - Østdanmark'!J$3:J$482)),'Resultater - Østdanmark'!$F$3:$F$482,$A158,IF(D158=År1,'Resultater - Østdanmark'!H$3:H$482,IF(D158=År2,'Resultater - Østdanmark'!I$3:I$482,'Resultater - Østdanmark'!J$3:J$482)),"&gt;0"))</f>
        <v>0</v>
      </c>
      <c r="G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92">
        <f>IF(E158="Vestdanmark",-IF(A158="Halm",SUMIFS(IF(D158=År1,'Resultater - Vestdanmark'!H$3:H$482,IF(D158=År2,'Resultater - Vestdanmark'!I$3:I$482,'Resultater - Vestdanmark'!J$3:J$482)),'Resultater - Vestdanmark'!$F$3:$F$482,$A158,'Resultater - Vestdanmark'!H$3:H$482,"&lt;0"),0),-IF(A158="Halm",SUMIFS(IF(D158=År1,'Resultater - Østdanmark'!H$3:H$482,IF(D158=År2,'Resultater - Østdanmark'!I$3:I$482,'Resultater - Østdanmark'!J$3:J$482)),'Resultater - Østdanmark'!$F$3:$F$482,$A158,'Resultater - Østdanmark'!H$3:H$482,"&lt;0"),0))</f>
        <v>0</v>
      </c>
      <c r="I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5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7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204">
        <f t="shared" si="48"/>
        <v>-212804.29294970242</v>
      </c>
      <c r="O158" s="195">
        <f t="shared" si="39"/>
        <v>0</v>
      </c>
      <c r="P158" s="205">
        <f t="shared" si="49"/>
        <v>0</v>
      </c>
      <c r="Q158" s="192">
        <f>IFERROR(VLOOKUP(A158,[1]Energiindhold!$A$2:$C$11,3,FALSE),IFERROR(VLOOKUP(A158,[1]Biogasudbytte!$A$2:$B$18,2,FALSE)*[1]Energiindhold!$C$10,0))*O158</f>
        <v>0</v>
      </c>
      <c r="R158" s="192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92">
        <f>IFERROR(VLOOKUP(A158,[1]Biogasudbytte!$A$2:$B$18,2,FALSE)*[1]Energiindhold!$C$10,0)*J158*IFERROR(VLOOKUP(A158,Biogasanlæg!$F$3:$G$8,2,FALSE),1)</f>
        <v>0</v>
      </c>
      <c r="T158" s="193">
        <f t="shared" si="50"/>
        <v>0</v>
      </c>
      <c r="U158" s="191">
        <f>O158*IFERROR(VLOOKUP(A158,[1]Tørstofindhold!A$2:B$24,2,FALSE),0)</f>
        <v>0</v>
      </c>
      <c r="V158" s="192">
        <f>IF(D158=År1,P158,SUM(O158,P158))*IFERROR(VLOOKUP(A158,[1]Tørstofindhold!A$2:B$24,2,FALSE),0)</f>
        <v>0</v>
      </c>
      <c r="W158" s="192">
        <f>J158*IFERROR(VLOOKUP(A158,[1]Tørstofindhold!A$2:B$24,2,FALSE),0)</f>
        <v>0</v>
      </c>
      <c r="X158" s="193">
        <f t="shared" si="51"/>
        <v>0</v>
      </c>
      <c r="Y158" s="171">
        <f t="shared" si="43"/>
        <v>1</v>
      </c>
      <c r="Z158" s="103">
        <f t="shared" si="44"/>
        <v>0</v>
      </c>
    </row>
    <row r="159" spans="1:26" x14ac:dyDescent="0.25">
      <c r="A159" s="194" t="s">
        <v>159</v>
      </c>
      <c r="B159" s="194" t="s">
        <v>159</v>
      </c>
      <c r="C159" s="194">
        <f>IF(COUNTIFS('Resultater - Danmark'!$D$3:$D$482,'Resultat-Produktion &amp; forbrug'!A159,'Resultater - Danmark'!$A$3:$A$482,"Til energi")+COUNTIFS('Resultater - Danmark'!$D$3:$D$482,'Resultat-Produktion &amp; forbrug'!A159,'Resultater - Danmark'!$A$3:$A$482,"Biogasanlæg")&gt;0,1,0)</f>
        <v>1</v>
      </c>
      <c r="D159" s="194">
        <f t="shared" si="47"/>
        <v>2019</v>
      </c>
      <c r="E159" s="192" t="s">
        <v>24</v>
      </c>
      <c r="F159" s="195">
        <f>IF(E159="Vestdanmark",SUMIFS(IF(D159=År1,'Resultater - Vestdanmark'!H$3:H$482,IF(D159=År2,'Resultater - Vestdanmark'!I$3:I$482,'Resultater - Vestdanmark'!J$3:J$482)),'Resultater - Vestdanmark'!$F$3:$F$482,$A159,IF(D159=År1,'Resultater - Vestdanmark'!H$3:H$482,IF(D159=År2,'Resultater - Vestdanmark'!I$3:I$482,'Resultater - Vestdanmark'!J$3:J$482)),"&gt;0"),SUMIFS(IF(D159=År1,'Resultater - Østdanmark'!H$3:H$482,IF(D159=År2,'Resultater - Østdanmark'!I$3:I$482,'Resultater - Østdanmark'!J$3:J$482)),'Resultater - Østdanmark'!$F$3:$F$482,$A159,IF(D159=År1,'Resultater - Østdanmark'!H$3:H$482,IF(D159=År2,'Resultater - Østdanmark'!I$3:I$482,'Resultater - Østdanmark'!J$3:J$482)),"&gt;0"))</f>
        <v>0</v>
      </c>
      <c r="G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92">
        <f>IF(E159="Vestdanmark",-IF(A159="Halm",SUMIFS(IF(D159=År1,'Resultater - Vestdanmark'!H$3:H$482,IF(D159=År2,'Resultater - Vestdanmark'!I$3:I$482,'Resultater - Vestdanmark'!J$3:J$482)),'Resultater - Vestdanmark'!$F$3:$F$482,$A159,'Resultater - Vestdanmark'!H$3:H$482,"&lt;0"),0),-IF(A159="Halm",SUMIFS(IF(D159=År1,'Resultater - Østdanmark'!H$3:H$482,IF(D159=År2,'Resultater - Østdanmark'!I$3:I$482,'Resultater - Østdanmark'!J$3:J$482)),'Resultater - Østdanmark'!$F$3:$F$482,$A159,'Resultater - Østdanmark'!H$3:H$482,"&lt;0"),0))</f>
        <v>0</v>
      </c>
      <c r="I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5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7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204">
        <f t="shared" si="48"/>
        <v>-28548.400000000001</v>
      </c>
      <c r="O159" s="195">
        <f t="shared" si="39"/>
        <v>0</v>
      </c>
      <c r="P159" s="205">
        <f t="shared" si="49"/>
        <v>28548.400000000001</v>
      </c>
      <c r="Q159" s="192">
        <f>IFERROR(VLOOKUP(A159,[1]Energiindhold!$A$2:$C$11,3,FALSE),IFERROR(VLOOKUP(A159,[1]Biogasudbytte!$A$2:$B$18,2,FALSE)*[1]Energiindhold!$C$10,0))*O159</f>
        <v>0</v>
      </c>
      <c r="R159" s="192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92">
        <f>IFERROR(VLOOKUP(A159,[1]Biogasudbytte!$A$2:$B$18,2,FALSE)*[1]Energiindhold!$C$10,0)*J159*IFERROR(VLOOKUP(A159,Biogasanlæg!$F$3:$G$8,2,FALSE),1)</f>
        <v>0.43389639740160008</v>
      </c>
      <c r="T159" s="193">
        <f t="shared" si="50"/>
        <v>0</v>
      </c>
      <c r="U159" s="191">
        <f>O159*IFERROR(VLOOKUP(A159,[1]Tørstofindhold!A$2:B$24,2,FALSE),0)</f>
        <v>0</v>
      </c>
      <c r="V159" s="192">
        <f>IF(D159=År1,P159,SUM(O159,P159))*IFERROR(VLOOKUP(A159,[1]Tørstofindhold!A$2:B$24,2,FALSE),0)</f>
        <v>25693.56</v>
      </c>
      <c r="W159" s="192">
        <f>J159*IFERROR(VLOOKUP(A159,[1]Tørstofindhold!A$2:B$24,2,FALSE),0)</f>
        <v>25693.56</v>
      </c>
      <c r="X159" s="193">
        <f t="shared" si="51"/>
        <v>0</v>
      </c>
      <c r="Y159" s="171">
        <f t="shared" si="43"/>
        <v>1</v>
      </c>
      <c r="Z159" s="103">
        <f t="shared" si="44"/>
        <v>0</v>
      </c>
    </row>
    <row r="160" spans="1:26" x14ac:dyDescent="0.25">
      <c r="A160" s="194" t="s">
        <v>51</v>
      </c>
      <c r="B160" s="194" t="s">
        <v>226</v>
      </c>
      <c r="C160" s="194">
        <f>IF(COUNTIFS('Resultater - Danmark'!$D$3:$D$482,'Resultat-Produktion &amp; forbrug'!A160,'Resultater - Danmark'!$A$3:$A$482,"Til energi")+COUNTIFS('Resultater - Danmark'!$D$3:$D$482,'Resultat-Produktion &amp; forbrug'!A160,'Resultater - Danmark'!$A$3:$A$482,"Biogasanlæg")&gt;0,1,0)</f>
        <v>1</v>
      </c>
      <c r="D160" s="194">
        <f t="shared" si="47"/>
        <v>2019</v>
      </c>
      <c r="E160" s="192" t="s">
        <v>24</v>
      </c>
      <c r="F160" s="195">
        <f>IF(E160="Vestdanmark",SUMIFS(IF(D160=År1,'Resultater - Vestdanmark'!H$3:H$482,IF(D160=År2,'Resultater - Vestdanmark'!I$3:I$482,'Resultater - Vestdanmark'!J$3:J$482)),'Resultater - Vestdanmark'!$F$3:$F$482,$A160,IF(D160=År1,'Resultater - Vestdanmark'!H$3:H$482,IF(D160=År2,'Resultater - Vestdanmark'!I$3:I$482,'Resultater - Vestdanmark'!J$3:J$482)),"&gt;0"),SUMIFS(IF(D160=År1,'Resultater - Østdanmark'!H$3:H$482,IF(D160=År2,'Resultater - Østdanmark'!I$3:I$482,'Resultater - Østdanmark'!J$3:J$482)),'Resultater - Østdanmark'!$F$3:$F$482,$A160,IF(D160=År1,'Resultater - Østdanmark'!H$3:H$482,IF(D160=År2,'Resultater - Østdanmark'!I$3:I$482,'Resultater - Østdanmark'!J$3:J$482)),"&gt;0"))</f>
        <v>0</v>
      </c>
      <c r="G160" s="195" t="e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#REF!</v>
      </c>
      <c r="H160" s="192">
        <f>IF(E160="Vestdanmark",-IF(A160="Halm",SUMIFS(IF(D160=År1,'Resultater - Vestdanmark'!H$3:H$482,IF(D160=År2,'Resultater - Vestdanmark'!I$3:I$482,'Resultater - Vestdanmark'!J$3:J$482)),'Resultater - Vestdanmark'!$F$3:$F$482,$A160,'Resultater - Vestdanmark'!H$3:H$482,"&lt;0"),0),-IF(A160="Halm",SUMIFS(IF(D160=År1,'Resultater - Østdanmark'!H$3:H$482,IF(D160=År2,'Resultater - Østdanmark'!I$3:I$482,'Resultater - Østdanmark'!J$3:J$482)),'Resultater - Østdanmark'!$F$3:$F$482,$A160,'Resultater - Østdanmark'!H$3:H$482,"&lt;0"),0))</f>
        <v>0</v>
      </c>
      <c r="I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5" t="e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#REF!</v>
      </c>
      <c r="K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5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7" t="e">
        <f>SUMIFS('Forbrug af biomasse'!E:E,'Forbrug af biomasse'!C:C,'Resultat-Produktion &amp; forbrug'!$A160,'Forbrug af biomasse'!D:D,'Resultat-Produktion &amp; forbrug'!$D160,'Forbrug af biomasse'!G:G,1,'Forbrug af biomasse'!B:B,$E160)</f>
        <v>#REF!</v>
      </c>
      <c r="N160" s="204" t="e">
        <f t="shared" si="48"/>
        <v>#REF!</v>
      </c>
      <c r="O160" s="195" t="e">
        <f t="shared" si="39"/>
        <v>#REF!</v>
      </c>
      <c r="P160" s="205" t="e">
        <f t="shared" si="49"/>
        <v>#REF!</v>
      </c>
      <c r="Q160" s="192" t="e">
        <f>IFERROR(VLOOKUP(A160,[1]Energiindhold!$A$2:$C$11,3,FALSE),IFERROR(VLOOKUP(A160,[1]Biogasudbytte!$A$2:$B$18,2,FALSE)*[1]Energiindhold!$C$10,0))*O160</f>
        <v>#REF!</v>
      </c>
      <c r="R160" s="192" t="e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#REF!</v>
      </c>
      <c r="S160" s="192" t="e">
        <f>IFERROR(VLOOKUP(A160,[1]Biogasudbytte!$A$2:$B$18,2,FALSE)*[1]Energiindhold!$C$10,0)*J160*IFERROR(VLOOKUP(A160,Biogasanlæg!$F$3:$G$8,2,FALSE),1)</f>
        <v>#REF!</v>
      </c>
      <c r="T160" s="193" t="e">
        <f t="shared" si="50"/>
        <v>#REF!</v>
      </c>
      <c r="U160" s="191" t="e">
        <f>O160*IFERROR(VLOOKUP(A160,[1]Tørstofindhold!A$2:B$24,2,FALSE),0)</f>
        <v>#REF!</v>
      </c>
      <c r="V160" s="192" t="e">
        <f>IF(D160=År1,P160,SUM(O160,P160))*IFERROR(VLOOKUP(A160,[1]Tørstofindhold!A$2:B$24,2,FALSE),0)</f>
        <v>#REF!</v>
      </c>
      <c r="W160" s="192" t="e">
        <f>J160*IFERROR(VLOOKUP(A160,[1]Tørstofindhold!A$2:B$24,2,FALSE),0)</f>
        <v>#REF!</v>
      </c>
      <c r="X160" s="193" t="e">
        <f t="shared" si="51"/>
        <v>#REF!</v>
      </c>
      <c r="Y160" s="171" t="e">
        <f t="shared" si="43"/>
        <v>#REF!</v>
      </c>
      <c r="Z160" s="103" t="e">
        <f t="shared" si="44"/>
        <v>#REF!</v>
      </c>
    </row>
    <row r="161" spans="1:26" x14ac:dyDescent="0.25">
      <c r="A161" s="194" t="s">
        <v>205</v>
      </c>
      <c r="B161" s="194"/>
      <c r="C161" s="194">
        <f>IF(COUNTIFS('Resultater - Danmark'!$D$3:$D$482,'Resultat-Produktion &amp; forbrug'!A161,'Resultater - Danmark'!$A$3:$A$482,"Til energi")+COUNTIFS('Resultater - Danmark'!$D$3:$D$482,'Resultat-Produktion &amp; forbrug'!A161,'Resultater - Danmark'!$A$3:$A$482,"Biogasanlæg")&gt;0,1,0)</f>
        <v>0</v>
      </c>
      <c r="D161" s="194">
        <f t="shared" si="47"/>
        <v>2019</v>
      </c>
      <c r="E161" s="192" t="s">
        <v>24</v>
      </c>
      <c r="F161" s="195">
        <f>IF(E161="Vestdanmark",SUMIFS(IF(D161=År1,'Resultater - Vestdanmark'!H$3:H$482,IF(D161=År2,'Resultater - Vestdanmark'!I$3:I$482,'Resultater - Vestdanmark'!J$3:J$482)),'Resultater - Vestdanmark'!$F$3:$F$482,$A161,IF(D161=År1,'Resultater - Vestdanmark'!H$3:H$482,IF(D161=År2,'Resultater - Vestdanmark'!I$3:I$482,'Resultater - Vestdanmark'!J$3:J$482)),"&gt;0"),SUMIFS(IF(D161=År1,'Resultater - Østdanmark'!H$3:H$482,IF(D161=År2,'Resultater - Østdanmark'!I$3:I$482,'Resultater - Østdanmark'!J$3:J$482)),'Resultater - Østdanmark'!$F$3:$F$482,$A161,IF(D161=År1,'Resultater - Østdanmark'!H$3:H$482,IF(D161=År2,'Resultater - Østdanmark'!I$3:I$482,'Resultater - Østdanmark'!J$3:J$482)),"&gt;0"))</f>
        <v>0</v>
      </c>
      <c r="G161" s="195" t="e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#REF!</v>
      </c>
      <c r="H161" s="192">
        <f>IF(E161="Vestdanmark",-IF(A161="Halm",SUMIFS(IF(D161=År1,'Resultater - Vestdanmark'!H$3:H$482,IF(D161=År2,'Resultater - Vestdanmark'!I$3:I$482,'Resultater - Vestdanmark'!J$3:J$482)),'Resultater - Vestdanmark'!$F$3:$F$482,$A161,'Resultater - Vestdanmark'!H$3:H$482,"&lt;0"),0),-IF(A161="Halm",SUMIFS(IF(D161=År1,'Resultater - Østdanmark'!H$3:H$482,IF(D161=År2,'Resultater - Østdanmark'!I$3:I$482,'Resultater - Østdanmark'!J$3:J$482)),'Resultater - Østdanmark'!$F$3:$F$482,$A161,'Resultater - Østdanmark'!H$3:H$482,"&lt;0"),0))</f>
        <v>0</v>
      </c>
      <c r="I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5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7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204" t="e">
        <f t="shared" si="48"/>
        <v>#REF!</v>
      </c>
      <c r="O161" s="195">
        <f t="shared" si="39"/>
        <v>0</v>
      </c>
      <c r="P161" s="205">
        <f t="shared" si="49"/>
        <v>0</v>
      </c>
      <c r="Q161" s="192">
        <f>IFERROR(VLOOKUP(A161,[1]Energiindhold!$A$2:$C$11,3,FALSE),IFERROR(VLOOKUP(A161,[1]Biogasudbytte!$A$2:$B$18,2,FALSE)*[1]Energiindhold!$C$10,0))*O161</f>
        <v>0</v>
      </c>
      <c r="R161" s="192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92">
        <f>IFERROR(VLOOKUP(A161,[1]Biogasudbytte!$A$2:$B$18,2,FALSE)*[1]Energiindhold!$C$10,0)*J161*IFERROR(VLOOKUP(A161,Biogasanlæg!$F$3:$G$8,2,FALSE),1)</f>
        <v>0</v>
      </c>
      <c r="T161" s="193">
        <f t="shared" si="50"/>
        <v>0</v>
      </c>
      <c r="U161" s="191">
        <f>O161*IFERROR(VLOOKUP(A161,[1]Tørstofindhold!A$2:B$24,2,FALSE),0)</f>
        <v>0</v>
      </c>
      <c r="V161" s="192">
        <f>IF(D161=År1,P161,SUM(O161,P161))*IFERROR(VLOOKUP(A161,[1]Tørstofindhold!A$2:B$24,2,FALSE),0)</f>
        <v>0</v>
      </c>
      <c r="W161" s="192">
        <f>J161*IFERROR(VLOOKUP(A161,[1]Tørstofindhold!A$2:B$24,2,FALSE),0)</f>
        <v>0</v>
      </c>
      <c r="X161" s="193">
        <f t="shared" si="51"/>
        <v>0</v>
      </c>
      <c r="Y161" s="171" t="e">
        <f t="shared" si="43"/>
        <v>#REF!</v>
      </c>
      <c r="Z161" s="103" t="e">
        <f t="shared" si="44"/>
        <v>#REF!</v>
      </c>
    </row>
    <row r="162" spans="1:26" x14ac:dyDescent="0.25">
      <c r="A162" s="194" t="s">
        <v>6</v>
      </c>
      <c r="B162" s="194"/>
      <c r="C162" s="194">
        <f>IF(COUNTIFS('Resultater - Danmark'!$D$3:$D$482,'Resultat-Produktion &amp; forbrug'!A162,'Resultater - Danmark'!$A$3:$A$482,"Til energi")+COUNTIFS('Resultater - Danmark'!$D$3:$D$482,'Resultat-Produktion &amp; forbrug'!A162,'Resultater - Danmark'!$A$3:$A$482,"Biogasanlæg")&gt;0,1,0)</f>
        <v>0</v>
      </c>
      <c r="D162" s="194">
        <f t="shared" si="47"/>
        <v>2019</v>
      </c>
      <c r="E162" s="192" t="s">
        <v>24</v>
      </c>
      <c r="F162" s="195">
        <f>IF(E162="Vestdanmark",SUMIFS(IF(D162=År1,'Resultater - Vestdanmark'!H$3:H$482,IF(D162=År2,'Resultater - Vestdanmark'!I$3:I$482,'Resultater - Vestdanmark'!J$3:J$482)),'Resultater - Vestdanmark'!$F$3:$F$482,$A162,IF(D162=År1,'Resultater - Vestdanmark'!H$3:H$482,IF(D162=År2,'Resultater - Vestdanmark'!I$3:I$482,'Resultater - Vestdanmark'!J$3:J$482)),"&gt;0"),SUMIFS(IF(D162=År1,'Resultater - Østdanmark'!H$3:H$482,IF(D162=År2,'Resultater - Østdanmark'!I$3:I$482,'Resultater - Østdanmark'!J$3:J$482)),'Resultater - Østdanmark'!$F$3:$F$482,$A162,IF(D162=År1,'Resultater - Østdanmark'!H$3:H$482,IF(D162=År2,'Resultater - Østdanmark'!I$3:I$482,'Resultater - Østdanmark'!J$3:J$482)),"&gt;0"))</f>
        <v>0</v>
      </c>
      <c r="G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92">
        <f>IF(E162="Vestdanmark",-IF(A162="Halm",SUMIFS(IF(D162=År1,'Resultater - Vestdanmark'!H$3:H$482,IF(D162=År2,'Resultater - Vestdanmark'!I$3:I$482,'Resultater - Vestdanmark'!J$3:J$482)),'Resultater - Vestdanmark'!$F$3:$F$482,$A162,'Resultater - Vestdanmark'!H$3:H$482,"&lt;0"),0),-IF(A162="Halm",SUMIFS(IF(D162=År1,'Resultater - Østdanmark'!H$3:H$482,IF(D162=År2,'Resultater - Østdanmark'!I$3:I$482,'Resultater - Østdanmark'!J$3:J$482)),'Resultater - Østdanmark'!$F$3:$F$482,$A162,'Resultater - Østdanmark'!H$3:H$482,"&lt;0"),0))</f>
        <v>0</v>
      </c>
      <c r="I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5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7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204">
        <f t="shared" si="48"/>
        <v>-222884.49629995148</v>
      </c>
      <c r="O162" s="195">
        <f t="shared" si="39"/>
        <v>0</v>
      </c>
      <c r="P162" s="205">
        <f t="shared" si="49"/>
        <v>0</v>
      </c>
      <c r="Q162" s="192">
        <f>IFERROR(VLOOKUP(A162,[1]Energiindhold!$A$2:$C$11,3,FALSE),IFERROR(VLOOKUP(A162,[1]Biogasudbytte!$A$2:$B$18,2,FALSE)*[1]Energiindhold!$C$10,0))*O162</f>
        <v>0</v>
      </c>
      <c r="R162" s="192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92">
        <f>IFERROR(VLOOKUP(A162,[1]Biogasudbytte!$A$2:$B$18,2,FALSE)*[1]Energiindhold!$C$10,0)*J162*IFERROR(VLOOKUP(A162,Biogasanlæg!$F$3:$G$8,2,FALSE),1)</f>
        <v>0</v>
      </c>
      <c r="T162" s="193">
        <f t="shared" si="50"/>
        <v>0</v>
      </c>
      <c r="U162" s="191">
        <f>O162*IFERROR(VLOOKUP(A162,[1]Tørstofindhold!A$2:B$24,2,FALSE),0)</f>
        <v>0</v>
      </c>
      <c r="V162" s="192">
        <f>IF(D162=År1,P162,SUM(O162,P162))*IFERROR(VLOOKUP(A162,[1]Tørstofindhold!A$2:B$24,2,FALSE),0)</f>
        <v>0</v>
      </c>
      <c r="W162" s="192">
        <f>J162*IFERROR(VLOOKUP(A162,[1]Tørstofindhold!A$2:B$24,2,FALSE),0)</f>
        <v>0</v>
      </c>
      <c r="X162" s="193">
        <f t="shared" si="51"/>
        <v>0</v>
      </c>
      <c r="Y162" s="171">
        <f t="shared" si="43"/>
        <v>1</v>
      </c>
      <c r="Z162" s="103">
        <f t="shared" si="44"/>
        <v>0</v>
      </c>
    </row>
    <row r="163" spans="1:26" x14ac:dyDescent="0.25">
      <c r="A163" s="194" t="s">
        <v>68</v>
      </c>
      <c r="B163" s="194" t="s">
        <v>229</v>
      </c>
      <c r="C163" s="194">
        <f>IF(COUNTIFS('Resultater - Danmark'!$D$3:$D$482,'Resultat-Produktion &amp; forbrug'!A163,'Resultater - Danmark'!$A$3:$A$482,"Til energi")+COUNTIFS('Resultater - Danmark'!$D$3:$D$482,'Resultat-Produktion &amp; forbrug'!A163,'Resultater - Danmark'!$A$3:$A$482,"Biogasanlæg")&gt;0,1,0)</f>
        <v>1</v>
      </c>
      <c r="D163" s="194">
        <f t="shared" si="47"/>
        <v>2019</v>
      </c>
      <c r="E163" s="192" t="s">
        <v>24</v>
      </c>
      <c r="F163" s="195">
        <f>IF(E163="Vestdanmark",SUMIFS(IF(D163=År1,'Resultater - Vestdanmark'!H$3:H$482,IF(D163=År2,'Resultater - Vestdanmark'!I$3:I$482,'Resultater - Vestdanmark'!J$3:J$482)),'Resultater - Vestdanmark'!$F$3:$F$482,$A163,IF(D163=År1,'Resultater - Vestdanmark'!H$3:H$482,IF(D163=År2,'Resultater - Vestdanmark'!I$3:I$482,'Resultater - Vestdanmark'!J$3:J$482)),"&gt;0"),SUMIFS(IF(D163=År1,'Resultater - Østdanmark'!H$3:H$482,IF(D163=År2,'Resultater - Østdanmark'!I$3:I$482,'Resultater - Østdanmark'!J$3:J$482)),'Resultater - Østdanmark'!$F$3:$F$482,$A163,IF(D163=År1,'Resultater - Østdanmark'!H$3:H$482,IF(D163=År2,'Resultater - Østdanmark'!I$3:I$482,'Resultater - Østdanmark'!J$3:J$482)),"&gt;0"))</f>
        <v>0</v>
      </c>
      <c r="G163" s="195" t="e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#REF!</v>
      </c>
      <c r="H163" s="192">
        <f>IF(E163="Vestdanmark",-IF(A163="Halm",SUMIFS(IF(D163=År1,'Resultater - Vestdanmark'!H$3:H$482,IF(D163=År2,'Resultater - Vestdanmark'!I$3:I$482,'Resultater - Vestdanmark'!J$3:J$482)),'Resultater - Vestdanmark'!$F$3:$F$482,$A163,'Resultater - Vestdanmark'!H$3:H$482,"&lt;0"),0),-IF(A163="Halm",SUMIFS(IF(D163=År1,'Resultater - Østdanmark'!H$3:H$482,IF(D163=År2,'Resultater - Østdanmark'!I$3:I$482,'Resultater - Østdanmark'!J$3:J$482)),'Resultater - Østdanmark'!$F$3:$F$482,$A163,'Resultater - Østdanmark'!H$3:H$482,"&lt;0"),0))</f>
        <v>0</v>
      </c>
      <c r="I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5" t="e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#REF!</v>
      </c>
      <c r="K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5" t="e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#REF!</v>
      </c>
      <c r="M163" s="157" t="e">
        <f>SUMIFS('Forbrug af biomasse'!E:E,'Forbrug af biomasse'!C:C,'Resultat-Produktion &amp; forbrug'!$A163,'Forbrug af biomasse'!D:D,'Resultat-Produktion &amp; forbrug'!$D163,'Forbrug af biomasse'!G:G,1,'Forbrug af biomasse'!B:B,$E163)</f>
        <v>#REF!</v>
      </c>
      <c r="N163" s="204" t="e">
        <f t="shared" si="48"/>
        <v>#REF!</v>
      </c>
      <c r="O163" s="195" t="e">
        <f t="shared" si="39"/>
        <v>#REF!</v>
      </c>
      <c r="P163" s="205" t="e">
        <f t="shared" si="49"/>
        <v>#REF!</v>
      </c>
      <c r="Q163" s="192" t="e">
        <f>IFERROR(VLOOKUP(A163,[1]Energiindhold!$A$2:$C$11,3,FALSE),IFERROR(VLOOKUP(A163,[1]Biogasudbytte!$A$2:$B$18,2,FALSE)*[1]Energiindhold!$C$10,0))*O163</f>
        <v>#REF!</v>
      </c>
      <c r="R163" s="192" t="e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#REF!</v>
      </c>
      <c r="S163" s="192" t="e">
        <f>IFERROR(VLOOKUP(A163,[1]Biogasudbytte!$A$2:$B$18,2,FALSE)*[1]Energiindhold!$C$10,0)*J163*IFERROR(VLOOKUP(A163,Biogasanlæg!$F$3:$G$8,2,FALSE),1)</f>
        <v>#REF!</v>
      </c>
      <c r="T163" s="193" t="e">
        <f t="shared" si="50"/>
        <v>#REF!</v>
      </c>
      <c r="U163" s="191" t="e">
        <f>O163*IFERROR(VLOOKUP(A163,[1]Tørstofindhold!A$2:B$24,2,FALSE),0)</f>
        <v>#REF!</v>
      </c>
      <c r="V163" s="192" t="e">
        <f>IF(D163=År1,P163,SUM(O163,P163))*IFERROR(VLOOKUP(A163,[1]Tørstofindhold!A$2:B$24,2,FALSE),0)</f>
        <v>#REF!</v>
      </c>
      <c r="W163" s="192" t="e">
        <f>J163*IFERROR(VLOOKUP(A163,[1]Tørstofindhold!A$2:B$24,2,FALSE),0)</f>
        <v>#REF!</v>
      </c>
      <c r="X163" s="193" t="e">
        <f t="shared" si="51"/>
        <v>#REF!</v>
      </c>
      <c r="Y163" s="171" t="e">
        <f t="shared" si="43"/>
        <v>#REF!</v>
      </c>
      <c r="Z163" s="103" t="e">
        <f t="shared" si="44"/>
        <v>#REF!</v>
      </c>
    </row>
    <row r="164" spans="1:26" x14ac:dyDescent="0.25">
      <c r="A164" s="194" t="s">
        <v>163</v>
      </c>
      <c r="B164" s="194" t="s">
        <v>232</v>
      </c>
      <c r="C164" s="194">
        <f>IF(COUNTIFS('Resultater - Danmark'!$D$3:$D$482,'Resultat-Produktion &amp; forbrug'!A164,'Resultater - Danmark'!$A$3:$A$482,"Til energi")+COUNTIFS('Resultater - Danmark'!$D$3:$D$482,'Resultat-Produktion &amp; forbrug'!A164,'Resultater - Danmark'!$A$3:$A$482,"Biogasanlæg")&gt;0,1,0)</f>
        <v>1</v>
      </c>
      <c r="D164" s="194">
        <f t="shared" si="47"/>
        <v>2019</v>
      </c>
      <c r="E164" s="192" t="s">
        <v>24</v>
      </c>
      <c r="F164" s="195">
        <f>IF(E164="Vestdanmark",SUMIFS(IF(D164=År1,'Resultater - Vestdanmark'!H$3:H$482,IF(D164=År2,'Resultater - Vestdanmark'!I$3:I$482,'Resultater - Vestdanmark'!J$3:J$482)),'Resultater - Vestdanmark'!$F$3:$F$482,$A164,IF(D164=År1,'Resultater - Vestdanmark'!H$3:H$482,IF(D164=År2,'Resultater - Vestdanmark'!I$3:I$482,'Resultater - Vestdanmark'!J$3:J$482)),"&gt;0"),SUMIFS(IF(D164=År1,'Resultater - Østdanmark'!H$3:H$482,IF(D164=År2,'Resultater - Østdanmark'!I$3:I$482,'Resultater - Østdanmark'!J$3:J$482)),'Resultater - Østdanmark'!$F$3:$F$482,$A164,IF(D164=År1,'Resultater - Østdanmark'!H$3:H$482,IF(D164=År2,'Resultater - Østdanmark'!I$3:I$482,'Resultater - Østdanmark'!J$3:J$482)),"&gt;0"))</f>
        <v>0</v>
      </c>
      <c r="G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92">
        <f>IF(E164="Vestdanmark",-IF(A164="Halm",SUMIFS(IF(D164=År1,'Resultater - Vestdanmark'!H$3:H$482,IF(D164=År2,'Resultater - Vestdanmark'!I$3:I$482,'Resultater - Vestdanmark'!J$3:J$482)),'Resultater - Vestdanmark'!$F$3:$F$482,$A164,'Resultater - Vestdanmark'!H$3:H$482,"&lt;0"),0),-IF(A164="Halm",SUMIFS(IF(D164=År1,'Resultater - Østdanmark'!H$3:H$482,IF(D164=År2,'Resultater - Østdanmark'!I$3:I$482,'Resultater - Østdanmark'!J$3:J$482)),'Resultater - Østdanmark'!$F$3:$F$482,$A164,'Resultater - Østdanmark'!H$3:H$482,"&lt;0"),0))</f>
        <v>0</v>
      </c>
      <c r="I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5" t="e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#REF!</v>
      </c>
      <c r="K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5" t="e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#REF!</v>
      </c>
      <c r="M164" s="157" t="e">
        <f>SUMIFS('Forbrug af biomasse'!E:E,'Forbrug af biomasse'!C:C,'Resultat-Produktion &amp; forbrug'!$A164,'Forbrug af biomasse'!D:D,'Resultat-Produktion &amp; forbrug'!$D164,'Forbrug af biomasse'!G:G,1,'Forbrug af biomasse'!B:B,$E164)</f>
        <v>#REF!</v>
      </c>
      <c r="N164" s="204" t="e">
        <f t="shared" si="48"/>
        <v>#REF!</v>
      </c>
      <c r="O164" s="195" t="e">
        <f t="shared" si="39"/>
        <v>#REF!</v>
      </c>
      <c r="P164" s="205" t="e">
        <f t="shared" si="49"/>
        <v>#REF!</v>
      </c>
      <c r="Q164" s="192" t="e">
        <f>IFERROR(VLOOKUP(A164,[1]Energiindhold!$A$2:$C$11,3,FALSE),IFERROR(VLOOKUP(A164,[1]Biogasudbytte!$A$2:$B$18,2,FALSE)*[1]Energiindhold!$C$10,0))*O164</f>
        <v>#REF!</v>
      </c>
      <c r="R164" s="192" t="e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#REF!</v>
      </c>
      <c r="S164" s="192" t="e">
        <f>IFERROR(VLOOKUP(A164,[1]Biogasudbytte!$A$2:$B$18,2,FALSE)*[1]Energiindhold!$C$10,0)*J164*IFERROR(VLOOKUP(A164,Biogasanlæg!$F$3:$G$8,2,FALSE),1)</f>
        <v>#REF!</v>
      </c>
      <c r="T164" s="193" t="e">
        <f t="shared" si="50"/>
        <v>#REF!</v>
      </c>
      <c r="U164" s="191" t="e">
        <f>O164*IFERROR(VLOOKUP(A164,[1]Tørstofindhold!A$2:B$24,2,FALSE),0)</f>
        <v>#REF!</v>
      </c>
      <c r="V164" s="192" t="e">
        <f>IF(D164=År1,P164,SUM(O164,P164))*IFERROR(VLOOKUP(A164,[1]Tørstofindhold!A$2:B$24,2,FALSE),0)</f>
        <v>#REF!</v>
      </c>
      <c r="W164" s="192" t="e">
        <f>J164*IFERROR(VLOOKUP(A164,[1]Tørstofindhold!A$2:B$24,2,FALSE),0)</f>
        <v>#REF!</v>
      </c>
      <c r="X164" s="193" t="e">
        <f t="shared" si="51"/>
        <v>#REF!</v>
      </c>
      <c r="Y164" s="171" t="e">
        <f t="shared" si="43"/>
        <v>#REF!</v>
      </c>
      <c r="Z164" s="103" t="e">
        <f t="shared" si="44"/>
        <v>#REF!</v>
      </c>
    </row>
    <row r="165" spans="1:26" x14ac:dyDescent="0.25">
      <c r="A165" s="192" t="s">
        <v>160</v>
      </c>
      <c r="B165" s="194"/>
      <c r="C165" s="194">
        <f>IF(COUNTIFS('Resultater - Danmark'!$D$3:$D$482,'Resultat-Produktion &amp; forbrug'!A165,'Resultater - Danmark'!$A$3:$A$482,"Til energi")+COUNTIFS('Resultater - Danmark'!$D$3:$D$482,'Resultat-Produktion &amp; forbrug'!A165,'Resultater - Danmark'!$A$3:$A$482,"Biogasanlæg")&gt;0,1,0)</f>
        <v>0</v>
      </c>
      <c r="D165" s="194">
        <f t="shared" si="47"/>
        <v>2019</v>
      </c>
      <c r="E165" s="192" t="s">
        <v>24</v>
      </c>
      <c r="F165" s="195">
        <f>IF(E165="Vestdanmark",SUMIFS(IF(D165=År1,'Resultater - Vestdanmark'!H$3:H$482,IF(D165=År2,'Resultater - Vestdanmark'!I$3:I$482,'Resultater - Vestdanmark'!J$3:J$482)),'Resultater - Vestdanmark'!$F$3:$F$482,$A165,IF(D165=År1,'Resultater - Vestdanmark'!H$3:H$482,IF(D165=År2,'Resultater - Vestdanmark'!I$3:I$482,'Resultater - Vestdanmark'!J$3:J$482)),"&gt;0"),SUMIFS(IF(D165=År1,'Resultater - Østdanmark'!H$3:H$482,IF(D165=År2,'Resultater - Østdanmark'!I$3:I$482,'Resultater - Østdanmark'!J$3:J$482)),'Resultater - Østdanmark'!$F$3:$F$482,$A165,IF(D165=År1,'Resultater - Østdanmark'!H$3:H$482,IF(D165=År2,'Resultater - Østdanmark'!I$3:I$482,'Resultater - Østdanmark'!J$3:J$482)),"&gt;0"))</f>
        <v>0</v>
      </c>
      <c r="G165" s="195" t="e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#REF!</v>
      </c>
      <c r="H165" s="192">
        <f>IF(E165="Vestdanmark",-IF(A165="Halm",SUMIFS(IF(D165=År1,'Resultater - Vestdanmark'!H$3:H$482,IF(D165=År2,'Resultater - Vestdanmark'!I$3:I$482,'Resultater - Vestdanmark'!J$3:J$482)),'Resultater - Vestdanmark'!$F$3:$F$482,$A165,'Resultater - Vestdanmark'!H$3:H$482,"&lt;0"),0),-IF(A165="Halm",SUMIFS(IF(D165=År1,'Resultater - Østdanmark'!H$3:H$482,IF(D165=År2,'Resultater - Østdanmark'!I$3:I$482,'Resultater - Østdanmark'!J$3:J$482)),'Resultater - Østdanmark'!$F$3:$F$482,$A165,'Resultater - Østdanmark'!H$3:H$482,"&lt;0"),0))</f>
        <v>0</v>
      </c>
      <c r="I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5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7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204" t="e">
        <f t="shared" si="48"/>
        <v>#REF!</v>
      </c>
      <c r="O165" s="195">
        <f t="shared" si="39"/>
        <v>0</v>
      </c>
      <c r="P165" s="205">
        <f t="shared" si="49"/>
        <v>0</v>
      </c>
      <c r="Q165" s="192">
        <f>IFERROR(VLOOKUP(A165,[1]Energiindhold!$A$2:$C$11,3,FALSE),IFERROR(VLOOKUP(A165,[1]Biogasudbytte!$A$2:$B$18,2,FALSE)*[1]Energiindhold!$C$10,0))*O165</f>
        <v>0</v>
      </c>
      <c r="R165" s="192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92">
        <f>IFERROR(VLOOKUP(A165,[1]Biogasudbytte!$A$2:$B$18,2,FALSE)*[1]Energiindhold!$C$10,0)*J165*IFERROR(VLOOKUP(A165,Biogasanlæg!$F$3:$G$8,2,FALSE),1)</f>
        <v>0</v>
      </c>
      <c r="T165" s="193">
        <f t="shared" si="50"/>
        <v>0</v>
      </c>
      <c r="U165" s="191">
        <f>O165*IFERROR(VLOOKUP(A165,[1]Tørstofindhold!A$2:B$24,2,FALSE),0)</f>
        <v>0</v>
      </c>
      <c r="V165" s="192">
        <f>IF(D165=År1,P165,SUM(O165,P165))*IFERROR(VLOOKUP(A165,[1]Tørstofindhold!A$2:B$24,2,FALSE),0)</f>
        <v>0</v>
      </c>
      <c r="W165" s="192">
        <f>J165*IFERROR(VLOOKUP(A165,[1]Tørstofindhold!A$2:B$24,2,FALSE),0)</f>
        <v>0</v>
      </c>
      <c r="X165" s="193">
        <f t="shared" si="51"/>
        <v>0</v>
      </c>
      <c r="Y165" s="171" t="e">
        <f t="shared" si="43"/>
        <v>#REF!</v>
      </c>
      <c r="Z165" s="103" t="e">
        <f t="shared" si="44"/>
        <v>#REF!</v>
      </c>
    </row>
    <row r="166" spans="1:26" x14ac:dyDescent="0.25">
      <c r="A166" s="194" t="s">
        <v>104</v>
      </c>
      <c r="B166" s="194" t="s">
        <v>232</v>
      </c>
      <c r="C166" s="194">
        <f>IF(COUNTIFS('Resultater - Danmark'!$D$3:$D$482,'Resultat-Produktion &amp; forbrug'!A166,'Resultater - Danmark'!$A$3:$A$482,"Til energi")+COUNTIFS('Resultater - Danmark'!$D$3:$D$482,'Resultat-Produktion &amp; forbrug'!A166,'Resultater - Danmark'!$A$3:$A$482,"Biogasanlæg")&gt;0,1,0)</f>
        <v>1</v>
      </c>
      <c r="D166" s="194">
        <f t="shared" si="47"/>
        <v>2019</v>
      </c>
      <c r="E166" s="192" t="s">
        <v>24</v>
      </c>
      <c r="F166" s="195">
        <f>IF(E166="Vestdanmark",SUMIFS(IF(D166=År1,'Resultater - Vestdanmark'!H$3:H$482,IF(D166=År2,'Resultater - Vestdanmark'!I$3:I$482,'Resultater - Vestdanmark'!J$3:J$482)),'Resultater - Vestdanmark'!$F$3:$F$482,$A166,IF(D166=År1,'Resultater - Vestdanmark'!H$3:H$482,IF(D166=År2,'Resultater - Vestdanmark'!I$3:I$482,'Resultater - Vestdanmark'!J$3:J$482)),"&gt;0"),SUMIFS(IF(D166=År1,'Resultater - Østdanmark'!H$3:H$482,IF(D166=År2,'Resultater - Østdanmark'!I$3:I$482,'Resultater - Østdanmark'!J$3:J$482)),'Resultater - Østdanmark'!$F$3:$F$482,$A166,IF(D166=År1,'Resultater - Østdanmark'!H$3:H$482,IF(D166=År2,'Resultater - Østdanmark'!I$3:I$482,'Resultater - Østdanmark'!J$3:J$482)),"&gt;0"))</f>
        <v>0</v>
      </c>
      <c r="G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92">
        <f>IF(E166="Vestdanmark",-IF(A166="Halm",SUMIFS(IF(D166=År1,'Resultater - Vestdanmark'!H$3:H$482,IF(D166=År2,'Resultater - Vestdanmark'!I$3:I$482,'Resultater - Vestdanmark'!J$3:J$482)),'Resultater - Vestdanmark'!$F$3:$F$482,$A166,'Resultater - Vestdanmark'!H$3:H$482,"&lt;0"),0),-IF(A166="Halm",SUMIFS(IF(D166=År1,'Resultater - Østdanmark'!H$3:H$482,IF(D166=År2,'Resultater - Østdanmark'!I$3:I$482,'Resultater - Østdanmark'!J$3:J$482)),'Resultater - Østdanmark'!$F$3:$F$482,$A166,'Resultater - Østdanmark'!H$3:H$482,"&lt;0"),0))</f>
        <v>0</v>
      </c>
      <c r="I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5" t="e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#REF!</v>
      </c>
      <c r="K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5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7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204" t="e">
        <f t="shared" si="48"/>
        <v>#REF!</v>
      </c>
      <c r="O166" s="195" t="e">
        <f t="shared" si="39"/>
        <v>#REF!</v>
      </c>
      <c r="P166" s="205" t="e">
        <f t="shared" si="49"/>
        <v>#REF!</v>
      </c>
      <c r="Q166" s="192" t="e">
        <f>IFERROR(VLOOKUP(A166,[1]Energiindhold!$A$2:$C$11,3,FALSE),IFERROR(VLOOKUP(A166,[1]Biogasudbytte!$A$2:$B$18,2,FALSE)*[1]Energiindhold!$C$10,0))*O166</f>
        <v>#REF!</v>
      </c>
      <c r="R166" s="192" t="e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#REF!</v>
      </c>
      <c r="S166" s="192" t="e">
        <f>IFERROR(VLOOKUP(A166,[1]Biogasudbytte!$A$2:$B$18,2,FALSE)*[1]Energiindhold!$C$10,0)*J166*IFERROR(VLOOKUP(A166,Biogasanlæg!$F$3:$G$8,2,FALSE),1)</f>
        <v>#REF!</v>
      </c>
      <c r="T166" s="193" t="e">
        <f t="shared" si="50"/>
        <v>#REF!</v>
      </c>
      <c r="U166" s="191" t="e">
        <f>O166*IFERROR(VLOOKUP(A166,[1]Tørstofindhold!A$2:B$24,2,FALSE),0)</f>
        <v>#REF!</v>
      </c>
      <c r="V166" s="192" t="e">
        <f>IF(D166=År1,P166,SUM(O166,P166))*IFERROR(VLOOKUP(A166,[1]Tørstofindhold!A$2:B$24,2,FALSE),0)</f>
        <v>#REF!</v>
      </c>
      <c r="W166" s="192" t="e">
        <f>J166*IFERROR(VLOOKUP(A166,[1]Tørstofindhold!A$2:B$24,2,FALSE),0)</f>
        <v>#REF!</v>
      </c>
      <c r="X166" s="193" t="e">
        <f t="shared" si="51"/>
        <v>#REF!</v>
      </c>
      <c r="Y166" s="171" t="e">
        <f t="shared" si="43"/>
        <v>#REF!</v>
      </c>
      <c r="Z166" s="103" t="e">
        <f t="shared" si="44"/>
        <v>#REF!</v>
      </c>
    </row>
    <row r="167" spans="1:26" x14ac:dyDescent="0.25">
      <c r="A167" s="194" t="s">
        <v>56</v>
      </c>
      <c r="B167" s="194"/>
      <c r="C167" s="194">
        <f>IF(COUNTIFS('Resultater - Danmark'!$D$3:$D$482,'Resultat-Produktion &amp; forbrug'!A167,'Resultater - Danmark'!$A$3:$A$482,"Til energi")+COUNTIFS('Resultater - Danmark'!$D$3:$D$482,'Resultat-Produktion &amp; forbrug'!A167,'Resultater - Danmark'!$A$3:$A$482,"Biogasanlæg")&gt;0,1,0)</f>
        <v>0</v>
      </c>
      <c r="D167" s="194">
        <f t="shared" si="47"/>
        <v>2019</v>
      </c>
      <c r="E167" s="192" t="s">
        <v>24</v>
      </c>
      <c r="F167" s="195">
        <f>IF(E167="Vestdanmark",SUMIFS(IF(D167=År1,'Resultater - Vestdanmark'!H$3:H$482,IF(D167=År2,'Resultater - Vestdanmark'!I$3:I$482,'Resultater - Vestdanmark'!J$3:J$482)),'Resultater - Vestdanmark'!$F$3:$F$482,$A167,IF(D167=År1,'Resultater - Vestdanmark'!H$3:H$482,IF(D167=År2,'Resultater - Vestdanmark'!I$3:I$482,'Resultater - Vestdanmark'!J$3:J$482)),"&gt;0"),SUMIFS(IF(D167=År1,'Resultater - Østdanmark'!H$3:H$482,IF(D167=År2,'Resultater - Østdanmark'!I$3:I$482,'Resultater - Østdanmark'!J$3:J$482)),'Resultater - Østdanmark'!$F$3:$F$482,$A167,IF(D167=År1,'Resultater - Østdanmark'!H$3:H$482,IF(D167=År2,'Resultater - Østdanmark'!I$3:I$482,'Resultater - Østdanmark'!J$3:J$482)),"&gt;0"))</f>
        <v>0</v>
      </c>
      <c r="G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92">
        <f>IF(E167="Vestdanmark",-IF(A167="Halm",SUMIFS(IF(D167=År1,'Resultater - Vestdanmark'!H$3:H$482,IF(D167=År2,'Resultater - Vestdanmark'!I$3:I$482,'Resultater - Vestdanmark'!J$3:J$482)),'Resultater - Vestdanmark'!$F$3:$F$482,$A167,'Resultater - Vestdanmark'!H$3:H$482,"&lt;0"),0),-IF(A167="Halm",SUMIFS(IF(D167=År1,'Resultater - Østdanmark'!H$3:H$482,IF(D167=År2,'Resultater - Østdanmark'!I$3:I$482,'Resultater - Østdanmark'!J$3:J$482)),'Resultater - Østdanmark'!$F$3:$F$482,$A167,'Resultater - Østdanmark'!H$3:H$482,"&lt;0"),0))</f>
        <v>0</v>
      </c>
      <c r="I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5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7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204">
        <f t="shared" si="48"/>
        <v>0</v>
      </c>
      <c r="O167" s="195">
        <f t="shared" si="39"/>
        <v>0</v>
      </c>
      <c r="P167" s="205">
        <f t="shared" si="49"/>
        <v>0</v>
      </c>
      <c r="Q167" s="192">
        <f>IFERROR(VLOOKUP(A167,[1]Energiindhold!$A$2:$C$11,3,FALSE),IFERROR(VLOOKUP(A167,[1]Biogasudbytte!$A$2:$B$18,2,FALSE)*[1]Energiindhold!$C$10,0))*O167</f>
        <v>0</v>
      </c>
      <c r="R167" s="192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92">
        <f>IFERROR(VLOOKUP(A167,[1]Biogasudbytte!$A$2:$B$18,2,FALSE)*[1]Energiindhold!$C$10,0)*J167*IFERROR(VLOOKUP(A167,Biogasanlæg!$F$3:$G$8,2,FALSE),1)</f>
        <v>0</v>
      </c>
      <c r="T167" s="193">
        <f t="shared" si="50"/>
        <v>0</v>
      </c>
      <c r="U167" s="191">
        <f>O167*IFERROR(VLOOKUP(A167,[1]Tørstofindhold!A$2:B$24,2,FALSE),0)</f>
        <v>0</v>
      </c>
      <c r="V167" s="192">
        <f>IF(D167=År1,P167,SUM(O167,P167))*IFERROR(VLOOKUP(A167,[1]Tørstofindhold!A$2:B$24,2,FALSE),0)</f>
        <v>0</v>
      </c>
      <c r="W167" s="192">
        <f>J167*IFERROR(VLOOKUP(A167,[1]Tørstofindhold!A$2:B$24,2,FALSE),0)</f>
        <v>0</v>
      </c>
      <c r="X167" s="193">
        <f t="shared" si="51"/>
        <v>0</v>
      </c>
      <c r="Y167" s="171">
        <f t="shared" si="43"/>
        <v>0</v>
      </c>
      <c r="Z167" s="103">
        <f t="shared" si="44"/>
        <v>0</v>
      </c>
    </row>
    <row r="168" spans="1:26" x14ac:dyDescent="0.25">
      <c r="A168" s="194" t="s">
        <v>12</v>
      </c>
      <c r="B168" s="194"/>
      <c r="C168" s="194">
        <f>IF(COUNTIFS('Resultater - Danmark'!$D$3:$D$482,'Resultat-Produktion &amp; forbrug'!A168,'Resultater - Danmark'!$A$3:$A$482,"Til energi")+COUNTIFS('Resultater - Danmark'!$D$3:$D$482,'Resultat-Produktion &amp; forbrug'!A168,'Resultater - Danmark'!$A$3:$A$482,"Biogasanlæg")&gt;0,1,0)</f>
        <v>0</v>
      </c>
      <c r="D168" s="194">
        <f t="shared" si="47"/>
        <v>2019</v>
      </c>
      <c r="E168" s="192" t="s">
        <v>24</v>
      </c>
      <c r="F168" s="195">
        <f>IF(E168="Vestdanmark",SUMIFS(IF(D168=År1,'Resultater - Vestdanmark'!H$3:H$482,IF(D168=År2,'Resultater - Vestdanmark'!I$3:I$482,'Resultater - Vestdanmark'!J$3:J$482)),'Resultater - Vestdanmark'!$F$3:$F$482,$A168,IF(D168=År1,'Resultater - Vestdanmark'!H$3:H$482,IF(D168=År2,'Resultater - Vestdanmark'!I$3:I$482,'Resultater - Vestdanmark'!J$3:J$482)),"&gt;0"),SUMIFS(IF(D168=År1,'Resultater - Østdanmark'!H$3:H$482,IF(D168=År2,'Resultater - Østdanmark'!I$3:I$482,'Resultater - Østdanmark'!J$3:J$482)),'Resultater - Østdanmark'!$F$3:$F$482,$A168,IF(D168=År1,'Resultater - Østdanmark'!H$3:H$482,IF(D168=År2,'Resultater - Østdanmark'!I$3:I$482,'Resultater - Østdanmark'!J$3:J$482)),"&gt;0"))</f>
        <v>0</v>
      </c>
      <c r="G168" s="195" t="e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#REF!</v>
      </c>
      <c r="H168" s="192">
        <f>IF(E168="Vestdanmark",-IF(A168="Halm",SUMIFS(IF(D168=År1,'Resultater - Vestdanmark'!H$3:H$482,IF(D168=År2,'Resultater - Vestdanmark'!I$3:I$482,'Resultater - Vestdanmark'!J$3:J$482)),'Resultater - Vestdanmark'!$F$3:$F$482,$A168,'Resultater - Vestdanmark'!H$3:H$482,"&lt;0"),0),-IF(A168="Halm",SUMIFS(IF(D168=År1,'Resultater - Østdanmark'!H$3:H$482,IF(D168=År2,'Resultater - Østdanmark'!I$3:I$482,'Resultater - Østdanmark'!J$3:J$482)),'Resultater - Østdanmark'!$F$3:$F$482,$A168,'Resultater - Østdanmark'!H$3:H$482,"&lt;0"),0))</f>
        <v>0</v>
      </c>
      <c r="I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5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7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204" t="e">
        <f t="shared" si="48"/>
        <v>#REF!</v>
      </c>
      <c r="O168" s="195">
        <f t="shared" si="39"/>
        <v>0</v>
      </c>
      <c r="P168" s="205">
        <f t="shared" si="49"/>
        <v>0</v>
      </c>
      <c r="Q168" s="192">
        <f>IFERROR(VLOOKUP(A168,[1]Energiindhold!$A$2:$C$11,3,FALSE),IFERROR(VLOOKUP(A168,[1]Biogasudbytte!$A$2:$B$18,2,FALSE)*[1]Energiindhold!$C$10,0))*O168</f>
        <v>0</v>
      </c>
      <c r="R168" s="192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92">
        <f>IFERROR(VLOOKUP(A168,[1]Biogasudbytte!$A$2:$B$18,2,FALSE)*[1]Energiindhold!$C$10,0)*J168*IFERROR(VLOOKUP(A168,Biogasanlæg!$F$3:$G$8,2,FALSE),1)</f>
        <v>0</v>
      </c>
      <c r="T168" s="193">
        <f t="shared" si="50"/>
        <v>0</v>
      </c>
      <c r="U168" s="191">
        <f>O168*IFERROR(VLOOKUP(A168,[1]Tørstofindhold!A$2:B$24,2,FALSE),0)</f>
        <v>0</v>
      </c>
      <c r="V168" s="192">
        <f>IF(D168=År1,P168,SUM(O168,P168))*IFERROR(VLOOKUP(A168,[1]Tørstofindhold!A$2:B$24,2,FALSE),0)</f>
        <v>0</v>
      </c>
      <c r="W168" s="192">
        <f>J168*IFERROR(VLOOKUP(A168,[1]Tørstofindhold!A$2:B$24,2,FALSE),0)</f>
        <v>0</v>
      </c>
      <c r="X168" s="193">
        <f t="shared" si="51"/>
        <v>0</v>
      </c>
      <c r="Y168" s="171" t="e">
        <f t="shared" si="43"/>
        <v>#REF!</v>
      </c>
      <c r="Z168" s="103" t="e">
        <f t="shared" si="44"/>
        <v>#REF!</v>
      </c>
    </row>
    <row r="169" spans="1:26" x14ac:dyDescent="0.25">
      <c r="A169" s="194" t="s">
        <v>48</v>
      </c>
      <c r="B169" s="194" t="s">
        <v>229</v>
      </c>
      <c r="C169" s="194">
        <f>IF(COUNTIFS('Resultater - Danmark'!$D$3:$D$482,'Resultat-Produktion &amp; forbrug'!A169,'Resultater - Danmark'!$A$3:$A$482,"Til energi")+COUNTIFS('Resultater - Danmark'!$D$3:$D$482,'Resultat-Produktion &amp; forbrug'!A169,'Resultater - Danmark'!$A$3:$A$482,"Biogasanlæg")&gt;0,1,0)</f>
        <v>1</v>
      </c>
      <c r="D169" s="194">
        <f t="shared" si="47"/>
        <v>2019</v>
      </c>
      <c r="E169" s="192" t="s">
        <v>24</v>
      </c>
      <c r="F169" s="195">
        <f>IF(E169="Vestdanmark",SUMIFS(IF(D169=År1,'Resultater - Vestdanmark'!H$3:H$482,IF(D169=År2,'Resultater - Vestdanmark'!I$3:I$482,'Resultater - Vestdanmark'!J$3:J$482)),'Resultater - Vestdanmark'!$F$3:$F$482,$A169,IF(D169=År1,'Resultater - Vestdanmark'!H$3:H$482,IF(D169=År2,'Resultater - Vestdanmark'!I$3:I$482,'Resultater - Vestdanmark'!J$3:J$482)),"&gt;0"),SUMIFS(IF(D169=År1,'Resultater - Østdanmark'!H$3:H$482,IF(D169=År2,'Resultater - Østdanmark'!I$3:I$482,'Resultater - Østdanmark'!J$3:J$482)),'Resultater - Østdanmark'!$F$3:$F$482,$A169,IF(D169=År1,'Resultater - Østdanmark'!H$3:H$482,IF(D169=År2,'Resultater - Østdanmark'!I$3:I$482,'Resultater - Østdanmark'!J$3:J$482)),"&gt;0"))</f>
        <v>0</v>
      </c>
      <c r="G169" s="195" t="e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#REF!</v>
      </c>
      <c r="H169" s="192">
        <f>IF(E169="Vestdanmark",-IF(A169="Halm",SUMIFS(IF(D169=År1,'Resultater - Vestdanmark'!H$3:H$482,IF(D169=År2,'Resultater - Vestdanmark'!I$3:I$482,'Resultater - Vestdanmark'!J$3:J$482)),'Resultater - Vestdanmark'!$F$3:$F$482,$A169,'Resultater - Vestdanmark'!H$3:H$482,"&lt;0"),0),-IF(A169="Halm",SUMIFS(IF(D169=År1,'Resultater - Østdanmark'!H$3:H$482,IF(D169=År2,'Resultater - Østdanmark'!I$3:I$482,'Resultater - Østdanmark'!J$3:J$482)),'Resultater - Østdanmark'!$F$3:$F$482,$A169,'Resultater - Østdanmark'!H$3:H$482,"&lt;0"),0))</f>
        <v>0</v>
      </c>
      <c r="I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5" t="e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#REF!</v>
      </c>
      <c r="K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5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7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204" t="e">
        <f t="shared" si="48"/>
        <v>#REF!</v>
      </c>
      <c r="O169" s="195" t="e">
        <f t="shared" si="39"/>
        <v>#REF!</v>
      </c>
      <c r="P169" s="205" t="e">
        <f t="shared" si="49"/>
        <v>#REF!</v>
      </c>
      <c r="Q169" s="192" t="e">
        <f>IFERROR(VLOOKUP(A169,[1]Energiindhold!$A$2:$C$11,3,FALSE),IFERROR(VLOOKUP(A169,[1]Biogasudbytte!$A$2:$B$18,2,FALSE)*[1]Energiindhold!$C$10,0))*O169</f>
        <v>#REF!</v>
      </c>
      <c r="R169" s="192" t="e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#REF!</v>
      </c>
      <c r="S169" s="192" t="e">
        <f>IFERROR(VLOOKUP(A169,[1]Biogasudbytte!$A$2:$B$18,2,FALSE)*[1]Energiindhold!$C$10,0)*J169*IFERROR(VLOOKUP(A169,Biogasanlæg!$F$3:$G$8,2,FALSE),1)</f>
        <v>#REF!</v>
      </c>
      <c r="T169" s="193" t="e">
        <f t="shared" si="50"/>
        <v>#REF!</v>
      </c>
      <c r="U169" s="191" t="e">
        <f>O169*IFERROR(VLOOKUP(A169,[1]Tørstofindhold!A$2:B$24,2,FALSE),0)</f>
        <v>#REF!</v>
      </c>
      <c r="V169" s="192" t="e">
        <f>IF(D169=År1,P169,SUM(O169,P169))*IFERROR(VLOOKUP(A169,[1]Tørstofindhold!A$2:B$24,2,FALSE),0)</f>
        <v>#REF!</v>
      </c>
      <c r="W169" s="192" t="e">
        <f>J169*IFERROR(VLOOKUP(A169,[1]Tørstofindhold!A$2:B$24,2,FALSE),0)</f>
        <v>#REF!</v>
      </c>
      <c r="X169" s="193" t="e">
        <f t="shared" si="51"/>
        <v>#REF!</v>
      </c>
      <c r="Y169" s="171" t="e">
        <f t="shared" si="43"/>
        <v>#REF!</v>
      </c>
      <c r="Z169" s="103" t="e">
        <f t="shared" si="44"/>
        <v>#REF!</v>
      </c>
    </row>
    <row r="170" spans="1:26" x14ac:dyDescent="0.25">
      <c r="A170" s="194" t="s">
        <v>116</v>
      </c>
      <c r="B170" s="194"/>
      <c r="C170" s="194">
        <f>IF(COUNTIFS('Resultater - Danmark'!$D$3:$D$482,'Resultat-Produktion &amp; forbrug'!A170,'Resultater - Danmark'!$A$3:$A$482,"Til energi")+COUNTIFS('Resultater - Danmark'!$D$3:$D$482,'Resultat-Produktion &amp; forbrug'!A170,'Resultater - Danmark'!$A$3:$A$482,"Biogasanlæg")&gt;0,1,0)</f>
        <v>0</v>
      </c>
      <c r="D170" s="194">
        <f t="shared" si="47"/>
        <v>2019</v>
      </c>
      <c r="E170" s="192" t="s">
        <v>24</v>
      </c>
      <c r="F170" s="195">
        <f>IF(E170="Vestdanmark",SUMIFS(IF(D170=År1,'Resultater - Vestdanmark'!H$3:H$482,IF(D170=År2,'Resultater - Vestdanmark'!I$3:I$482,'Resultater - Vestdanmark'!J$3:J$482)),'Resultater - Vestdanmark'!$F$3:$F$482,$A170,IF(D170=År1,'Resultater - Vestdanmark'!H$3:H$482,IF(D170=År2,'Resultater - Vestdanmark'!I$3:I$482,'Resultater - Vestdanmark'!J$3:J$482)),"&gt;0"),SUMIFS(IF(D170=År1,'Resultater - Østdanmark'!H$3:H$482,IF(D170=År2,'Resultater - Østdanmark'!I$3:I$482,'Resultater - Østdanmark'!J$3:J$482)),'Resultater - Østdanmark'!$F$3:$F$482,$A170,IF(D170=År1,'Resultater - Østdanmark'!H$3:H$482,IF(D170=År2,'Resultater - Østdanmark'!I$3:I$482,'Resultater - Østdanmark'!J$3:J$482)),"&gt;0"))</f>
        <v>0</v>
      </c>
      <c r="G170" s="195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92">
        <f>IF(E170="Vestdanmark",-IF(A170="Halm",SUMIFS(IF(D170=År1,'Resultater - Vestdanmark'!H$3:H$482,IF(D170=År2,'Resultater - Vestdanmark'!I$3:I$482,'Resultater - Vestdanmark'!J$3:J$482)),'Resultater - Vestdanmark'!$F$3:$F$482,$A170,'Resultater - Vestdanmark'!H$3:H$482,"&lt;0"),0),-IF(A170="Halm",SUMIFS(IF(D170=År1,'Resultater - Østdanmark'!H$3:H$482,IF(D170=År2,'Resultater - Østdanmark'!I$3:I$482,'Resultater - Østdanmark'!J$3:J$482)),'Resultater - Østdanmark'!$F$3:$F$482,$A170,'Resultater - Østdanmark'!H$3:H$482,"&lt;0"),0))</f>
        <v>0</v>
      </c>
      <c r="I170" s="195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5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5" t="e">
        <f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#REF!</v>
      </c>
      <c r="L170" s="195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7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204" t="e">
        <f t="shared" si="48"/>
        <v>#REF!</v>
      </c>
      <c r="O170" s="195">
        <f t="shared" si="39"/>
        <v>0</v>
      </c>
      <c r="P170" s="205">
        <f t="shared" si="49"/>
        <v>0</v>
      </c>
      <c r="Q170" s="192">
        <f>IFERROR(VLOOKUP(A170,[1]Energiindhold!$A$2:$C$11,3,FALSE),IFERROR(VLOOKUP(A170,[1]Biogasudbytte!$A$2:$B$18,2,FALSE)*[1]Energiindhold!$C$10,0))*O170</f>
        <v>0</v>
      </c>
      <c r="R170" s="192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92">
        <f>IFERROR(VLOOKUP(A170,[1]Biogasudbytte!$A$2:$B$18,2,FALSE)*[1]Energiindhold!$C$10,0)*J170*IFERROR(VLOOKUP(A170,Biogasanlæg!$F$3:$G$8,2,FALSE),1)</f>
        <v>0</v>
      </c>
      <c r="T170" s="193">
        <f t="shared" si="50"/>
        <v>0</v>
      </c>
      <c r="U170" s="191">
        <f>O170*IFERROR(VLOOKUP(A170,[1]Tørstofindhold!A$2:B$24,2,FALSE),0)</f>
        <v>0</v>
      </c>
      <c r="V170" s="192">
        <f>IF(D170=År1,P170,SUM(O170,P170))*IFERROR(VLOOKUP(A170,[1]Tørstofindhold!A$2:B$24,2,FALSE),0)</f>
        <v>0</v>
      </c>
      <c r="W170" s="192">
        <f>J170*IFERROR(VLOOKUP(A170,[1]Tørstofindhold!A$2:B$24,2,FALSE),0)</f>
        <v>0</v>
      </c>
      <c r="X170" s="193">
        <f t="shared" si="51"/>
        <v>0</v>
      </c>
      <c r="Y170" s="171" t="e">
        <f t="shared" si="43"/>
        <v>#REF!</v>
      </c>
      <c r="Z170" s="103" t="e">
        <f t="shared" si="44"/>
        <v>#REF!</v>
      </c>
    </row>
    <row r="171" spans="1:26" x14ac:dyDescent="0.25">
      <c r="A171" s="194" t="s">
        <v>137</v>
      </c>
      <c r="B171" s="194" t="s">
        <v>224</v>
      </c>
      <c r="C171" s="194">
        <f>IF(COUNTIFS('Resultater - Danmark'!$D$3:$D$482,'Resultat-Produktion &amp; forbrug'!A171,'Resultater - Danmark'!$A$3:$A$482,"Til energi")+COUNTIFS('Resultater - Danmark'!$D$3:$D$482,'Resultat-Produktion &amp; forbrug'!A171,'Resultater - Danmark'!$A$3:$A$482,"Biogasanlæg")&gt;0,1,0)</f>
        <v>1</v>
      </c>
      <c r="D171" s="194">
        <f t="shared" si="47"/>
        <v>2019</v>
      </c>
      <c r="E171" s="192" t="s">
        <v>24</v>
      </c>
      <c r="F171" s="195">
        <f>IF(E171="Vestdanmark",SUMIFS(IF(D171=År1,'Resultater - Vestdanmark'!H$3:H$482,IF(D171=År2,'Resultater - Vestdanmark'!I$3:I$482,'Resultater - Vestdanmark'!J$3:J$482)),'Resultater - Vestdanmark'!$F$3:$F$482,$A171,IF(D171=År1,'Resultater - Vestdanmark'!H$3:H$482,IF(D171=År2,'Resultater - Vestdanmark'!I$3:I$482,'Resultater - Vestdanmark'!J$3:J$482)),"&gt;0"),SUMIFS(IF(D171=År1,'Resultater - Østdanmark'!H$3:H$482,IF(D171=År2,'Resultater - Østdanmark'!I$3:I$482,'Resultater - Østdanmark'!J$3:J$482)),'Resultater - Østdanmark'!$F$3:$F$482,$A171,IF(D171=År1,'Resultater - Østdanmark'!H$3:H$482,IF(D171=År2,'Resultater - Østdanmark'!I$3:I$482,'Resultater - Østdanmark'!J$3:J$482)),"&gt;0"))</f>
        <v>0</v>
      </c>
      <c r="G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92">
        <f>IF(E171="Vestdanmark",-IF(A171="Halm",SUMIFS(IF(D171=År1,'Resultater - Vestdanmark'!H$3:H$482,IF(D171=År2,'Resultater - Vestdanmark'!I$3:I$482,'Resultater - Vestdanmark'!J$3:J$482)),'Resultater - Vestdanmark'!$F$3:$F$482,$A171,'Resultater - Vestdanmark'!H$3:H$482,"&lt;0"),0),-IF(A171="Halm",SUMIFS(IF(D171=År1,'Resultater - Østdanmark'!H$3:H$482,IF(D171=År2,'Resultater - Østdanmark'!I$3:I$482,'Resultater - Østdanmark'!J$3:J$482)),'Resultater - Østdanmark'!$F$3:$F$482,$A171,'Resultater - Østdanmark'!H$3:H$482,"&lt;0"),0))</f>
        <v>0</v>
      </c>
      <c r="I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5" t="e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#REF!</v>
      </c>
      <c r="K171" s="195" t="e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#REF!</v>
      </c>
      <c r="L171" s="195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7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204" t="e">
        <f t="shared" si="48"/>
        <v>#REF!</v>
      </c>
      <c r="O171" s="195" t="e">
        <f t="shared" si="39"/>
        <v>#REF!</v>
      </c>
      <c r="P171" s="205" t="e">
        <f t="shared" si="49"/>
        <v>#REF!</v>
      </c>
      <c r="Q171" s="192" t="e">
        <f>IFERROR(VLOOKUP(A171,[1]Energiindhold!$A$2:$C$11,3,FALSE),IFERROR(VLOOKUP(A171,[1]Biogasudbytte!$A$2:$B$18,2,FALSE)*[1]Energiindhold!$C$10,0))*O171</f>
        <v>#REF!</v>
      </c>
      <c r="R171" s="192" t="e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#REF!</v>
      </c>
      <c r="S171" s="192" t="e">
        <f>IFERROR(VLOOKUP(A171,[1]Biogasudbytte!$A$2:$B$18,2,FALSE)*[1]Energiindhold!$C$10,0)*J171*IFERROR(VLOOKUP(A171,Biogasanlæg!$F$3:$G$8,2,FALSE),1)</f>
        <v>#REF!</v>
      </c>
      <c r="T171" s="193" t="e">
        <f t="shared" si="50"/>
        <v>#REF!</v>
      </c>
      <c r="U171" s="191" t="e">
        <f>O171*IFERROR(VLOOKUP(A171,[1]Tørstofindhold!A$2:B$24,2,FALSE),0)</f>
        <v>#REF!</v>
      </c>
      <c r="V171" s="192" t="e">
        <f>IF(D171=År1,P171,SUM(O171,P171))*IFERROR(VLOOKUP(A171,[1]Tørstofindhold!A$2:B$24,2,FALSE),0)</f>
        <v>#REF!</v>
      </c>
      <c r="W171" s="192" t="e">
        <f>J171*IFERROR(VLOOKUP(A171,[1]Tørstofindhold!A$2:B$24,2,FALSE),0)</f>
        <v>#REF!</v>
      </c>
      <c r="X171" s="193" t="e">
        <f t="shared" si="51"/>
        <v>#REF!</v>
      </c>
      <c r="Y171" s="171" t="e">
        <f t="shared" si="43"/>
        <v>#REF!</v>
      </c>
      <c r="Z171" s="103" t="e">
        <f t="shared" si="44"/>
        <v>#REF!</v>
      </c>
    </row>
    <row r="172" spans="1:26" x14ac:dyDescent="0.25">
      <c r="A172" s="194" t="s">
        <v>109</v>
      </c>
      <c r="B172" s="194"/>
      <c r="C172" s="194">
        <f>IF(COUNTIFS('Resultater - Danmark'!$D$3:$D$482,'Resultat-Produktion &amp; forbrug'!A172,'Resultater - Danmark'!$A$3:$A$482,"Til energi")+COUNTIFS('Resultater - Danmark'!$D$3:$D$482,'Resultat-Produktion &amp; forbrug'!A172,'Resultater - Danmark'!$A$3:$A$482,"Biogasanlæg")&gt;0,1,0)</f>
        <v>0</v>
      </c>
      <c r="D172" s="194">
        <f t="shared" si="47"/>
        <v>2019</v>
      </c>
      <c r="E172" s="192" t="s">
        <v>24</v>
      </c>
      <c r="F172" s="195">
        <f>IF(E172="Vestdanmark",SUMIFS(IF(D172=År1,'Resultater - Vestdanmark'!H$3:H$482,IF(D172=År2,'Resultater - Vestdanmark'!I$3:I$482,'Resultater - Vestdanmark'!J$3:J$482)),'Resultater - Vestdanmark'!$F$3:$F$482,$A172,IF(D172=År1,'Resultater - Vestdanmark'!H$3:H$482,IF(D172=År2,'Resultater - Vestdanmark'!I$3:I$482,'Resultater - Vestdanmark'!J$3:J$482)),"&gt;0"),SUMIFS(IF(D172=År1,'Resultater - Østdanmark'!H$3:H$482,IF(D172=År2,'Resultater - Østdanmark'!I$3:I$482,'Resultater - Østdanmark'!J$3:J$482)),'Resultater - Østdanmark'!$F$3:$F$482,$A172,IF(D172=År1,'Resultater - Østdanmark'!H$3:H$482,IF(D172=År2,'Resultater - Østdanmark'!I$3:I$482,'Resultater - Østdanmark'!J$3:J$482)),"&gt;0"))</f>
        <v>0</v>
      </c>
      <c r="G172" s="195" t="e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#REF!</v>
      </c>
      <c r="H172" s="192">
        <f>IF(E172="Vestdanmark",-IF(A172="Halm",SUMIFS(IF(D172=År1,'Resultater - Vestdanmark'!H$3:H$482,IF(D172=År2,'Resultater - Vestdanmark'!I$3:I$482,'Resultater - Vestdanmark'!J$3:J$482)),'Resultater - Vestdanmark'!$F$3:$F$482,$A172,'Resultater - Vestdanmark'!H$3:H$482,"&lt;0"),0),-IF(A172="Halm",SUMIFS(IF(D172=År1,'Resultater - Østdanmark'!H$3:H$482,IF(D172=År2,'Resultater - Østdanmark'!I$3:I$482,'Resultater - Østdanmark'!J$3:J$482)),'Resultater - Østdanmark'!$F$3:$F$482,$A172,'Resultater - Østdanmark'!H$3:H$482,"&lt;0"),0))</f>
        <v>0</v>
      </c>
      <c r="I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5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7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204" t="e">
        <f t="shared" si="48"/>
        <v>#REF!</v>
      </c>
      <c r="O172" s="195">
        <f t="shared" si="39"/>
        <v>0</v>
      </c>
      <c r="P172" s="205">
        <f t="shared" si="49"/>
        <v>0</v>
      </c>
      <c r="Q172" s="192">
        <f>IFERROR(VLOOKUP(A172,[1]Energiindhold!$A$2:$C$11,3,FALSE),IFERROR(VLOOKUP(A172,[1]Biogasudbytte!$A$2:$B$18,2,FALSE)*[1]Energiindhold!$C$10,0))*O172</f>
        <v>0</v>
      </c>
      <c r="R172" s="192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92">
        <f>IFERROR(VLOOKUP(A172,[1]Biogasudbytte!$A$2:$B$18,2,FALSE)*[1]Energiindhold!$C$10,0)*J172*IFERROR(VLOOKUP(A172,Biogasanlæg!$F$3:$G$8,2,FALSE),1)</f>
        <v>0</v>
      </c>
      <c r="T172" s="193">
        <f t="shared" si="50"/>
        <v>0</v>
      </c>
      <c r="U172" s="191">
        <f>O172*IFERROR(VLOOKUP(A172,[1]Tørstofindhold!A$2:B$24,2,FALSE),0)</f>
        <v>0</v>
      </c>
      <c r="V172" s="192">
        <f>IF(D172=År1,P172,SUM(O172,P172))*IFERROR(VLOOKUP(A172,[1]Tørstofindhold!A$2:B$24,2,FALSE),0)</f>
        <v>0</v>
      </c>
      <c r="W172" s="192">
        <f>J172*IFERROR(VLOOKUP(A172,[1]Tørstofindhold!A$2:B$24,2,FALSE),0)</f>
        <v>0</v>
      </c>
      <c r="X172" s="193">
        <f t="shared" si="51"/>
        <v>0</v>
      </c>
      <c r="Y172" s="171" t="e">
        <f t="shared" si="43"/>
        <v>#REF!</v>
      </c>
      <c r="Z172" s="103" t="e">
        <f t="shared" si="44"/>
        <v>#REF!</v>
      </c>
    </row>
    <row r="173" spans="1:26" x14ac:dyDescent="0.25">
      <c r="A173" s="192" t="s">
        <v>53</v>
      </c>
      <c r="B173" s="194" t="s">
        <v>226</v>
      </c>
      <c r="C173" s="194">
        <f>IF(COUNTIFS('Resultater - Danmark'!$D$3:$D$482,'Resultat-Produktion &amp; forbrug'!A173,'Resultater - Danmark'!$A$3:$A$482,"Til energi")+COUNTIFS('Resultater - Danmark'!$D$3:$D$482,'Resultat-Produktion &amp; forbrug'!A173,'Resultater - Danmark'!$A$3:$A$482,"Biogasanlæg")&gt;0,1,0)</f>
        <v>1</v>
      </c>
      <c r="D173" s="194">
        <f t="shared" si="47"/>
        <v>2019</v>
      </c>
      <c r="E173" s="192" t="s">
        <v>24</v>
      </c>
      <c r="F173" s="195">
        <f>IF(E173="Vestdanmark",SUMIFS(IF(D173=År1,'Resultater - Vestdanmark'!H$3:H$482,IF(D173=År2,'Resultater - Vestdanmark'!I$3:I$482,'Resultater - Vestdanmark'!J$3:J$482)),'Resultater - Vestdanmark'!$F$3:$F$482,$A173,IF(D173=År1,'Resultater - Vestdanmark'!H$3:H$482,IF(D173=År2,'Resultater - Vestdanmark'!I$3:I$482,'Resultater - Vestdanmark'!J$3:J$482)),"&gt;0"),SUMIFS(IF(D173=År1,'Resultater - Østdanmark'!H$3:H$482,IF(D173=År2,'Resultater - Østdanmark'!I$3:I$482,'Resultater - Østdanmark'!J$3:J$482)),'Resultater - Østdanmark'!$F$3:$F$482,$A173,IF(D173=År1,'Resultater - Østdanmark'!H$3:H$482,IF(D173=År2,'Resultater - Østdanmark'!I$3:I$482,'Resultater - Østdanmark'!J$3:J$482)),"&gt;0"))</f>
        <v>0</v>
      </c>
      <c r="G173" s="195" t="e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#REF!</v>
      </c>
      <c r="H173" s="192">
        <f>IF(E173="Vestdanmark",-IF(A173="Halm",SUMIFS(IF(D173=År1,'Resultater - Vestdanmark'!H$3:H$482,IF(D173=År2,'Resultater - Vestdanmark'!I$3:I$482,'Resultater - Vestdanmark'!J$3:J$482)),'Resultater - Vestdanmark'!$F$3:$F$482,$A173,'Resultater - Vestdanmark'!H$3:H$482,"&lt;0"),0),-IF(A173="Halm",SUMIFS(IF(D173=År1,'Resultater - Østdanmark'!H$3:H$482,IF(D173=År2,'Resultater - Østdanmark'!I$3:I$482,'Resultater - Østdanmark'!J$3:J$482)),'Resultater - Østdanmark'!$F$3:$F$482,$A173,'Resultater - Østdanmark'!H$3:H$482,"&lt;0"),0))</f>
        <v>0</v>
      </c>
      <c r="I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5" t="e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#REF!</v>
      </c>
      <c r="K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5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7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204" t="e">
        <f t="shared" si="48"/>
        <v>#REF!</v>
      </c>
      <c r="O173" s="195" t="e">
        <f t="shared" si="39"/>
        <v>#REF!</v>
      </c>
      <c r="P173" s="205" t="e">
        <f t="shared" si="49"/>
        <v>#REF!</v>
      </c>
      <c r="Q173" s="192" t="e">
        <f>IFERROR(VLOOKUP(A173,[1]Energiindhold!$A$2:$C$11,3,FALSE),IFERROR(VLOOKUP(A173,[1]Biogasudbytte!$A$2:$B$18,2,FALSE)*[1]Energiindhold!$C$10,0))*O173</f>
        <v>#REF!</v>
      </c>
      <c r="R173" s="192" t="e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#REF!</v>
      </c>
      <c r="S173" s="192" t="e">
        <f>IFERROR(VLOOKUP(A173,[1]Biogasudbytte!$A$2:$B$18,2,FALSE)*[1]Energiindhold!$C$10,0)*J173*IFERROR(VLOOKUP(A173,Biogasanlæg!$F$3:$G$8,2,FALSE),1)</f>
        <v>#REF!</v>
      </c>
      <c r="T173" s="193" t="e">
        <f t="shared" si="50"/>
        <v>#REF!</v>
      </c>
      <c r="U173" s="191" t="e">
        <f>O173*IFERROR(VLOOKUP(A173,[1]Tørstofindhold!A$2:B$24,2,FALSE),0)</f>
        <v>#REF!</v>
      </c>
      <c r="V173" s="192" t="e">
        <f>IF(D173=År1,P173,SUM(O173,P173))*IFERROR(VLOOKUP(A173,[1]Tørstofindhold!A$2:B$24,2,FALSE),0)</f>
        <v>#REF!</v>
      </c>
      <c r="W173" s="192" t="e">
        <f>J173*IFERROR(VLOOKUP(A173,[1]Tørstofindhold!A$2:B$24,2,FALSE),0)</f>
        <v>#REF!</v>
      </c>
      <c r="X173" s="193" t="e">
        <f t="shared" si="51"/>
        <v>#REF!</v>
      </c>
      <c r="Y173" s="171" t="e">
        <f t="shared" si="43"/>
        <v>#REF!</v>
      </c>
      <c r="Z173" s="103" t="e">
        <f t="shared" si="44"/>
        <v>#REF!</v>
      </c>
    </row>
    <row r="174" spans="1:26" x14ac:dyDescent="0.25">
      <c r="A174" s="194" t="s">
        <v>117</v>
      </c>
      <c r="B174" s="194"/>
      <c r="C174" s="194">
        <f>IF(COUNTIFS('Resultater - Danmark'!$D$3:$D$482,'Resultat-Produktion &amp; forbrug'!A174,'Resultater - Danmark'!$A$3:$A$482,"Til energi")+COUNTIFS('Resultater - Danmark'!$D$3:$D$482,'Resultat-Produktion &amp; forbrug'!A174,'Resultater - Danmark'!$A$3:$A$482,"Biogasanlæg")&gt;0,1,0)</f>
        <v>0</v>
      </c>
      <c r="D174" s="194">
        <f t="shared" si="47"/>
        <v>2019</v>
      </c>
      <c r="E174" s="192" t="s">
        <v>24</v>
      </c>
      <c r="F174" s="195">
        <f>IF(E174="Vestdanmark",SUMIFS(IF(D174=År1,'Resultater - Vestdanmark'!H$3:H$482,IF(D174=År2,'Resultater - Vestdanmark'!I$3:I$482,'Resultater - Vestdanmark'!J$3:J$482)),'Resultater - Vestdanmark'!$F$3:$F$482,$A174,IF(D174=År1,'Resultater - Vestdanmark'!H$3:H$482,IF(D174=År2,'Resultater - Vestdanmark'!I$3:I$482,'Resultater - Vestdanmark'!J$3:J$482)),"&gt;0"),SUMIFS(IF(D174=År1,'Resultater - Østdanmark'!H$3:H$482,IF(D174=År2,'Resultater - Østdanmark'!I$3:I$482,'Resultater - Østdanmark'!J$3:J$482)),'Resultater - Østdanmark'!$F$3:$F$482,$A174,IF(D174=År1,'Resultater - Østdanmark'!H$3:H$482,IF(D174=År2,'Resultater - Østdanmark'!I$3:I$482,'Resultater - Østdanmark'!J$3:J$482)),"&gt;0"))</f>
        <v>0</v>
      </c>
      <c r="G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92">
        <f>IF(E174="Vestdanmark",-IF(A174="Halm",SUMIFS(IF(D174=År1,'Resultater - Vestdanmark'!H$3:H$482,IF(D174=År2,'Resultater - Vestdanmark'!I$3:I$482,'Resultater - Vestdanmark'!J$3:J$482)),'Resultater - Vestdanmark'!$F$3:$F$482,$A174,'Resultater - Vestdanmark'!H$3:H$482,"&lt;0"),0),-IF(A174="Halm",SUMIFS(IF(D174=År1,'Resultater - Østdanmark'!H$3:H$482,IF(D174=År2,'Resultater - Østdanmark'!I$3:I$482,'Resultater - Østdanmark'!J$3:J$482)),'Resultater - Østdanmark'!$F$3:$F$482,$A174,'Resultater - Østdanmark'!H$3:H$482,"&lt;0"),0))</f>
        <v>0</v>
      </c>
      <c r="I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5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7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204">
        <f t="shared" si="48"/>
        <v>-389767.86287629709</v>
      </c>
      <c r="O174" s="195">
        <f t="shared" si="39"/>
        <v>0</v>
      </c>
      <c r="P174" s="205">
        <f t="shared" si="49"/>
        <v>0</v>
      </c>
      <c r="Q174" s="192">
        <f>IFERROR(VLOOKUP(A174,[1]Energiindhold!$A$2:$C$11,3,FALSE),IFERROR(VLOOKUP(A174,[1]Biogasudbytte!$A$2:$B$18,2,FALSE)*[1]Energiindhold!$C$10,0))*O174</f>
        <v>0</v>
      </c>
      <c r="R174" s="192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92">
        <f>IFERROR(VLOOKUP(A174,[1]Biogasudbytte!$A$2:$B$18,2,FALSE)*[1]Energiindhold!$C$10,0)*J174*IFERROR(VLOOKUP(A174,Biogasanlæg!$F$3:$G$8,2,FALSE),1)</f>
        <v>0</v>
      </c>
      <c r="T174" s="193">
        <f t="shared" si="50"/>
        <v>0</v>
      </c>
      <c r="U174" s="191">
        <f>O174*IFERROR(VLOOKUP(A174,[1]Tørstofindhold!A$2:B$24,2,FALSE),0)</f>
        <v>0</v>
      </c>
      <c r="V174" s="192">
        <f>IF(D174=År1,P174,SUM(O174,P174))*IFERROR(VLOOKUP(A174,[1]Tørstofindhold!A$2:B$24,2,FALSE),0)</f>
        <v>0</v>
      </c>
      <c r="W174" s="192">
        <f>J174*IFERROR(VLOOKUP(A174,[1]Tørstofindhold!A$2:B$24,2,FALSE),0)</f>
        <v>0</v>
      </c>
      <c r="X174" s="193">
        <f t="shared" si="51"/>
        <v>0</v>
      </c>
      <c r="Y174" s="171">
        <f t="shared" si="43"/>
        <v>1</v>
      </c>
      <c r="Z174" s="103">
        <f t="shared" si="44"/>
        <v>0</v>
      </c>
    </row>
    <row r="175" spans="1:26" x14ac:dyDescent="0.25">
      <c r="A175" s="194" t="s">
        <v>107</v>
      </c>
      <c r="B175" s="194" t="s">
        <v>228</v>
      </c>
      <c r="C175" s="194">
        <f>IF(COUNTIFS('Resultater - Danmark'!$D$3:$D$482,'Resultat-Produktion &amp; forbrug'!A175,'Resultater - Danmark'!$A$3:$A$482,"Til energi")+COUNTIFS('Resultater - Danmark'!$D$3:$D$482,'Resultat-Produktion &amp; forbrug'!A175,'Resultater - Danmark'!$A$3:$A$482,"Biogasanlæg")&gt;0,1,0)</f>
        <v>1</v>
      </c>
      <c r="D175" s="194">
        <f t="shared" si="47"/>
        <v>2019</v>
      </c>
      <c r="E175" s="192" t="s">
        <v>24</v>
      </c>
      <c r="F175" s="195">
        <f>IF(E175="Vestdanmark",SUMIFS(IF(D175=År1,'Resultater - Vestdanmark'!H$3:H$482,IF(D175=År2,'Resultater - Vestdanmark'!I$3:I$482,'Resultater - Vestdanmark'!J$3:J$482)),'Resultater - Vestdanmark'!$F$3:$F$482,$A175,IF(D175=År1,'Resultater - Vestdanmark'!H$3:H$482,IF(D175=År2,'Resultater - Vestdanmark'!I$3:I$482,'Resultater - Vestdanmark'!J$3:J$482)),"&gt;0"),SUMIFS(IF(D175=År1,'Resultater - Østdanmark'!H$3:H$482,IF(D175=År2,'Resultater - Østdanmark'!I$3:I$482,'Resultater - Østdanmark'!J$3:J$482)),'Resultater - Østdanmark'!$F$3:$F$482,$A175,IF(D175=År1,'Resultater - Østdanmark'!H$3:H$482,IF(D175=År2,'Resultater - Østdanmark'!I$3:I$482,'Resultater - Østdanmark'!J$3:J$482)),"&gt;0"))</f>
        <v>0</v>
      </c>
      <c r="G175" s="195" t="e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#REF!</v>
      </c>
      <c r="H175" s="192">
        <f>IF(E175="Vestdanmark",-IF(A175="Halm",SUMIFS(IF(D175=År1,'Resultater - Vestdanmark'!H$3:H$482,IF(D175=År2,'Resultater - Vestdanmark'!I$3:I$482,'Resultater - Vestdanmark'!J$3:J$482)),'Resultater - Vestdanmark'!$F$3:$F$482,$A175,'Resultater - Vestdanmark'!H$3:H$482,"&lt;0"),0),-IF(A175="Halm",SUMIFS(IF(D175=År1,'Resultater - Østdanmark'!H$3:H$482,IF(D175=År2,'Resultater - Østdanmark'!I$3:I$482,'Resultater - Østdanmark'!J$3:J$482)),'Resultater - Østdanmark'!$F$3:$F$482,$A175,'Resultater - Østdanmark'!H$3:H$482,"&lt;0"),0))</f>
        <v>0</v>
      </c>
      <c r="I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5" t="e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#REF!</v>
      </c>
      <c r="K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5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7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204" t="e">
        <f t="shared" si="48"/>
        <v>#REF!</v>
      </c>
      <c r="O175" s="195" t="e">
        <f t="shared" si="39"/>
        <v>#REF!</v>
      </c>
      <c r="P175" s="205" t="e">
        <f t="shared" si="49"/>
        <v>#REF!</v>
      </c>
      <c r="Q175" s="192" t="e">
        <f>IFERROR(VLOOKUP(A175,[1]Energiindhold!$A$2:$C$11,3,FALSE),IFERROR(VLOOKUP(A175,[1]Biogasudbytte!$A$2:$B$18,2,FALSE)*[1]Energiindhold!$C$10,0))*O175</f>
        <v>#REF!</v>
      </c>
      <c r="R175" s="192" t="e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#REF!</v>
      </c>
      <c r="S175" s="192" t="e">
        <f>IFERROR(VLOOKUP(A175,[1]Biogasudbytte!$A$2:$B$18,2,FALSE)*[1]Energiindhold!$C$10,0)*J175*IFERROR(VLOOKUP(A175,Biogasanlæg!$F$3:$G$8,2,FALSE),1)</f>
        <v>#REF!</v>
      </c>
      <c r="T175" s="193" t="e">
        <f t="shared" si="50"/>
        <v>#REF!</v>
      </c>
      <c r="U175" s="191" t="e">
        <f>O175*IFERROR(VLOOKUP(A175,[1]Tørstofindhold!A$2:B$24,2,FALSE),0)</f>
        <v>#REF!</v>
      </c>
      <c r="V175" s="192" t="e">
        <f>IF(D175=År1,P175,SUM(O175,P175))*IFERROR(VLOOKUP(A175,[1]Tørstofindhold!A$2:B$24,2,FALSE),0)</f>
        <v>#REF!</v>
      </c>
      <c r="W175" s="192" t="e">
        <f>J175*IFERROR(VLOOKUP(A175,[1]Tørstofindhold!A$2:B$24,2,FALSE),0)</f>
        <v>#REF!</v>
      </c>
      <c r="X175" s="193" t="e">
        <f t="shared" si="51"/>
        <v>#REF!</v>
      </c>
      <c r="Y175" s="171" t="e">
        <f t="shared" si="43"/>
        <v>#REF!</v>
      </c>
      <c r="Z175" s="103" t="e">
        <f t="shared" si="44"/>
        <v>#REF!</v>
      </c>
    </row>
    <row r="176" spans="1:26" x14ac:dyDescent="0.25">
      <c r="A176" s="194" t="s">
        <v>14</v>
      </c>
      <c r="B176" s="194"/>
      <c r="C176" s="194">
        <f>IF(COUNTIFS('Resultater - Danmark'!$D$3:$D$482,'Resultat-Produktion &amp; forbrug'!A176,'Resultater - Danmark'!$A$3:$A$482,"Til energi")+COUNTIFS('Resultater - Danmark'!$D$3:$D$482,'Resultat-Produktion &amp; forbrug'!A176,'Resultater - Danmark'!$A$3:$A$482,"Biogasanlæg")&gt;0,1,0)</f>
        <v>0</v>
      </c>
      <c r="D176" s="194">
        <f t="shared" si="47"/>
        <v>2019</v>
      </c>
      <c r="E176" s="192" t="s">
        <v>24</v>
      </c>
      <c r="F176" s="195">
        <f>IF(E176="Vestdanmark",SUMIFS(IF(D176=År1,'Resultater - Vestdanmark'!H$3:H$482,IF(D176=År2,'Resultater - Vestdanmark'!I$3:I$482,'Resultater - Vestdanmark'!J$3:J$482)),'Resultater - Vestdanmark'!$F$3:$F$482,$A176,IF(D176=År1,'Resultater - Vestdanmark'!H$3:H$482,IF(D176=År2,'Resultater - Vestdanmark'!I$3:I$482,'Resultater - Vestdanmark'!J$3:J$482)),"&gt;0"),SUMIFS(IF(D176=År1,'Resultater - Østdanmark'!H$3:H$482,IF(D176=År2,'Resultater - Østdanmark'!I$3:I$482,'Resultater - Østdanmark'!J$3:J$482)),'Resultater - Østdanmark'!$F$3:$F$482,$A176,IF(D176=År1,'Resultater - Østdanmark'!H$3:H$482,IF(D176=År2,'Resultater - Østdanmark'!I$3:I$482,'Resultater - Østdanmark'!J$3:J$482)),"&gt;0"))</f>
        <v>0</v>
      </c>
      <c r="G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92">
        <f>IF(E176="Vestdanmark",-IF(A176="Halm",SUMIFS(IF(D176=År1,'Resultater - Vestdanmark'!H$3:H$482,IF(D176=År2,'Resultater - Vestdanmark'!I$3:I$482,'Resultater - Vestdanmark'!J$3:J$482)),'Resultater - Vestdanmark'!$F$3:$F$482,$A176,'Resultater - Vestdanmark'!H$3:H$482,"&lt;0"),0),-IF(A176="Halm",SUMIFS(IF(D176=År1,'Resultater - Østdanmark'!H$3:H$482,IF(D176=År2,'Resultater - Østdanmark'!I$3:I$482,'Resultater - Østdanmark'!J$3:J$482)),'Resultater - Østdanmark'!$F$3:$F$482,$A176,'Resultater - Østdanmark'!H$3:H$482,"&lt;0"),0))</f>
        <v>0</v>
      </c>
      <c r="I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5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7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204">
        <f t="shared" si="48"/>
        <v>-49527.399127557059</v>
      </c>
      <c r="O176" s="195">
        <f t="shared" si="39"/>
        <v>0</v>
      </c>
      <c r="P176" s="205">
        <f t="shared" si="49"/>
        <v>0</v>
      </c>
      <c r="Q176" s="192">
        <f>IFERROR(VLOOKUP(A176,[1]Energiindhold!$A$2:$C$11,3,FALSE),IFERROR(VLOOKUP(A176,[1]Biogasudbytte!$A$2:$B$18,2,FALSE)*[1]Energiindhold!$C$10,0))*O176</f>
        <v>0</v>
      </c>
      <c r="R176" s="192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92">
        <f>IFERROR(VLOOKUP(A176,[1]Biogasudbytte!$A$2:$B$18,2,FALSE)*[1]Energiindhold!$C$10,0)*J176*IFERROR(VLOOKUP(A176,Biogasanlæg!$F$3:$G$8,2,FALSE),1)</f>
        <v>0</v>
      </c>
      <c r="T176" s="193">
        <f t="shared" si="50"/>
        <v>0</v>
      </c>
      <c r="U176" s="191">
        <f>O176*IFERROR(VLOOKUP(A176,[1]Tørstofindhold!A$2:B$24,2,FALSE),0)</f>
        <v>0</v>
      </c>
      <c r="V176" s="192">
        <f>IF(D176=År1,P176,SUM(O176,P176))*IFERROR(VLOOKUP(A176,[1]Tørstofindhold!A$2:B$24,2,FALSE),0)</f>
        <v>0</v>
      </c>
      <c r="W176" s="192">
        <f>J176*IFERROR(VLOOKUP(A176,[1]Tørstofindhold!A$2:B$24,2,FALSE),0)</f>
        <v>0</v>
      </c>
      <c r="X176" s="193">
        <f t="shared" si="51"/>
        <v>0</v>
      </c>
      <c r="Y176" s="171">
        <f t="shared" si="43"/>
        <v>1</v>
      </c>
      <c r="Z176" s="103">
        <f t="shared" si="44"/>
        <v>0</v>
      </c>
    </row>
    <row r="177" spans="1:26" x14ac:dyDescent="0.25">
      <c r="A177" s="194" t="s">
        <v>55</v>
      </c>
      <c r="B177" s="194"/>
      <c r="C177" s="194">
        <f>IF(COUNTIFS('Resultater - Danmark'!$D$3:$D$482,'Resultat-Produktion &amp; forbrug'!A177,'Resultater - Danmark'!$A$3:$A$482,"Til energi")+COUNTIFS('Resultater - Danmark'!$D$3:$D$482,'Resultat-Produktion &amp; forbrug'!A177,'Resultater - Danmark'!$A$3:$A$482,"Biogasanlæg")&gt;0,1,0)</f>
        <v>0</v>
      </c>
      <c r="D177" s="194">
        <f t="shared" si="47"/>
        <v>2019</v>
      </c>
      <c r="E177" s="192" t="s">
        <v>24</v>
      </c>
      <c r="F177" s="195">
        <f>IF(E177="Vestdanmark",SUMIFS(IF(D177=År1,'Resultater - Vestdanmark'!H$3:H$482,IF(D177=År2,'Resultater - Vestdanmark'!I$3:I$482,'Resultater - Vestdanmark'!J$3:J$482)),'Resultater - Vestdanmark'!$F$3:$F$482,$A177,IF(D177=År1,'Resultater - Vestdanmark'!H$3:H$482,IF(D177=År2,'Resultater - Vestdanmark'!I$3:I$482,'Resultater - Vestdanmark'!J$3:J$482)),"&gt;0"),SUMIFS(IF(D177=År1,'Resultater - Østdanmark'!H$3:H$482,IF(D177=År2,'Resultater - Østdanmark'!I$3:I$482,'Resultater - Østdanmark'!J$3:J$482)),'Resultater - Østdanmark'!$F$3:$F$482,$A177,IF(D177=År1,'Resultater - Østdanmark'!H$3:H$482,IF(D177=År2,'Resultater - Østdanmark'!I$3:I$482,'Resultater - Østdanmark'!J$3:J$482)),"&gt;0"))</f>
        <v>0</v>
      </c>
      <c r="G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92">
        <f>IF(E177="Vestdanmark",-IF(A177="Halm",SUMIFS(IF(D177=År1,'Resultater - Vestdanmark'!H$3:H$482,IF(D177=År2,'Resultater - Vestdanmark'!I$3:I$482,'Resultater - Vestdanmark'!J$3:J$482)),'Resultater - Vestdanmark'!$F$3:$F$482,$A177,'Resultater - Vestdanmark'!H$3:H$482,"&lt;0"),0),-IF(A177="Halm",SUMIFS(IF(D177=År1,'Resultater - Østdanmark'!H$3:H$482,IF(D177=År2,'Resultater - Østdanmark'!I$3:I$482,'Resultater - Østdanmark'!J$3:J$482)),'Resultater - Østdanmark'!$F$3:$F$482,$A177,'Resultater - Østdanmark'!H$3:H$482,"&lt;0"),0))</f>
        <v>0</v>
      </c>
      <c r="I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5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7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204">
        <f t="shared" si="48"/>
        <v>0</v>
      </c>
      <c r="O177" s="195">
        <f t="shared" si="39"/>
        <v>0</v>
      </c>
      <c r="P177" s="205">
        <f t="shared" si="49"/>
        <v>0</v>
      </c>
      <c r="Q177" s="192">
        <f>IFERROR(VLOOKUP(A177,[1]Energiindhold!$A$2:$C$11,3,FALSE),IFERROR(VLOOKUP(A177,[1]Biogasudbytte!$A$2:$B$18,2,FALSE)*[1]Energiindhold!$C$10,0))*O177</f>
        <v>0</v>
      </c>
      <c r="R177" s="192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92">
        <f>IFERROR(VLOOKUP(A177,[1]Biogasudbytte!$A$2:$B$18,2,FALSE)*[1]Energiindhold!$C$10,0)*J177*IFERROR(VLOOKUP(A177,Biogasanlæg!$F$3:$G$8,2,FALSE),1)</f>
        <v>0</v>
      </c>
      <c r="T177" s="193">
        <f t="shared" si="50"/>
        <v>0</v>
      </c>
      <c r="U177" s="191">
        <f>O177*IFERROR(VLOOKUP(A177,[1]Tørstofindhold!A$2:B$24,2,FALSE),0)</f>
        <v>0</v>
      </c>
      <c r="V177" s="192">
        <f>IF(D177=År1,P177,SUM(O177,P177))*IFERROR(VLOOKUP(A177,[1]Tørstofindhold!A$2:B$24,2,FALSE),0)</f>
        <v>0</v>
      </c>
      <c r="W177" s="192">
        <f>J177*IFERROR(VLOOKUP(A177,[1]Tørstofindhold!A$2:B$24,2,FALSE),0)</f>
        <v>0</v>
      </c>
      <c r="X177" s="193">
        <f t="shared" si="51"/>
        <v>0</v>
      </c>
      <c r="Y177" s="171">
        <f t="shared" si="43"/>
        <v>0</v>
      </c>
      <c r="Z177" s="103">
        <f t="shared" si="44"/>
        <v>0</v>
      </c>
    </row>
    <row r="178" spans="1:26" x14ac:dyDescent="0.25">
      <c r="A178" s="194" t="s">
        <v>96</v>
      </c>
      <c r="B178" s="194" t="s">
        <v>227</v>
      </c>
      <c r="C178" s="194">
        <f>IF(COUNTIFS('Resultater - Danmark'!$D$3:$D$482,'Resultat-Produktion &amp; forbrug'!A178,'Resultater - Danmark'!$A$3:$A$482,"Til energi")+COUNTIFS('Resultater - Danmark'!$D$3:$D$482,'Resultat-Produktion &amp; forbrug'!A178,'Resultater - Danmark'!$A$3:$A$482,"Biogasanlæg")&gt;0,1,0)</f>
        <v>1</v>
      </c>
      <c r="D178" s="194">
        <f t="shared" si="47"/>
        <v>2019</v>
      </c>
      <c r="E178" s="192" t="s">
        <v>24</v>
      </c>
      <c r="F178" s="195">
        <f>IF(E178="Vestdanmark",SUMIFS(IF(D178=År1,'Resultater - Vestdanmark'!H$3:H$482,IF(D178=År2,'Resultater - Vestdanmark'!I$3:I$482,'Resultater - Vestdanmark'!J$3:J$482)),'Resultater - Vestdanmark'!$F$3:$F$482,$A178,IF(D178=År1,'Resultater - Vestdanmark'!H$3:H$482,IF(D178=År2,'Resultater - Vestdanmark'!I$3:I$482,'Resultater - Vestdanmark'!J$3:J$482)),"&gt;0"),SUMIFS(IF(D178=År1,'Resultater - Østdanmark'!H$3:H$482,IF(D178=År2,'Resultater - Østdanmark'!I$3:I$482,'Resultater - Østdanmark'!J$3:J$482)),'Resultater - Østdanmark'!$F$3:$F$482,$A178,IF(D178=År1,'Resultater - Østdanmark'!H$3:H$482,IF(D178=År2,'Resultater - Østdanmark'!I$3:I$482,'Resultater - Østdanmark'!J$3:J$482)),"&gt;0"))</f>
        <v>0</v>
      </c>
      <c r="G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92">
        <f>IF(E178="Vestdanmark",-IF(A178="Halm",SUMIFS(IF(D178=År1,'Resultater - Vestdanmark'!H$3:H$482,IF(D178=År2,'Resultater - Vestdanmark'!I$3:I$482,'Resultater - Vestdanmark'!J$3:J$482)),'Resultater - Vestdanmark'!$F$3:$F$482,$A178,'Resultater - Vestdanmark'!H$3:H$482,"&lt;0"),0),-IF(A178="Halm",SUMIFS(IF(D178=År1,'Resultater - Østdanmark'!H$3:H$482,IF(D178=År2,'Resultater - Østdanmark'!I$3:I$482,'Resultater - Østdanmark'!J$3:J$482)),'Resultater - Østdanmark'!$F$3:$F$482,$A178,'Resultater - Østdanmark'!H$3:H$482,"&lt;0"),0))</f>
        <v>0</v>
      </c>
      <c r="I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5" t="e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#REF!</v>
      </c>
      <c r="M178" s="157" t="e">
        <f>SUMIFS('Forbrug af biomasse'!E:E,'Forbrug af biomasse'!C:C,'Resultat-Produktion &amp; forbrug'!$A178,'Forbrug af biomasse'!D:D,'Resultat-Produktion &amp; forbrug'!$D178,'Forbrug af biomasse'!G:G,1,'Forbrug af biomasse'!B:B,$E178)</f>
        <v>#REF!</v>
      </c>
      <c r="N178" s="204" t="e">
        <f t="shared" si="48"/>
        <v>#REF!</v>
      </c>
      <c r="O178" s="195" t="e">
        <f t="shared" si="39"/>
        <v>#REF!</v>
      </c>
      <c r="P178" s="205" t="e">
        <f t="shared" si="49"/>
        <v>#REF!</v>
      </c>
      <c r="Q178" s="192" t="e">
        <f>IFERROR(VLOOKUP(A178,[1]Energiindhold!$A$2:$C$11,3,FALSE),IFERROR(VLOOKUP(A178,[1]Biogasudbytte!$A$2:$B$18,2,FALSE)*[1]Energiindhold!$C$10,0))*O178</f>
        <v>#REF!</v>
      </c>
      <c r="R178" s="192" t="e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#REF!</v>
      </c>
      <c r="S178" s="192">
        <f>IFERROR(VLOOKUP(A178,[1]Biogasudbytte!$A$2:$B$18,2,FALSE)*[1]Energiindhold!$C$10,0)*J178*IFERROR(VLOOKUP(A178,Biogasanlæg!$F$3:$G$8,2,FALSE),1)</f>
        <v>0</v>
      </c>
      <c r="T178" s="193" t="e">
        <f t="shared" si="50"/>
        <v>#REF!</v>
      </c>
      <c r="U178" s="191" t="e">
        <f>O178*IFERROR(VLOOKUP(A178,[1]Tørstofindhold!A$2:B$24,2,FALSE),0)</f>
        <v>#REF!</v>
      </c>
      <c r="V178" s="192" t="e">
        <f>IF(D178=År1,P178,SUM(O178,P178))*IFERROR(VLOOKUP(A178,[1]Tørstofindhold!A$2:B$24,2,FALSE),0)</f>
        <v>#REF!</v>
      </c>
      <c r="W178" s="192">
        <f>J178*IFERROR(VLOOKUP(A178,[1]Tørstofindhold!A$2:B$24,2,FALSE),0)</f>
        <v>0</v>
      </c>
      <c r="X178" s="193" t="e">
        <f t="shared" si="51"/>
        <v>#REF!</v>
      </c>
      <c r="Y178" s="171" t="e">
        <f t="shared" si="43"/>
        <v>#REF!</v>
      </c>
      <c r="Z178" s="103" t="e">
        <f t="shared" si="44"/>
        <v>#REF!</v>
      </c>
    </row>
    <row r="179" spans="1:26" x14ac:dyDescent="0.25">
      <c r="A179" s="194" t="s">
        <v>316</v>
      </c>
      <c r="B179" s="194" t="s">
        <v>322</v>
      </c>
      <c r="C179" s="194">
        <f>IF(COUNTIFS('Resultater - Danmark'!$D$3:$D$482,'Resultat-Produktion &amp; forbrug'!A179,'Resultater - Danmark'!$A$3:$A$482,"Til energi")+COUNTIFS('Resultater - Danmark'!$D$3:$D$482,'Resultat-Produktion &amp; forbrug'!A179,'Resultater - Danmark'!$A$3:$A$482,"Biogasanlæg")&gt;0,1,0)</f>
        <v>1</v>
      </c>
      <c r="D179" s="194">
        <f t="shared" si="47"/>
        <v>2019</v>
      </c>
      <c r="E179" s="192" t="s">
        <v>24</v>
      </c>
      <c r="F179" s="195">
        <f>IF(E179="Vestdanmark",SUMIFS(IF(D179=År1,'Resultater - Vestdanmark'!H$3:H$482,IF(D179=År2,'Resultater - Vestdanmark'!I$3:I$482,'Resultater - Vestdanmark'!J$3:J$482)),'Resultater - Vestdanmark'!$F$3:$F$482,$A179,IF(D179=År1,'Resultater - Vestdanmark'!H$3:H$482,IF(D179=År2,'Resultater - Vestdanmark'!I$3:I$482,'Resultater - Vestdanmark'!J$3:J$482)),"&gt;0"),SUMIFS(IF(D179=År1,'Resultater - Østdanmark'!H$3:H$482,IF(D179=År2,'Resultater - Østdanmark'!I$3:I$482,'Resultater - Østdanmark'!J$3:J$482)),'Resultater - Østdanmark'!$F$3:$F$482,$A179,IF(D179=År1,'Resultater - Østdanmark'!H$3:H$482,IF(D179=År2,'Resultater - Østdanmark'!I$3:I$482,'Resultater - Østdanmark'!J$3:J$482)),"&gt;0"))</f>
        <v>0</v>
      </c>
      <c r="G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92">
        <f>IF(E179="Vestdanmark",-IF(A179="Halm",SUMIFS(IF(D179=År1,'Resultater - Vestdanmark'!H$3:H$482,IF(D179=År2,'Resultater - Vestdanmark'!I$3:I$482,'Resultater - Vestdanmark'!J$3:J$482)),'Resultater - Vestdanmark'!$F$3:$F$482,$A179,'Resultater - Vestdanmark'!H$3:H$482,"&lt;0"),0),-IF(A179="Halm",SUMIFS(IF(D179=År1,'Resultater - Østdanmark'!H$3:H$482,IF(D179=År2,'Resultater - Østdanmark'!I$3:I$482,'Resultater - Østdanmark'!J$3:J$482)),'Resultater - Østdanmark'!$F$3:$F$482,$A179,'Resultater - Østdanmark'!H$3:H$482,"&lt;0"),0))</f>
        <v>0</v>
      </c>
      <c r="I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5" t="e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#REF!</v>
      </c>
      <c r="M179" s="157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204" t="e">
        <f t="shared" ref="N179:N180" si="52">F179-SUM(G179:M179)</f>
        <v>#REF!</v>
      </c>
      <c r="O179" s="195" t="e">
        <f t="shared" si="39"/>
        <v>#REF!</v>
      </c>
      <c r="P179" s="205" t="e">
        <f t="shared" ref="P179:P180" si="53">SUM(J179,L179)</f>
        <v>#REF!</v>
      </c>
      <c r="Q179" s="192" t="e">
        <f>IFERROR(VLOOKUP(A179,[1]Energiindhold!$A$2:$C$11,3,FALSE),IFERROR(VLOOKUP(A179,[1]Biogasudbytte!$A$2:$B$18,2,FALSE)*[1]Energiindhold!$C$10,0))*O179</f>
        <v>#REF!</v>
      </c>
      <c r="R179" s="192" t="e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#REF!</v>
      </c>
      <c r="S179" s="192">
        <f>IFERROR(VLOOKUP(A179,[1]Biogasudbytte!$A$2:$B$18,2,FALSE)*[1]Energiindhold!$C$10,0)*J179*IFERROR(VLOOKUP(A179,Biogasanlæg!$F$3:$G$8,2,FALSE),1)</f>
        <v>0</v>
      </c>
      <c r="T179" s="193" t="e">
        <f t="shared" ref="T179:T180" si="54">R179-S179</f>
        <v>#REF!</v>
      </c>
      <c r="U179" s="191" t="e">
        <f>O179*IFERROR(VLOOKUP(A179,[1]Tørstofindhold!A$2:B$24,2,FALSE),0)</f>
        <v>#REF!</v>
      </c>
      <c r="V179" s="192" t="e">
        <f>IF(D179=År1,P179,SUM(O179,P179))*IFERROR(VLOOKUP(A179,[1]Tørstofindhold!A$2:B$24,2,FALSE),0)</f>
        <v>#REF!</v>
      </c>
      <c r="W179" s="192">
        <f>J179*IFERROR(VLOOKUP(A179,[1]Tørstofindhold!A$2:B$24,2,FALSE),0)</f>
        <v>0</v>
      </c>
      <c r="X179" s="193" t="e">
        <f t="shared" ref="X179:X180" si="55">V179-W179</f>
        <v>#REF!</v>
      </c>
      <c r="Y179" s="171" t="e">
        <f t="shared" si="43"/>
        <v>#REF!</v>
      </c>
      <c r="Z179" s="103" t="e">
        <f t="shared" si="44"/>
        <v>#REF!</v>
      </c>
    </row>
    <row r="180" spans="1:26" x14ac:dyDescent="0.25">
      <c r="A180" s="194" t="s">
        <v>317</v>
      </c>
      <c r="B180" s="194" t="s">
        <v>322</v>
      </c>
      <c r="C180" s="194">
        <f>IF(COUNTIFS('Resultater - Danmark'!$D$3:$D$482,'Resultat-Produktion &amp; forbrug'!A180,'Resultater - Danmark'!$A$3:$A$482,"Til energi")+COUNTIFS('Resultater - Danmark'!$D$3:$D$482,'Resultat-Produktion &amp; forbrug'!A180,'Resultater - Danmark'!$A$3:$A$482,"Biogasanlæg")&gt;0,1,0)</f>
        <v>1</v>
      </c>
      <c r="D180" s="194">
        <f t="shared" si="47"/>
        <v>2019</v>
      </c>
      <c r="E180" s="192" t="s">
        <v>24</v>
      </c>
      <c r="F180" s="195">
        <f>IF(E180="Vestdanmark",SUMIFS(IF(D180=År1,'Resultater - Vestdanmark'!H$3:H$482,IF(D180=År2,'Resultater - Vestdanmark'!I$3:I$482,'Resultater - Vestdanmark'!J$3:J$482)),'Resultater - Vestdanmark'!$F$3:$F$482,$A180,IF(D180=År1,'Resultater - Vestdanmark'!H$3:H$482,IF(D180=År2,'Resultater - Vestdanmark'!I$3:I$482,'Resultater - Vestdanmark'!J$3:J$482)),"&gt;0"),SUMIFS(IF(D180=År1,'Resultater - Østdanmark'!H$3:H$482,IF(D180=År2,'Resultater - Østdanmark'!I$3:I$482,'Resultater - Østdanmark'!J$3:J$482)),'Resultater - Østdanmark'!$F$3:$F$482,$A180,IF(D180=År1,'Resultater - Østdanmark'!H$3:H$482,IF(D180=År2,'Resultater - Østdanmark'!I$3:I$482,'Resultater - Østdanmark'!J$3:J$482)),"&gt;0"))</f>
        <v>0</v>
      </c>
      <c r="G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92">
        <f>IF(E180="Vestdanmark",-IF(A180="Halm",SUMIFS(IF(D180=År1,'Resultater - Vestdanmark'!H$3:H$482,IF(D180=År2,'Resultater - Vestdanmark'!I$3:I$482,'Resultater - Vestdanmark'!J$3:J$482)),'Resultater - Vestdanmark'!$F$3:$F$482,$A180,'Resultater - Vestdanmark'!H$3:H$482,"&lt;0"),0),-IF(A180="Halm",SUMIFS(IF(D180=År1,'Resultater - Østdanmark'!H$3:H$482,IF(D180=År2,'Resultater - Østdanmark'!I$3:I$482,'Resultater - Østdanmark'!J$3:J$482)),'Resultater - Østdanmark'!$F$3:$F$482,$A180,'Resultater - Østdanmark'!H$3:H$482,"&lt;0"),0))</f>
        <v>0</v>
      </c>
      <c r="I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5" t="e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#REF!</v>
      </c>
      <c r="M180" s="157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204" t="e">
        <f t="shared" si="52"/>
        <v>#REF!</v>
      </c>
      <c r="O180" s="195" t="e">
        <f t="shared" si="39"/>
        <v>#REF!</v>
      </c>
      <c r="P180" s="205" t="e">
        <f t="shared" si="53"/>
        <v>#REF!</v>
      </c>
      <c r="Q180" s="192" t="e">
        <f>IFERROR(VLOOKUP(A180,[1]Energiindhold!$A$2:$C$11,3,FALSE),IFERROR(VLOOKUP(A180,[1]Biogasudbytte!$A$2:$B$18,2,FALSE)*[1]Energiindhold!$C$10,0))*O180</f>
        <v>#REF!</v>
      </c>
      <c r="R180" s="192" t="e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#REF!</v>
      </c>
      <c r="S180" s="192">
        <f>IFERROR(VLOOKUP(A180,[1]Biogasudbytte!$A$2:$B$18,2,FALSE)*[1]Energiindhold!$C$10,0)*J180*IFERROR(VLOOKUP(A180,Biogasanlæg!$F$3:$G$8,2,FALSE),1)</f>
        <v>0</v>
      </c>
      <c r="T180" s="193" t="e">
        <f t="shared" si="54"/>
        <v>#REF!</v>
      </c>
      <c r="U180" s="191" t="e">
        <f>O180*IFERROR(VLOOKUP(A180,[1]Tørstofindhold!A$2:B$24,2,FALSE),0)</f>
        <v>#REF!</v>
      </c>
      <c r="V180" s="192" t="e">
        <f>IF(D180=År1,P180,SUM(O180,P180))*IFERROR(VLOOKUP(A180,[1]Tørstofindhold!A$2:B$24,2,FALSE),0)</f>
        <v>#REF!</v>
      </c>
      <c r="W180" s="192">
        <f>J180*IFERROR(VLOOKUP(A180,[1]Tørstofindhold!A$2:B$24,2,FALSE),0)</f>
        <v>0</v>
      </c>
      <c r="X180" s="193" t="e">
        <f t="shared" si="55"/>
        <v>#REF!</v>
      </c>
      <c r="Y180" s="171" t="e">
        <f t="shared" si="43"/>
        <v>#REF!</v>
      </c>
      <c r="Z180" s="103" t="e">
        <f t="shared" si="44"/>
        <v>#REF!</v>
      </c>
    </row>
    <row r="181" spans="1:26" x14ac:dyDescent="0.25">
      <c r="A181" s="194" t="s">
        <v>118</v>
      </c>
      <c r="B181" s="194"/>
      <c r="C181" s="194">
        <f>IF(COUNTIFS('Resultater - Danmark'!$D$3:$D$482,'Resultat-Produktion &amp; forbrug'!A181,'Resultater - Danmark'!$A$3:$A$482,"Til energi")+COUNTIFS('Resultater - Danmark'!$D$3:$D$482,'Resultat-Produktion &amp; forbrug'!A181,'Resultater - Danmark'!$A$3:$A$482,"Biogasanlæg")&gt;0,1,0)</f>
        <v>0</v>
      </c>
      <c r="D181" s="194">
        <f t="shared" si="47"/>
        <v>2019</v>
      </c>
      <c r="E181" s="192" t="s">
        <v>24</v>
      </c>
      <c r="F181" s="195">
        <f>IF(E181="Vestdanmark",SUMIFS(IF(D181=År1,'Resultater - Vestdanmark'!H$3:H$482,IF(D181=År2,'Resultater - Vestdanmark'!I$3:I$482,'Resultater - Vestdanmark'!J$3:J$482)),'Resultater - Vestdanmark'!$F$3:$F$482,$A181,IF(D181=År1,'Resultater - Vestdanmark'!H$3:H$482,IF(D181=År2,'Resultater - Vestdanmark'!I$3:I$482,'Resultater - Vestdanmark'!J$3:J$482)),"&gt;0"),SUMIFS(IF(D181=År1,'Resultater - Østdanmark'!H$3:H$482,IF(D181=År2,'Resultater - Østdanmark'!I$3:I$482,'Resultater - Østdanmark'!J$3:J$482)),'Resultater - Østdanmark'!$F$3:$F$482,$A181,IF(D181=År1,'Resultater - Østdanmark'!H$3:H$482,IF(D181=År2,'Resultater - Østdanmark'!I$3:I$482,'Resultater - Østdanmark'!J$3:J$482)),"&gt;0"))</f>
        <v>0</v>
      </c>
      <c r="G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92">
        <f>IF(E181="Vestdanmark",-IF(A181="Halm",SUMIFS(IF(D181=År1,'Resultater - Vestdanmark'!H$3:H$482,IF(D181=År2,'Resultater - Vestdanmark'!I$3:I$482,'Resultater - Vestdanmark'!J$3:J$482)),'Resultater - Vestdanmark'!$F$3:$F$482,$A181,'Resultater - Vestdanmark'!H$3:H$482,"&lt;0"),0),-IF(A181="Halm",SUMIFS(IF(D181=År1,'Resultater - Østdanmark'!H$3:H$482,IF(D181=År2,'Resultater - Østdanmark'!I$3:I$482,'Resultater - Østdanmark'!J$3:J$482)),'Resultater - Østdanmark'!$F$3:$F$482,$A181,'Resultater - Østdanmark'!H$3:H$482,"&lt;0"),0))</f>
        <v>0</v>
      </c>
      <c r="I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5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7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204">
        <f t="shared" si="48"/>
        <v>0</v>
      </c>
      <c r="O181" s="195">
        <f t="shared" si="39"/>
        <v>0</v>
      </c>
      <c r="P181" s="205">
        <f t="shared" si="49"/>
        <v>0</v>
      </c>
      <c r="Q181" s="192">
        <f>IFERROR(VLOOKUP(A181,[1]Energiindhold!$A$2:$C$11,3,FALSE),IFERROR(VLOOKUP(A181,[1]Biogasudbytte!$A$2:$B$18,2,FALSE)*[1]Energiindhold!$C$10,0))*O181</f>
        <v>0</v>
      </c>
      <c r="R181" s="192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92">
        <f>IFERROR(VLOOKUP(A181,[1]Biogasudbytte!$A$2:$B$18,2,FALSE)*[1]Energiindhold!$C$10,0)*J181*IFERROR(VLOOKUP(A181,Biogasanlæg!$F$3:$G$8,2,FALSE),1)</f>
        <v>0</v>
      </c>
      <c r="T181" s="193">
        <f t="shared" si="50"/>
        <v>0</v>
      </c>
      <c r="U181" s="191">
        <f>O181*IFERROR(VLOOKUP(A181,[1]Tørstofindhold!A$2:B$24,2,FALSE),0)</f>
        <v>0</v>
      </c>
      <c r="V181" s="192">
        <f>IF(D181=År1,P181,SUM(O181,P181))*IFERROR(VLOOKUP(A181,[1]Tørstofindhold!A$2:B$24,2,FALSE),0)</f>
        <v>0</v>
      </c>
      <c r="W181" s="192">
        <f>J181*IFERROR(VLOOKUP(A181,[1]Tørstofindhold!A$2:B$24,2,FALSE),0)</f>
        <v>0</v>
      </c>
      <c r="X181" s="193">
        <f t="shared" si="51"/>
        <v>0</v>
      </c>
      <c r="Y181" s="171">
        <f t="shared" si="43"/>
        <v>0</v>
      </c>
      <c r="Z181" s="103">
        <f t="shared" si="44"/>
        <v>0</v>
      </c>
    </row>
    <row r="182" spans="1:26" x14ac:dyDescent="0.25">
      <c r="A182" s="192" t="s">
        <v>50</v>
      </c>
      <c r="B182" s="194"/>
      <c r="C182" s="194">
        <f>IF(COUNTIFS('Resultater - Danmark'!$D$3:$D$482,'Resultat-Produktion &amp; forbrug'!A182,'Resultater - Danmark'!$A$3:$A$482,"Til energi")+COUNTIFS('Resultater - Danmark'!$D$3:$D$482,'Resultat-Produktion &amp; forbrug'!A182,'Resultater - Danmark'!$A$3:$A$482,"Biogasanlæg")&gt;0,1,0)</f>
        <v>0</v>
      </c>
      <c r="D182" s="194">
        <f t="shared" si="47"/>
        <v>2019</v>
      </c>
      <c r="E182" s="192" t="s">
        <v>24</v>
      </c>
      <c r="F182" s="195">
        <f>IF(E182="Vestdanmark",SUMIFS(IF(D182=År1,'Resultater - Vestdanmark'!H$3:H$482,IF(D182=År2,'Resultater - Vestdanmark'!I$3:I$482,'Resultater - Vestdanmark'!J$3:J$482)),'Resultater - Vestdanmark'!$F$3:$F$482,$A182,IF(D182=År1,'Resultater - Vestdanmark'!H$3:H$482,IF(D182=År2,'Resultater - Vestdanmark'!I$3:I$482,'Resultater - Vestdanmark'!J$3:J$482)),"&gt;0"),SUMIFS(IF(D182=År1,'Resultater - Østdanmark'!H$3:H$482,IF(D182=År2,'Resultater - Østdanmark'!I$3:I$482,'Resultater - Østdanmark'!J$3:J$482)),'Resultater - Østdanmark'!$F$3:$F$482,$A182,IF(D182=År1,'Resultater - Østdanmark'!H$3:H$482,IF(D182=År2,'Resultater - Østdanmark'!I$3:I$482,'Resultater - Østdanmark'!J$3:J$482)),"&gt;0"))</f>
        <v>0</v>
      </c>
      <c r="G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92">
        <f>IF(E182="Vestdanmark",-IF(A182="Halm",SUMIFS(IF(D182=År1,'Resultater - Vestdanmark'!H$3:H$482,IF(D182=År2,'Resultater - Vestdanmark'!I$3:I$482,'Resultater - Vestdanmark'!J$3:J$482)),'Resultater - Vestdanmark'!$F$3:$F$482,$A182,'Resultater - Vestdanmark'!H$3:H$482,"&lt;0"),0),-IF(A182="Halm",SUMIFS(IF(D182=År1,'Resultater - Østdanmark'!H$3:H$482,IF(D182=År2,'Resultater - Østdanmark'!I$3:I$482,'Resultater - Østdanmark'!J$3:J$482)),'Resultater - Østdanmark'!$F$3:$F$482,$A182,'Resultater - Østdanmark'!H$3:H$482,"&lt;0"),0))</f>
        <v>0</v>
      </c>
      <c r="I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5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7" t="e">
        <f>SUMIFS('Forbrug af biomasse'!E:E,'Forbrug af biomasse'!C:C,'Resultat-Produktion &amp; forbrug'!$A182,'Forbrug af biomasse'!D:D,'Resultat-Produktion &amp; forbrug'!$D182,'Forbrug af biomasse'!G:G,1,'Forbrug af biomasse'!B:B,$E182)</f>
        <v>#REF!</v>
      </c>
      <c r="N182" s="204" t="e">
        <f t="shared" si="48"/>
        <v>#REF!</v>
      </c>
      <c r="O182" s="195">
        <f t="shared" si="39"/>
        <v>0</v>
      </c>
      <c r="P182" s="205">
        <f t="shared" si="49"/>
        <v>0</v>
      </c>
      <c r="Q182" s="192">
        <f>IFERROR(VLOOKUP(A182,[1]Energiindhold!$A$2:$C$11,3,FALSE),IFERROR(VLOOKUP(A182,[1]Biogasudbytte!$A$2:$B$18,2,FALSE)*[1]Energiindhold!$C$10,0))*O182</f>
        <v>0</v>
      </c>
      <c r="R182" s="192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92">
        <f>IFERROR(VLOOKUP(A182,[1]Biogasudbytte!$A$2:$B$18,2,FALSE)*[1]Energiindhold!$C$10,0)*J182*IFERROR(VLOOKUP(A182,Biogasanlæg!$F$3:$G$8,2,FALSE),1)</f>
        <v>0</v>
      </c>
      <c r="T182" s="193">
        <f t="shared" si="50"/>
        <v>0</v>
      </c>
      <c r="U182" s="191">
        <f>O182*IFERROR(VLOOKUP(A182,[1]Tørstofindhold!A$2:B$24,2,FALSE),0)</f>
        <v>0</v>
      </c>
      <c r="V182" s="192">
        <f>IF(D182=År1,P182,SUM(O182,P182))*IFERROR(VLOOKUP(A182,[1]Tørstofindhold!A$2:B$24,2,FALSE),0)</f>
        <v>0</v>
      </c>
      <c r="W182" s="192">
        <f>J182*IFERROR(VLOOKUP(A182,[1]Tørstofindhold!A$2:B$24,2,FALSE),0)</f>
        <v>0</v>
      </c>
      <c r="X182" s="193">
        <f t="shared" si="51"/>
        <v>0</v>
      </c>
      <c r="Y182" s="171" t="e">
        <f t="shared" si="43"/>
        <v>#REF!</v>
      </c>
      <c r="Z182" s="103" t="e">
        <f t="shared" si="44"/>
        <v>#REF!</v>
      </c>
    </row>
    <row r="183" spans="1:26" x14ac:dyDescent="0.25">
      <c r="A183" s="192" t="s">
        <v>240</v>
      </c>
      <c r="B183" s="194"/>
      <c r="C183" s="194">
        <f>IF(COUNTIFS('Resultater - Danmark'!$D$3:$D$482,'Resultat-Produktion &amp; forbrug'!A183,'Resultater - Danmark'!$A$3:$A$482,"Til energi")+COUNTIFS('Resultater - Danmark'!$D$3:$D$482,'Resultat-Produktion &amp; forbrug'!A183,'Resultater - Danmark'!$A$3:$A$482,"Biogasanlæg")&gt;0,1,0)</f>
        <v>0</v>
      </c>
      <c r="D183" s="194">
        <f t="shared" si="47"/>
        <v>2019</v>
      </c>
      <c r="E183" s="192" t="s">
        <v>24</v>
      </c>
      <c r="F183" s="195">
        <f>IF(E183="Vestdanmark",SUMIFS(IF(D183=År1,'Resultater - Vestdanmark'!H$3:H$482,IF(D183=År2,'Resultater - Vestdanmark'!I$3:I$482,'Resultater - Vestdanmark'!J$3:J$482)),'Resultater - Vestdanmark'!$F$3:$F$482,$A183,IF(D183=År1,'Resultater - Vestdanmark'!H$3:H$482,IF(D183=År2,'Resultater - Vestdanmark'!I$3:I$482,'Resultater - Vestdanmark'!J$3:J$482)),"&gt;0"),SUMIFS(IF(D183=År1,'Resultater - Østdanmark'!H$3:H$482,IF(D183=År2,'Resultater - Østdanmark'!I$3:I$482,'Resultater - Østdanmark'!J$3:J$482)),'Resultater - Østdanmark'!$F$3:$F$482,$A183,IF(D183=År1,'Resultater - Østdanmark'!H$3:H$482,IF(D183=År2,'Resultater - Østdanmark'!I$3:I$482,'Resultater - Østdanmark'!J$3:J$482)),"&gt;0"))</f>
        <v>0</v>
      </c>
      <c r="G183" s="195" t="e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#REF!</v>
      </c>
      <c r="H183" s="192">
        <f>IF(E183="Vestdanmark",-IF(A183="Halm",SUMIFS(IF(D183=År1,'Resultater - Vestdanmark'!H$3:H$482,IF(D183=År2,'Resultater - Vestdanmark'!I$3:I$482,'Resultater - Vestdanmark'!J$3:J$482)),'Resultater - Vestdanmark'!$F$3:$F$482,$A183,'Resultater - Vestdanmark'!H$3:H$482,"&lt;0"),0),-IF(A183="Halm",SUMIFS(IF(D183=År1,'Resultater - Østdanmark'!H$3:H$482,IF(D183=År2,'Resultater - Østdanmark'!I$3:I$482,'Resultater - Østdanmark'!J$3:J$482)),'Resultater - Østdanmark'!$F$3:$F$482,$A183,'Resultater - Østdanmark'!H$3:H$482,"&lt;0"),0))</f>
        <v>0</v>
      </c>
      <c r="I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5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7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204" t="e">
        <f t="shared" si="48"/>
        <v>#REF!</v>
      </c>
      <c r="O183" s="195">
        <f t="shared" si="39"/>
        <v>0</v>
      </c>
      <c r="P183" s="205">
        <f t="shared" si="49"/>
        <v>0</v>
      </c>
      <c r="Q183" s="192">
        <f>IFERROR(VLOOKUP(A183,[1]Energiindhold!$A$2:$C$11,3,FALSE),IFERROR(VLOOKUP(A183,[1]Biogasudbytte!$A$2:$B$18,2,FALSE)*[1]Energiindhold!$C$10,0))*O183</f>
        <v>0</v>
      </c>
      <c r="R183" s="192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92">
        <f>IFERROR(VLOOKUP(A183,[1]Biogasudbytte!$A$2:$B$18,2,FALSE)*[1]Energiindhold!$C$10,0)*J183*IFERROR(VLOOKUP(A183,Biogasanlæg!$F$3:$G$8,2,FALSE),1)</f>
        <v>0</v>
      </c>
      <c r="T183" s="193">
        <f t="shared" si="50"/>
        <v>0</v>
      </c>
      <c r="U183" s="191">
        <f>O183*IFERROR(VLOOKUP(A183,[1]Tørstofindhold!A$2:B$24,2,FALSE),0)</f>
        <v>0</v>
      </c>
      <c r="V183" s="192">
        <f>IF(D183=År1,P183,SUM(O183,P183))*IFERROR(VLOOKUP(A183,[1]Tørstofindhold!A$2:B$24,2,FALSE),0)</f>
        <v>0</v>
      </c>
      <c r="W183" s="192">
        <f>J183*IFERROR(VLOOKUP(A183,[1]Tørstofindhold!A$2:B$24,2,FALSE),0)</f>
        <v>0</v>
      </c>
      <c r="X183" s="193">
        <f t="shared" si="51"/>
        <v>0</v>
      </c>
      <c r="Y183" s="171" t="e">
        <f t="shared" si="43"/>
        <v>#REF!</v>
      </c>
      <c r="Z183" s="103" t="e">
        <f t="shared" si="44"/>
        <v>#REF!</v>
      </c>
    </row>
    <row r="184" spans="1:26" x14ac:dyDescent="0.25">
      <c r="A184" s="192" t="s">
        <v>233</v>
      </c>
      <c r="B184" s="194" t="s">
        <v>233</v>
      </c>
      <c r="C184" s="194">
        <f>IF(COUNTIFS('Resultater - Danmark'!$D$3:$D$482,'Resultat-Produktion &amp; forbrug'!A184,'Resultater - Danmark'!$A$3:$A$482,"Til energi")+COUNTIFS('Resultater - Danmark'!$D$3:$D$482,'Resultat-Produktion &amp; forbrug'!A184,'Resultater - Danmark'!$A$3:$A$482,"Biogasanlæg")&gt;0,1,0)</f>
        <v>1</v>
      </c>
      <c r="D184" s="194">
        <f t="shared" si="47"/>
        <v>2019</v>
      </c>
      <c r="E184" s="192" t="s">
        <v>24</v>
      </c>
      <c r="F184" s="195">
        <f>IF(E184="Vestdanmark",SUMIFS(IF(D184=År1,'Resultater - Vestdanmark'!H$3:H$482,IF(D184=År2,'Resultater - Vestdanmark'!I$3:I$482,'Resultater - Vestdanmark'!J$3:J$482)),'Resultater - Vestdanmark'!$F$3:$F$482,$A184,IF(D184=År1,'Resultater - Vestdanmark'!H$3:H$482,IF(D184=År2,'Resultater - Vestdanmark'!I$3:I$482,'Resultater - Vestdanmark'!J$3:J$482)),"&gt;0"),SUMIFS(IF(D184=År1,'Resultater - Østdanmark'!H$3:H$482,IF(D184=År2,'Resultater - Østdanmark'!I$3:I$482,'Resultater - Østdanmark'!J$3:J$482)),'Resultater - Østdanmark'!$F$3:$F$482,$A184,IF(D184=År1,'Resultater - Østdanmark'!H$3:H$482,IF(D184=År2,'Resultater - Østdanmark'!I$3:I$482,'Resultater - Østdanmark'!J$3:J$482)),"&gt;0"))</f>
        <v>0</v>
      </c>
      <c r="G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92">
        <f>IF(E184="Vestdanmark",-IF(A184="Halm",SUMIFS(IF(D184=År1,'Resultater - Vestdanmark'!H$3:H$482,IF(D184=År2,'Resultater - Vestdanmark'!I$3:I$482,'Resultater - Vestdanmark'!J$3:J$482)),'Resultater - Vestdanmark'!$F$3:$F$482,$A184,'Resultater - Vestdanmark'!H$3:H$482,"&lt;0"),0),-IF(A184="Halm",SUMIFS(IF(D184=År1,'Resultater - Østdanmark'!H$3:H$482,IF(D184=År2,'Resultater - Østdanmark'!I$3:I$482,'Resultater - Østdanmark'!J$3:J$482)),'Resultater - Østdanmark'!$F$3:$F$482,$A184,'Resultater - Østdanmark'!H$3:H$482,"&lt;0"),0))</f>
        <v>0</v>
      </c>
      <c r="I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5" t="e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#REF!</v>
      </c>
      <c r="M184" s="157" t="e">
        <f>SUMIFS('Forbrug af biomasse'!E:E,'Forbrug af biomasse'!C:C,'Resultat-Produktion &amp; forbrug'!$A184,'Forbrug af biomasse'!D:D,'Resultat-Produktion &amp; forbrug'!$D184,'Forbrug af biomasse'!G:G,1,'Forbrug af biomasse'!B:B,$E184)</f>
        <v>#REF!</v>
      </c>
      <c r="N184" s="204" t="e">
        <f t="shared" si="48"/>
        <v>#REF!</v>
      </c>
      <c r="O184" s="195" t="e">
        <f t="shared" si="39"/>
        <v>#REF!</v>
      </c>
      <c r="P184" s="205" t="e">
        <f t="shared" si="49"/>
        <v>#REF!</v>
      </c>
      <c r="Q184" s="192" t="e">
        <f>IFERROR(VLOOKUP(A184,[1]Energiindhold!$A$2:$C$11,3,FALSE),IFERROR(VLOOKUP(A184,[1]Biogasudbytte!$A$2:$B$18,2,FALSE)*[1]Energiindhold!$C$10,0))*O184</f>
        <v>#REF!</v>
      </c>
      <c r="R184" s="192" t="e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#REF!</v>
      </c>
      <c r="S184" s="192">
        <f>IFERROR(VLOOKUP(A184,[1]Biogasudbytte!$A$2:$B$18,2,FALSE)*[1]Energiindhold!$C$10,0)*J184*IFERROR(VLOOKUP(A184,Biogasanlæg!$F$3:$G$8,2,FALSE),1)</f>
        <v>0</v>
      </c>
      <c r="T184" s="193" t="e">
        <f t="shared" si="50"/>
        <v>#REF!</v>
      </c>
      <c r="U184" s="191" t="e">
        <f>O184*IFERROR(VLOOKUP(A184,[1]Tørstofindhold!A$2:B$24,2,FALSE),0)</f>
        <v>#REF!</v>
      </c>
      <c r="V184" s="192" t="e">
        <f>IF(D184=År1,P184,SUM(O184,P184))*IFERROR(VLOOKUP(A184,[1]Tørstofindhold!A$2:B$24,2,FALSE),0)</f>
        <v>#REF!</v>
      </c>
      <c r="W184" s="192">
        <f>J184*IFERROR(VLOOKUP(A184,[1]Tørstofindhold!A$2:B$24,2,FALSE),0)</f>
        <v>0</v>
      </c>
      <c r="X184" s="193" t="e">
        <f t="shared" si="51"/>
        <v>#REF!</v>
      </c>
      <c r="Y184" s="171" t="e">
        <f t="shared" si="43"/>
        <v>#REF!</v>
      </c>
      <c r="Z184" s="103" t="e">
        <f t="shared" si="44"/>
        <v>#REF!</v>
      </c>
    </row>
    <row r="185" spans="1:26" x14ac:dyDescent="0.25">
      <c r="A185" s="192" t="s">
        <v>52</v>
      </c>
      <c r="B185" s="194" t="s">
        <v>226</v>
      </c>
      <c r="C185" s="194">
        <f>IF(COUNTIFS('Resultater - Danmark'!$D$3:$D$482,'Resultat-Produktion &amp; forbrug'!A185,'Resultater - Danmark'!$A$3:$A$482,"Til energi")+COUNTIFS('Resultater - Danmark'!$D$3:$D$482,'Resultat-Produktion &amp; forbrug'!A185,'Resultater - Danmark'!$A$3:$A$482,"Biogasanlæg")&gt;0,1,0)</f>
        <v>1</v>
      </c>
      <c r="D185" s="194">
        <f t="shared" si="47"/>
        <v>2019</v>
      </c>
      <c r="E185" s="192" t="s">
        <v>24</v>
      </c>
      <c r="F185" s="195">
        <f>IF(E185="Vestdanmark",SUMIFS(IF(D185=År1,'Resultater - Vestdanmark'!H$3:H$482,IF(D185=År2,'Resultater - Vestdanmark'!I$3:I$482,'Resultater - Vestdanmark'!J$3:J$482)),'Resultater - Vestdanmark'!$F$3:$F$482,$A185,IF(D185=År1,'Resultater - Vestdanmark'!H$3:H$482,IF(D185=År2,'Resultater - Vestdanmark'!I$3:I$482,'Resultater - Vestdanmark'!J$3:J$482)),"&gt;0"),SUMIFS(IF(D185=År1,'Resultater - Østdanmark'!H$3:H$482,IF(D185=År2,'Resultater - Østdanmark'!I$3:I$482,'Resultater - Østdanmark'!J$3:J$482)),'Resultater - Østdanmark'!$F$3:$F$482,$A185,IF(D185=År1,'Resultater - Østdanmark'!H$3:H$482,IF(D185=År2,'Resultater - Østdanmark'!I$3:I$482,'Resultater - Østdanmark'!J$3:J$482)),"&gt;0"))</f>
        <v>0</v>
      </c>
      <c r="G185" s="195" t="e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#REF!</v>
      </c>
      <c r="H185" s="192">
        <f>IF(E185="Vestdanmark",-IF(A185="Halm",SUMIFS(IF(D185=År1,'Resultater - Vestdanmark'!H$3:H$482,IF(D185=År2,'Resultater - Vestdanmark'!I$3:I$482,'Resultater - Vestdanmark'!J$3:J$482)),'Resultater - Vestdanmark'!$F$3:$F$482,$A185,'Resultater - Vestdanmark'!H$3:H$482,"&lt;0"),0),-IF(A185="Halm",SUMIFS(IF(D185=År1,'Resultater - Østdanmark'!H$3:H$482,IF(D185=År2,'Resultater - Østdanmark'!I$3:I$482,'Resultater - Østdanmark'!J$3:J$482)),'Resultater - Østdanmark'!$F$3:$F$482,$A185,'Resultater - Østdanmark'!H$3:H$482,"&lt;0"),0))</f>
        <v>0</v>
      </c>
      <c r="I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5" t="e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#REF!</v>
      </c>
      <c r="K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5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7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204" t="e">
        <f t="shared" si="48"/>
        <v>#REF!</v>
      </c>
      <c r="O185" s="195" t="e">
        <f t="shared" si="39"/>
        <v>#REF!</v>
      </c>
      <c r="P185" s="205" t="e">
        <f t="shared" si="49"/>
        <v>#REF!</v>
      </c>
      <c r="Q185" s="192" t="e">
        <f>IFERROR(VLOOKUP(A185,[1]Energiindhold!$A$2:$C$11,3,FALSE),IFERROR(VLOOKUP(A185,[1]Biogasudbytte!$A$2:$B$18,2,FALSE)*[1]Energiindhold!$C$10,0))*O185</f>
        <v>#REF!</v>
      </c>
      <c r="R185" s="192" t="e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#REF!</v>
      </c>
      <c r="S185" s="192" t="e">
        <f>IFERROR(VLOOKUP(A185,[1]Biogasudbytte!$A$2:$B$18,2,FALSE)*[1]Energiindhold!$C$10,0)*J185*IFERROR(VLOOKUP(A185,Biogasanlæg!$F$3:$G$8,2,FALSE),1)</f>
        <v>#REF!</v>
      </c>
      <c r="T185" s="193" t="e">
        <f t="shared" si="50"/>
        <v>#REF!</v>
      </c>
      <c r="U185" s="191" t="e">
        <f>O185*IFERROR(VLOOKUP(A185,[1]Tørstofindhold!A$2:B$24,2,FALSE),0)</f>
        <v>#REF!</v>
      </c>
      <c r="V185" s="192" t="e">
        <f>IF(D185=År1,P185,SUM(O185,P185))*IFERROR(VLOOKUP(A185,[1]Tørstofindhold!A$2:B$24,2,FALSE),0)</f>
        <v>#REF!</v>
      </c>
      <c r="W185" s="192" t="e">
        <f>J185*IFERROR(VLOOKUP(A185,[1]Tørstofindhold!A$2:B$24,2,FALSE),0)</f>
        <v>#REF!</v>
      </c>
      <c r="X185" s="193" t="e">
        <f t="shared" si="51"/>
        <v>#REF!</v>
      </c>
      <c r="Y185" s="171" t="e">
        <f t="shared" si="43"/>
        <v>#REF!</v>
      </c>
      <c r="Z185" s="103" t="e">
        <f t="shared" si="44"/>
        <v>#REF!</v>
      </c>
    </row>
    <row r="186" spans="1:26" x14ac:dyDescent="0.25">
      <c r="A186" s="192" t="s">
        <v>122</v>
      </c>
      <c r="B186" s="194"/>
      <c r="C186" s="194">
        <f>IF(COUNTIFS('Resultater - Danmark'!$D$3:$D$482,'Resultat-Produktion &amp; forbrug'!A186,'Resultater - Danmark'!$A$3:$A$482,"Til energi")+COUNTIFS('Resultater - Danmark'!$D$3:$D$482,'Resultat-Produktion &amp; forbrug'!A186,'Resultater - Danmark'!$A$3:$A$482,"Biogasanlæg")&gt;0,1,0)</f>
        <v>0</v>
      </c>
      <c r="D186" s="194">
        <f t="shared" si="47"/>
        <v>2019</v>
      </c>
      <c r="E186" s="192" t="s">
        <v>24</v>
      </c>
      <c r="F186" s="195">
        <f>IF(E186="Vestdanmark",SUMIFS(IF(D186=År1,'Resultater - Vestdanmark'!H$3:H$482,IF(D186=År2,'Resultater - Vestdanmark'!I$3:I$482,'Resultater - Vestdanmark'!J$3:J$482)),'Resultater - Vestdanmark'!$F$3:$F$482,$A186,IF(D186=År1,'Resultater - Vestdanmark'!H$3:H$482,IF(D186=År2,'Resultater - Vestdanmark'!I$3:I$482,'Resultater - Vestdanmark'!J$3:J$482)),"&gt;0"),SUMIFS(IF(D186=År1,'Resultater - Østdanmark'!H$3:H$482,IF(D186=År2,'Resultater - Østdanmark'!I$3:I$482,'Resultater - Østdanmark'!J$3:J$482)),'Resultater - Østdanmark'!$F$3:$F$482,$A186,IF(D186=År1,'Resultater - Østdanmark'!H$3:H$482,IF(D186=År2,'Resultater - Østdanmark'!I$3:I$482,'Resultater - Østdanmark'!J$3:J$482)),"&gt;0"))</f>
        <v>0</v>
      </c>
      <c r="G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92">
        <f>IF(E186="Vestdanmark",-IF(A186="Halm",SUMIFS(IF(D186=År1,'Resultater - Vestdanmark'!H$3:H$482,IF(D186=År2,'Resultater - Vestdanmark'!I$3:I$482,'Resultater - Vestdanmark'!J$3:J$482)),'Resultater - Vestdanmark'!$F$3:$F$482,$A186,'Resultater - Vestdanmark'!H$3:H$482,"&lt;0"),0),-IF(A186="Halm",SUMIFS(IF(D186=År1,'Resultater - Østdanmark'!H$3:H$482,IF(D186=År2,'Resultater - Østdanmark'!I$3:I$482,'Resultater - Østdanmark'!J$3:J$482)),'Resultater - Østdanmark'!$F$3:$F$482,$A186,'Resultater - Østdanmark'!H$3:H$482,"&lt;0"),0))</f>
        <v>0</v>
      </c>
      <c r="I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5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7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204">
        <f t="shared" si="48"/>
        <v>0</v>
      </c>
      <c r="O186" s="195">
        <f t="shared" si="39"/>
        <v>0</v>
      </c>
      <c r="P186" s="205">
        <f t="shared" si="49"/>
        <v>0</v>
      </c>
      <c r="Q186" s="192">
        <f>IFERROR(VLOOKUP(A186,[1]Energiindhold!$A$2:$C$11,3,FALSE),IFERROR(VLOOKUP(A186,[1]Biogasudbytte!$A$2:$B$18,2,FALSE)*[1]Energiindhold!$C$10,0))*O186</f>
        <v>0</v>
      </c>
      <c r="R186" s="192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92">
        <f>IFERROR(VLOOKUP(A186,[1]Biogasudbytte!$A$2:$B$18,2,FALSE)*[1]Energiindhold!$C$10,0)*J186*IFERROR(VLOOKUP(A186,Biogasanlæg!$F$3:$G$8,2,FALSE),1)</f>
        <v>0</v>
      </c>
      <c r="T186" s="193">
        <f t="shared" si="50"/>
        <v>0</v>
      </c>
      <c r="U186" s="191">
        <f>O186*IFERROR(VLOOKUP(A186,[1]Tørstofindhold!A$2:B$24,2,FALSE),0)</f>
        <v>0</v>
      </c>
      <c r="V186" s="192">
        <f>IF(D186=År1,P186,SUM(O186,P186))*IFERROR(VLOOKUP(A186,[1]Tørstofindhold!A$2:B$24,2,FALSE),0)</f>
        <v>0</v>
      </c>
      <c r="W186" s="192">
        <f>J186*IFERROR(VLOOKUP(A186,[1]Tørstofindhold!A$2:B$24,2,FALSE),0)</f>
        <v>0</v>
      </c>
      <c r="X186" s="193">
        <f t="shared" si="51"/>
        <v>0</v>
      </c>
      <c r="Y186" s="171">
        <f t="shared" si="43"/>
        <v>0</v>
      </c>
      <c r="Z186" s="103">
        <f t="shared" si="44"/>
        <v>0</v>
      </c>
    </row>
    <row r="187" spans="1:26" x14ac:dyDescent="0.25">
      <c r="A187" s="192" t="s">
        <v>108</v>
      </c>
      <c r="B187" s="194"/>
      <c r="C187" s="194">
        <f>IF(COUNTIFS('Resultater - Danmark'!$D$3:$D$482,'Resultat-Produktion &amp; forbrug'!A187,'Resultater - Danmark'!$A$3:$A$482,"Til energi")+COUNTIFS('Resultater - Danmark'!$D$3:$D$482,'Resultat-Produktion &amp; forbrug'!A187,'Resultater - Danmark'!$A$3:$A$482,"Biogasanlæg")&gt;0,1,0)</f>
        <v>0</v>
      </c>
      <c r="D187" s="194">
        <f t="shared" si="47"/>
        <v>2019</v>
      </c>
      <c r="E187" s="192" t="s">
        <v>24</v>
      </c>
      <c r="F187" s="195">
        <f>IF(E187="Vestdanmark",SUMIFS(IF(D187=År1,'Resultater - Vestdanmark'!H$3:H$482,IF(D187=År2,'Resultater - Vestdanmark'!I$3:I$482,'Resultater - Vestdanmark'!J$3:J$482)),'Resultater - Vestdanmark'!$F$3:$F$482,$A187,IF(D187=År1,'Resultater - Vestdanmark'!H$3:H$482,IF(D187=År2,'Resultater - Vestdanmark'!I$3:I$482,'Resultater - Vestdanmark'!J$3:J$482)),"&gt;0"),SUMIFS(IF(D187=År1,'Resultater - Østdanmark'!H$3:H$482,IF(D187=År2,'Resultater - Østdanmark'!I$3:I$482,'Resultater - Østdanmark'!J$3:J$482)),'Resultater - Østdanmark'!$F$3:$F$482,$A187,IF(D187=År1,'Resultater - Østdanmark'!H$3:H$482,IF(D187=År2,'Resultater - Østdanmark'!I$3:I$482,'Resultater - Østdanmark'!J$3:J$482)),"&gt;0"))</f>
        <v>0</v>
      </c>
      <c r="G187" s="195" t="e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#REF!</v>
      </c>
      <c r="H187" s="192">
        <f>IF(E187="Vestdanmark",-IF(A187="Halm",SUMIFS(IF(D187=År1,'Resultater - Vestdanmark'!H$3:H$482,IF(D187=År2,'Resultater - Vestdanmark'!I$3:I$482,'Resultater - Vestdanmark'!J$3:J$482)),'Resultater - Vestdanmark'!$F$3:$F$482,$A187,'Resultater - Vestdanmark'!H$3:H$482,"&lt;0"),0),-IF(A187="Halm",SUMIFS(IF(D187=År1,'Resultater - Østdanmark'!H$3:H$482,IF(D187=År2,'Resultater - Østdanmark'!I$3:I$482,'Resultater - Østdanmark'!J$3:J$482)),'Resultater - Østdanmark'!$F$3:$F$482,$A187,'Resultater - Østdanmark'!H$3:H$482,"&lt;0"),0))</f>
        <v>0</v>
      </c>
      <c r="I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5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7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204" t="e">
        <f t="shared" si="48"/>
        <v>#REF!</v>
      </c>
      <c r="O187" s="195">
        <f t="shared" si="39"/>
        <v>0</v>
      </c>
      <c r="P187" s="205">
        <f t="shared" si="49"/>
        <v>0</v>
      </c>
      <c r="Q187" s="192">
        <f>IFERROR(VLOOKUP(A187,[1]Energiindhold!$A$2:$C$11,3,FALSE),IFERROR(VLOOKUP(A187,[1]Biogasudbytte!$A$2:$B$18,2,FALSE)*[1]Energiindhold!$C$10,0))*O187</f>
        <v>0</v>
      </c>
      <c r="R187" s="192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92">
        <f>IFERROR(VLOOKUP(A187,[1]Biogasudbytte!$A$2:$B$18,2,FALSE)*[1]Energiindhold!$C$10,0)*J187*IFERROR(VLOOKUP(A187,Biogasanlæg!$F$3:$G$8,2,FALSE),1)</f>
        <v>0</v>
      </c>
      <c r="T187" s="193">
        <f t="shared" si="50"/>
        <v>0</v>
      </c>
      <c r="U187" s="191">
        <f>O187*IFERROR(VLOOKUP(A187,[1]Tørstofindhold!A$2:B$24,2,FALSE),0)</f>
        <v>0</v>
      </c>
      <c r="V187" s="192">
        <f>IF(D187=År1,P187,SUM(O187,P187))*IFERROR(VLOOKUP(A187,[1]Tørstofindhold!A$2:B$24,2,FALSE),0)</f>
        <v>0</v>
      </c>
      <c r="W187" s="192">
        <f>J187*IFERROR(VLOOKUP(A187,[1]Tørstofindhold!A$2:B$24,2,FALSE),0)</f>
        <v>0</v>
      </c>
      <c r="X187" s="193">
        <f t="shared" si="51"/>
        <v>0</v>
      </c>
      <c r="Y187" s="171" t="e">
        <f t="shared" si="43"/>
        <v>#REF!</v>
      </c>
      <c r="Z187" s="103" t="e">
        <f t="shared" si="44"/>
        <v>#REF!</v>
      </c>
    </row>
    <row r="188" spans="1:26" x14ac:dyDescent="0.25">
      <c r="A188" s="194" t="s">
        <v>141</v>
      </c>
      <c r="B188" s="194" t="s">
        <v>232</v>
      </c>
      <c r="C188" s="194">
        <f>IF(COUNTIFS('Resultater - Danmark'!$D$3:$D$482,'Resultat-Produktion &amp; forbrug'!A188,'Resultater - Danmark'!$A$3:$A$482,"Til energi")+COUNTIFS('Resultater - Danmark'!$D$3:$D$482,'Resultat-Produktion &amp; forbrug'!A188,'Resultater - Danmark'!$A$3:$A$482,"Biogasanlæg")&gt;0,1,0)</f>
        <v>1</v>
      </c>
      <c r="D188" s="194">
        <f t="shared" si="47"/>
        <v>2019</v>
      </c>
      <c r="E188" s="192" t="s">
        <v>24</v>
      </c>
      <c r="F188" s="195">
        <f>IF(E188="Vestdanmark",SUMIFS(IF(D188=År1,'Resultater - Vestdanmark'!H$3:H$482,IF(D188=År2,'Resultater - Vestdanmark'!I$3:I$482,'Resultater - Vestdanmark'!J$3:J$482)),'Resultater - Vestdanmark'!$F$3:$F$482,$A188,IF(D188=År1,'Resultater - Vestdanmark'!H$3:H$482,IF(D188=År2,'Resultater - Vestdanmark'!I$3:I$482,'Resultater - Vestdanmark'!J$3:J$482)),"&gt;0"),SUMIFS(IF(D188=År1,'Resultater - Østdanmark'!H$3:H$482,IF(D188=År2,'Resultater - Østdanmark'!I$3:I$482,'Resultater - Østdanmark'!J$3:J$482)),'Resultater - Østdanmark'!$F$3:$F$482,$A188,IF(D188=År1,'Resultater - Østdanmark'!H$3:H$482,IF(D188=År2,'Resultater - Østdanmark'!I$3:I$482,'Resultater - Østdanmark'!J$3:J$482)),"&gt;0"))</f>
        <v>0</v>
      </c>
      <c r="G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92">
        <f>IF(E188="Vestdanmark",-IF(A188="Halm",SUMIFS(IF(D188=År1,'Resultater - Vestdanmark'!H$3:H$482,IF(D188=År2,'Resultater - Vestdanmark'!I$3:I$482,'Resultater - Vestdanmark'!J$3:J$482)),'Resultater - Vestdanmark'!$F$3:$F$482,$A188,'Resultater - Vestdanmark'!H$3:H$482,"&lt;0"),0),-IF(A188="Halm",SUMIFS(IF(D188=År1,'Resultater - Østdanmark'!H$3:H$482,IF(D188=År2,'Resultater - Østdanmark'!I$3:I$482,'Resultater - Østdanmark'!J$3:J$482)),'Resultater - Østdanmark'!$F$3:$F$482,$A188,'Resultater - Østdanmark'!H$3:H$482,"&lt;0"),0))</f>
        <v>0</v>
      </c>
      <c r="I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5" t="e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#REF!</v>
      </c>
      <c r="K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5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7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204" t="e">
        <f t="shared" si="48"/>
        <v>#REF!</v>
      </c>
      <c r="O188" s="195" t="e">
        <f t="shared" si="39"/>
        <v>#REF!</v>
      </c>
      <c r="P188" s="205" t="e">
        <f t="shared" si="49"/>
        <v>#REF!</v>
      </c>
      <c r="Q188" s="192" t="e">
        <f>IFERROR(VLOOKUP(A188,[1]Energiindhold!$A$2:$C$11,3,FALSE),IFERROR(VLOOKUP(A188,[1]Biogasudbytte!$A$2:$B$18,2,FALSE)*[1]Energiindhold!$C$10,0))*O188</f>
        <v>#REF!</v>
      </c>
      <c r="R188" s="192" t="e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#REF!</v>
      </c>
      <c r="S188" s="192" t="e">
        <f>IFERROR(VLOOKUP(A188,[1]Biogasudbytte!$A$2:$B$18,2,FALSE)*[1]Energiindhold!$C$10,0)*J188*IFERROR(VLOOKUP(A188,Biogasanlæg!$F$3:$G$8,2,FALSE),1)</f>
        <v>#REF!</v>
      </c>
      <c r="T188" s="193" t="e">
        <f t="shared" si="50"/>
        <v>#REF!</v>
      </c>
      <c r="U188" s="191" t="e">
        <f>O188*IFERROR(VLOOKUP(A188,[1]Tørstofindhold!A$2:B$24,2,FALSE),0)</f>
        <v>#REF!</v>
      </c>
      <c r="V188" s="192" t="e">
        <f>IF(D188=År1,P188,SUM(O188,P188))*IFERROR(VLOOKUP(A188,[1]Tørstofindhold!A$2:B$24,2,FALSE),0)</f>
        <v>#REF!</v>
      </c>
      <c r="W188" s="192" t="e">
        <f>J188*IFERROR(VLOOKUP(A188,[1]Tørstofindhold!A$2:B$24,2,FALSE),0)</f>
        <v>#REF!</v>
      </c>
      <c r="X188" s="193" t="e">
        <f t="shared" si="51"/>
        <v>#REF!</v>
      </c>
      <c r="Y188" s="171" t="e">
        <f t="shared" si="43"/>
        <v>#REF!</v>
      </c>
      <c r="Z188" s="103" t="e">
        <f t="shared" si="44"/>
        <v>#REF!</v>
      </c>
    </row>
    <row r="189" spans="1:26" x14ac:dyDescent="0.25">
      <c r="A189" s="194" t="s">
        <v>136</v>
      </c>
      <c r="B189" s="194" t="s">
        <v>224</v>
      </c>
      <c r="C189" s="194">
        <f>IF(COUNTIFS('Resultater - Danmark'!$D$3:$D$482,'Resultat-Produktion &amp; forbrug'!A189,'Resultater - Danmark'!$A$3:$A$482,"Til energi")+COUNTIFS('Resultater - Danmark'!$D$3:$D$482,'Resultat-Produktion &amp; forbrug'!A189,'Resultater - Danmark'!$A$3:$A$482,"Biogasanlæg")&gt;0,1,0)</f>
        <v>1</v>
      </c>
      <c r="D189" s="194">
        <f t="shared" si="47"/>
        <v>2019</v>
      </c>
      <c r="E189" s="192" t="s">
        <v>24</v>
      </c>
      <c r="F189" s="195">
        <f>IF(E189="Vestdanmark",SUMIFS(IF(D189=År1,'Resultater - Vestdanmark'!H$3:H$482,IF(D189=År2,'Resultater - Vestdanmark'!I$3:I$482,'Resultater - Vestdanmark'!J$3:J$482)),'Resultater - Vestdanmark'!$F$3:$F$482,$A189,IF(D189=År1,'Resultater - Vestdanmark'!H$3:H$482,IF(D189=År2,'Resultater - Vestdanmark'!I$3:I$482,'Resultater - Vestdanmark'!J$3:J$482)),"&gt;0"),SUMIFS(IF(D189=År1,'Resultater - Østdanmark'!H$3:H$482,IF(D189=År2,'Resultater - Østdanmark'!I$3:I$482,'Resultater - Østdanmark'!J$3:J$482)),'Resultater - Østdanmark'!$F$3:$F$482,$A189,IF(D189=År1,'Resultater - Østdanmark'!H$3:H$482,IF(D189=År2,'Resultater - Østdanmark'!I$3:I$482,'Resultater - Østdanmark'!J$3:J$482)),"&gt;0"))</f>
        <v>0</v>
      </c>
      <c r="G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92">
        <f>IF(E189="Vestdanmark",-IF(A189="Halm",SUMIFS(IF(D189=År1,'Resultater - Vestdanmark'!H$3:H$482,IF(D189=År2,'Resultater - Vestdanmark'!I$3:I$482,'Resultater - Vestdanmark'!J$3:J$482)),'Resultater - Vestdanmark'!$F$3:$F$482,$A189,'Resultater - Vestdanmark'!H$3:H$482,"&lt;0"),0),-IF(A189="Halm",SUMIFS(IF(D189=År1,'Resultater - Østdanmark'!H$3:H$482,IF(D189=År2,'Resultater - Østdanmark'!I$3:I$482,'Resultater - Østdanmark'!J$3:J$482)),'Resultater - Østdanmark'!$F$3:$F$482,$A189,'Resultater - Østdanmark'!H$3:H$482,"&lt;0"),0))</f>
        <v>0</v>
      </c>
      <c r="I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5" t="e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#REF!</v>
      </c>
      <c r="K189" s="195" t="e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#REF!</v>
      </c>
      <c r="L189" s="195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7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204" t="e">
        <f t="shared" si="48"/>
        <v>#REF!</v>
      </c>
      <c r="O189" s="195" t="e">
        <f t="shared" si="39"/>
        <v>#REF!</v>
      </c>
      <c r="P189" s="205" t="e">
        <f t="shared" si="49"/>
        <v>#REF!</v>
      </c>
      <c r="Q189" s="192" t="e">
        <f>IFERROR(VLOOKUP(A189,[1]Energiindhold!$A$2:$C$11,3,FALSE),IFERROR(VLOOKUP(A189,[1]Biogasudbytte!$A$2:$B$18,2,FALSE)*[1]Energiindhold!$C$10,0))*O189</f>
        <v>#REF!</v>
      </c>
      <c r="R189" s="192" t="e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#REF!</v>
      </c>
      <c r="S189" s="192" t="e">
        <f>IFERROR(VLOOKUP(A189,[1]Biogasudbytte!$A$2:$B$18,2,FALSE)*[1]Energiindhold!$C$10,0)*J189*IFERROR(VLOOKUP(A189,Biogasanlæg!$F$3:$G$8,2,FALSE),1)</f>
        <v>#REF!</v>
      </c>
      <c r="T189" s="193" t="e">
        <f t="shared" si="50"/>
        <v>#REF!</v>
      </c>
      <c r="U189" s="191" t="e">
        <f>O189*IFERROR(VLOOKUP(A189,[1]Tørstofindhold!A$2:B$24,2,FALSE),0)</f>
        <v>#REF!</v>
      </c>
      <c r="V189" s="192" t="e">
        <f>IF(D189=År1,P189,SUM(O189,P189))*IFERROR(VLOOKUP(A189,[1]Tørstofindhold!A$2:B$24,2,FALSE),0)</f>
        <v>#REF!</v>
      </c>
      <c r="W189" s="192" t="e">
        <f>J189*IFERROR(VLOOKUP(A189,[1]Tørstofindhold!A$2:B$24,2,FALSE),0)</f>
        <v>#REF!</v>
      </c>
      <c r="X189" s="193" t="e">
        <f t="shared" si="51"/>
        <v>#REF!</v>
      </c>
      <c r="Y189" s="171" t="e">
        <f t="shared" si="43"/>
        <v>#REF!</v>
      </c>
      <c r="Z189" s="103" t="e">
        <f t="shared" si="44"/>
        <v>#REF!</v>
      </c>
    </row>
    <row r="190" spans="1:26" x14ac:dyDescent="0.25">
      <c r="A190" s="194" t="s">
        <v>13</v>
      </c>
      <c r="B190" s="194"/>
      <c r="C190" s="194">
        <f>IF(COUNTIFS('Resultater - Danmark'!$D$3:$D$482,'Resultat-Produktion &amp; forbrug'!A190,'Resultater - Danmark'!$A$3:$A$482,"Til energi")+COUNTIFS('Resultater - Danmark'!$D$3:$D$482,'Resultat-Produktion &amp; forbrug'!A190,'Resultater - Danmark'!$A$3:$A$482,"Biogasanlæg")&gt;0,1,0)</f>
        <v>0</v>
      </c>
      <c r="D190" s="194">
        <f t="shared" si="47"/>
        <v>2019</v>
      </c>
      <c r="E190" s="192" t="s">
        <v>24</v>
      </c>
      <c r="F190" s="195">
        <f>IF(E190="Vestdanmark",SUMIFS(IF(D190=År1,'Resultater - Vestdanmark'!H$3:H$482,IF(D190=År2,'Resultater - Vestdanmark'!I$3:I$482,'Resultater - Vestdanmark'!J$3:J$482)),'Resultater - Vestdanmark'!$F$3:$F$482,$A190,IF(D190=År1,'Resultater - Vestdanmark'!H$3:H$482,IF(D190=År2,'Resultater - Vestdanmark'!I$3:I$482,'Resultater - Vestdanmark'!J$3:J$482)),"&gt;0"),SUMIFS(IF(D190=År1,'Resultater - Østdanmark'!H$3:H$482,IF(D190=År2,'Resultater - Østdanmark'!I$3:I$482,'Resultater - Østdanmark'!J$3:J$482)),'Resultater - Østdanmark'!$F$3:$F$482,$A190,IF(D190=År1,'Resultater - Østdanmark'!H$3:H$482,IF(D190=År2,'Resultater - Østdanmark'!I$3:I$482,'Resultater - Østdanmark'!J$3:J$482)),"&gt;0"))</f>
        <v>0</v>
      </c>
      <c r="G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92">
        <f>IF(E190="Vestdanmark",-IF(A190="Halm",SUMIFS(IF(D190=År1,'Resultater - Vestdanmark'!H$3:H$482,IF(D190=År2,'Resultater - Vestdanmark'!I$3:I$482,'Resultater - Vestdanmark'!J$3:J$482)),'Resultater - Vestdanmark'!$F$3:$F$482,$A190,'Resultater - Vestdanmark'!H$3:H$482,"&lt;0"),0),-IF(A190="Halm",SUMIFS(IF(D190=År1,'Resultater - Østdanmark'!H$3:H$482,IF(D190=År2,'Resultater - Østdanmark'!I$3:I$482,'Resultater - Østdanmark'!J$3:J$482)),'Resultater - Østdanmark'!$F$3:$F$482,$A190,'Resultater - Østdanmark'!H$3:H$482,"&lt;0"),0))</f>
        <v>0</v>
      </c>
      <c r="I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5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7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204">
        <f t="shared" si="48"/>
        <v>-100555.62853170674</v>
      </c>
      <c r="O190" s="195">
        <f t="shared" si="39"/>
        <v>0</v>
      </c>
      <c r="P190" s="205">
        <f t="shared" si="49"/>
        <v>0</v>
      </c>
      <c r="Q190" s="192">
        <f>IFERROR(VLOOKUP(A190,[1]Energiindhold!$A$2:$C$11,3,FALSE),IFERROR(VLOOKUP(A190,[1]Biogasudbytte!$A$2:$B$18,2,FALSE)*[1]Energiindhold!$C$10,0))*O190</f>
        <v>0</v>
      </c>
      <c r="R190" s="192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92">
        <f>IFERROR(VLOOKUP(A190,[1]Biogasudbytte!$A$2:$B$18,2,FALSE)*[1]Energiindhold!$C$10,0)*J190*IFERROR(VLOOKUP(A190,Biogasanlæg!$F$3:$G$8,2,FALSE),1)</f>
        <v>0</v>
      </c>
      <c r="T190" s="193">
        <f t="shared" si="50"/>
        <v>0</v>
      </c>
      <c r="U190" s="191">
        <f>O190*IFERROR(VLOOKUP(A190,[1]Tørstofindhold!A$2:B$24,2,FALSE),0)</f>
        <v>0</v>
      </c>
      <c r="V190" s="192">
        <f>IF(D190=År1,P190,SUM(O190,P190))*IFERROR(VLOOKUP(A190,[1]Tørstofindhold!A$2:B$24,2,FALSE),0)</f>
        <v>0</v>
      </c>
      <c r="W190" s="192">
        <f>J190*IFERROR(VLOOKUP(A190,[1]Tørstofindhold!A$2:B$24,2,FALSE),0)</f>
        <v>0</v>
      </c>
      <c r="X190" s="193">
        <f t="shared" si="51"/>
        <v>0</v>
      </c>
      <c r="Y190" s="171">
        <f t="shared" si="43"/>
        <v>1</v>
      </c>
      <c r="Z190" s="103">
        <f t="shared" si="44"/>
        <v>0</v>
      </c>
    </row>
    <row r="191" spans="1:26" x14ac:dyDescent="0.25">
      <c r="A191" s="194" t="s">
        <v>100</v>
      </c>
      <c r="B191" s="194" t="s">
        <v>228</v>
      </c>
      <c r="C191" s="194">
        <f>IF(COUNTIFS('Resultater - Danmark'!$D$3:$D$482,'Resultat-Produktion &amp; forbrug'!A191,'Resultater - Danmark'!$A$3:$A$482,"Til energi")+COUNTIFS('Resultater - Danmark'!$D$3:$D$482,'Resultat-Produktion &amp; forbrug'!A191,'Resultater - Danmark'!$A$3:$A$482,"Biogasanlæg")&gt;0,1,0)</f>
        <v>1</v>
      </c>
      <c r="D191" s="194">
        <f t="shared" si="47"/>
        <v>2019</v>
      </c>
      <c r="E191" s="192" t="s">
        <v>24</v>
      </c>
      <c r="F191" s="195">
        <f>IF(E191="Vestdanmark",SUMIFS(IF(D191=År1,'Resultater - Vestdanmark'!H$3:H$482,IF(D191=År2,'Resultater - Vestdanmark'!I$3:I$482,'Resultater - Vestdanmark'!J$3:J$482)),'Resultater - Vestdanmark'!$F$3:$F$482,$A191,IF(D191=År1,'Resultater - Vestdanmark'!H$3:H$482,IF(D191=År2,'Resultater - Vestdanmark'!I$3:I$482,'Resultater - Vestdanmark'!J$3:J$482)),"&gt;0"),SUMIFS(IF(D191=År1,'Resultater - Østdanmark'!H$3:H$482,IF(D191=År2,'Resultater - Østdanmark'!I$3:I$482,'Resultater - Østdanmark'!J$3:J$482)),'Resultater - Østdanmark'!$F$3:$F$482,$A191,IF(D191=År1,'Resultater - Østdanmark'!H$3:H$482,IF(D191=År2,'Resultater - Østdanmark'!I$3:I$482,'Resultater - Østdanmark'!J$3:J$482)),"&gt;0"))</f>
        <v>0</v>
      </c>
      <c r="G191" s="195" t="e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#REF!</v>
      </c>
      <c r="H191" s="192">
        <f>IF(E191="Vestdanmark",-IF(A191="Halm",SUMIFS(IF(D191=År1,'Resultater - Vestdanmark'!H$3:H$482,IF(D191=År2,'Resultater - Vestdanmark'!I$3:I$482,'Resultater - Vestdanmark'!J$3:J$482)),'Resultater - Vestdanmark'!$F$3:$F$482,$A191,'Resultater - Vestdanmark'!H$3:H$482,"&lt;0"),0),-IF(A191="Halm",SUMIFS(IF(D191=År1,'Resultater - Østdanmark'!H$3:H$482,IF(D191=År2,'Resultater - Østdanmark'!I$3:I$482,'Resultater - Østdanmark'!J$3:J$482)),'Resultater - Østdanmark'!$F$3:$F$482,$A191,'Resultater - Østdanmark'!H$3:H$482,"&lt;0"),0))</f>
        <v>0</v>
      </c>
      <c r="I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5" t="e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#REF!</v>
      </c>
      <c r="K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5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7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204" t="e">
        <f t="shared" si="48"/>
        <v>#REF!</v>
      </c>
      <c r="O191" s="195" t="e">
        <f t="shared" si="39"/>
        <v>#REF!</v>
      </c>
      <c r="P191" s="205" t="e">
        <f t="shared" si="49"/>
        <v>#REF!</v>
      </c>
      <c r="Q191" s="192" t="e">
        <f>IFERROR(VLOOKUP(A191,[1]Energiindhold!$A$2:$C$11,3,FALSE),IFERROR(VLOOKUP(A191,[1]Biogasudbytte!$A$2:$B$18,2,FALSE)*[1]Energiindhold!$C$10,0))*O191</f>
        <v>#REF!</v>
      </c>
      <c r="R191" s="192" t="e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#REF!</v>
      </c>
      <c r="S191" s="192" t="e">
        <f>IFERROR(VLOOKUP(A191,[1]Biogasudbytte!$A$2:$B$18,2,FALSE)*[1]Energiindhold!$C$10,0)*J191*IFERROR(VLOOKUP(A191,Biogasanlæg!$F$3:$G$8,2,FALSE),1)</f>
        <v>#REF!</v>
      </c>
      <c r="T191" s="193" t="e">
        <f t="shared" si="50"/>
        <v>#REF!</v>
      </c>
      <c r="U191" s="191" t="e">
        <f>O191*IFERROR(VLOOKUP(A191,[1]Tørstofindhold!A$2:B$24,2,FALSE),0)</f>
        <v>#REF!</v>
      </c>
      <c r="V191" s="192" t="e">
        <f>IF(D191=År1,P191,SUM(O191,P191))*IFERROR(VLOOKUP(A191,[1]Tørstofindhold!A$2:B$24,2,FALSE),0)</f>
        <v>#REF!</v>
      </c>
      <c r="W191" s="192" t="e">
        <f>J191*IFERROR(VLOOKUP(A191,[1]Tørstofindhold!A$2:B$24,2,FALSE),0)</f>
        <v>#REF!</v>
      </c>
      <c r="X191" s="193" t="e">
        <f t="shared" si="51"/>
        <v>#REF!</v>
      </c>
      <c r="Y191" s="171" t="e">
        <f t="shared" si="43"/>
        <v>#REF!</v>
      </c>
      <c r="Z191" s="103" t="e">
        <f t="shared" si="44"/>
        <v>#REF!</v>
      </c>
    </row>
    <row r="192" spans="1:26" x14ac:dyDescent="0.25">
      <c r="A192" s="194" t="s">
        <v>105</v>
      </c>
      <c r="B192" s="194"/>
      <c r="C192" s="194">
        <f>IF(COUNTIFS('Resultater - Danmark'!$D$3:$D$482,'Resultat-Produktion &amp; forbrug'!A192,'Resultater - Danmark'!$A$3:$A$482,"Til energi")+COUNTIFS('Resultater - Danmark'!$D$3:$D$482,'Resultat-Produktion &amp; forbrug'!A192,'Resultater - Danmark'!$A$3:$A$482,"Biogasanlæg")&gt;0,1,0)</f>
        <v>1</v>
      </c>
      <c r="D192" s="194">
        <f t="shared" si="47"/>
        <v>2019</v>
      </c>
      <c r="E192" s="192" t="s">
        <v>24</v>
      </c>
      <c r="F192" s="195">
        <f>IF(E192="Vestdanmark",SUMIFS(IF(D192=År1,'Resultater - Vestdanmark'!H$3:H$482,IF(D192=År2,'Resultater - Vestdanmark'!I$3:I$482,'Resultater - Vestdanmark'!J$3:J$482)),'Resultater - Vestdanmark'!$F$3:$F$482,$A192,IF(D192=År1,'Resultater - Vestdanmark'!H$3:H$482,IF(D192=År2,'Resultater - Vestdanmark'!I$3:I$482,'Resultater - Vestdanmark'!J$3:J$482)),"&gt;0"),SUMIFS(IF(D192=År1,'Resultater - Østdanmark'!H$3:H$482,IF(D192=År2,'Resultater - Østdanmark'!I$3:I$482,'Resultater - Østdanmark'!J$3:J$482)),'Resultater - Østdanmark'!$F$3:$F$482,$A192,IF(D192=År1,'Resultater - Østdanmark'!H$3:H$482,IF(D192=År2,'Resultater - Østdanmark'!I$3:I$482,'Resultater - Østdanmark'!J$3:J$482)),"&gt;0"))</f>
        <v>0</v>
      </c>
      <c r="G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92">
        <f>IF(E192="Vestdanmark",-IF(A192="Halm",SUMIFS(IF(D192=År1,'Resultater - Vestdanmark'!H$3:H$482,IF(D192=År2,'Resultater - Vestdanmark'!I$3:I$482,'Resultater - Vestdanmark'!J$3:J$482)),'Resultater - Vestdanmark'!$F$3:$F$482,$A192,'Resultater - Vestdanmark'!H$3:H$482,"&lt;0"),0),-IF(A192="Halm",SUMIFS(IF(D192=År1,'Resultater - Østdanmark'!H$3:H$482,IF(D192=År2,'Resultater - Østdanmark'!I$3:I$482,'Resultater - Østdanmark'!J$3:J$482)),'Resultater - Østdanmark'!$F$3:$F$482,$A192,'Resultater - Østdanmark'!H$3:H$482,"&lt;0"),0))</f>
        <v>0</v>
      </c>
      <c r="I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5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7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204">
        <f t="shared" si="48"/>
        <v>0</v>
      </c>
      <c r="O192" s="195">
        <f t="shared" si="39"/>
        <v>0</v>
      </c>
      <c r="P192" s="205">
        <f t="shared" si="49"/>
        <v>0</v>
      </c>
      <c r="Q192" s="192">
        <f>IFERROR(VLOOKUP(A192,[1]Energiindhold!$A$2:$C$11,3,FALSE),IFERROR(VLOOKUP(A192,[1]Biogasudbytte!$A$2:$B$18,2,FALSE)*[1]Energiindhold!$C$10,0))*O192</f>
        <v>0</v>
      </c>
      <c r="R192" s="192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92">
        <f>IFERROR(VLOOKUP(A192,[1]Biogasudbytte!$A$2:$B$18,2,FALSE)*[1]Energiindhold!$C$10,0)*J192*IFERROR(VLOOKUP(A192,Biogasanlæg!$F$3:$G$8,2,FALSE),1)</f>
        <v>0</v>
      </c>
      <c r="T192" s="193">
        <f t="shared" si="50"/>
        <v>0</v>
      </c>
      <c r="U192" s="191">
        <f>O192*IFERROR(VLOOKUP(A192,[1]Tørstofindhold!A$2:B$24,2,FALSE),0)</f>
        <v>0</v>
      </c>
      <c r="V192" s="192">
        <f>IF(D192=År1,P192,SUM(O192,P192))*IFERROR(VLOOKUP(A192,[1]Tørstofindhold!A$2:B$24,2,FALSE),0)</f>
        <v>0</v>
      </c>
      <c r="W192" s="192">
        <f>J192*IFERROR(VLOOKUP(A192,[1]Tørstofindhold!A$2:B$24,2,FALSE),0)</f>
        <v>0</v>
      </c>
      <c r="X192" s="193">
        <f t="shared" si="51"/>
        <v>0</v>
      </c>
      <c r="Y192" s="171">
        <f t="shared" si="43"/>
        <v>0</v>
      </c>
      <c r="Z192" s="103">
        <f t="shared" si="44"/>
        <v>0</v>
      </c>
    </row>
    <row r="193" spans="1:26" x14ac:dyDescent="0.25">
      <c r="A193" s="194" t="s">
        <v>120</v>
      </c>
      <c r="B193" s="194" t="s">
        <v>227</v>
      </c>
      <c r="C193" s="194">
        <f>IF(COUNTIFS('Resultater - Danmark'!$D$3:$D$482,'Resultat-Produktion &amp; forbrug'!A193,'Resultater - Danmark'!$A$3:$A$482,"Til energi")+COUNTIFS('Resultater - Danmark'!$D$3:$D$482,'Resultat-Produktion &amp; forbrug'!A193,'Resultater - Danmark'!$A$3:$A$482,"Biogasanlæg")&gt;0,1,0)</f>
        <v>1</v>
      </c>
      <c r="D193" s="194">
        <f t="shared" si="47"/>
        <v>2019</v>
      </c>
      <c r="E193" s="192" t="s">
        <v>24</v>
      </c>
      <c r="F193" s="195">
        <f>IF(E193="Vestdanmark",SUMIFS(IF(D193=År1,'Resultater - Vestdanmark'!H$3:H$482,IF(D193=År2,'Resultater - Vestdanmark'!I$3:I$482,'Resultater - Vestdanmark'!J$3:J$482)),'Resultater - Vestdanmark'!$F$3:$F$482,$A193,IF(D193=År1,'Resultater - Vestdanmark'!H$3:H$482,IF(D193=År2,'Resultater - Vestdanmark'!I$3:I$482,'Resultater - Vestdanmark'!J$3:J$482)),"&gt;0"),SUMIFS(IF(D193=År1,'Resultater - Østdanmark'!H$3:H$482,IF(D193=År2,'Resultater - Østdanmark'!I$3:I$482,'Resultater - Østdanmark'!J$3:J$482)),'Resultater - Østdanmark'!$F$3:$F$482,$A193,IF(D193=År1,'Resultater - Østdanmark'!H$3:H$482,IF(D193=År2,'Resultater - Østdanmark'!I$3:I$482,'Resultater - Østdanmark'!J$3:J$482)),"&gt;0"))</f>
        <v>0</v>
      </c>
      <c r="G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92">
        <f>IF(E193="Vestdanmark",-IF(A193="Halm",SUMIFS(IF(D193=År1,'Resultater - Vestdanmark'!H$3:H$482,IF(D193=År2,'Resultater - Vestdanmark'!I$3:I$482,'Resultater - Vestdanmark'!J$3:J$482)),'Resultater - Vestdanmark'!$F$3:$F$482,$A193,'Resultater - Vestdanmark'!H$3:H$482,"&lt;0"),0),-IF(A193="Halm",SUMIFS(IF(D193=År1,'Resultater - Østdanmark'!H$3:H$482,IF(D193=År2,'Resultater - Østdanmark'!I$3:I$482,'Resultater - Østdanmark'!J$3:J$482)),'Resultater - Østdanmark'!$F$3:$F$482,$A193,'Resultater - Østdanmark'!H$3:H$482,"&lt;0"),0))</f>
        <v>0</v>
      </c>
      <c r="I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5" t="e">
        <f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#REF!</v>
      </c>
      <c r="M193" s="157" t="e">
        <f>SUMIFS('Forbrug af biomasse'!E:E,'Forbrug af biomasse'!C:C,'Resultat-Produktion &amp; forbrug'!$A193,'Forbrug af biomasse'!D:D,'Resultat-Produktion &amp; forbrug'!$D193,'Forbrug af biomasse'!G:G,1,'Forbrug af biomasse'!B:B,$E193)</f>
        <v>#REF!</v>
      </c>
      <c r="N193" s="204" t="e">
        <f t="shared" si="48"/>
        <v>#REF!</v>
      </c>
      <c r="O193" s="195" t="e">
        <f t="shared" si="39"/>
        <v>#REF!</v>
      </c>
      <c r="P193" s="205" t="e">
        <f t="shared" si="49"/>
        <v>#REF!</v>
      </c>
      <c r="Q193" s="192" t="e">
        <f>IFERROR(VLOOKUP(A193,[1]Energiindhold!$A$2:$C$11,3,FALSE),IFERROR(VLOOKUP(A193,[1]Biogasudbytte!$A$2:$B$18,2,FALSE)*[1]Energiindhold!$C$10,0))*O193</f>
        <v>#REF!</v>
      </c>
      <c r="R193" s="192" t="e">
        <f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#REF!</v>
      </c>
      <c r="S193" s="192">
        <f>IFERROR(VLOOKUP(A193,[1]Biogasudbytte!$A$2:$B$18,2,FALSE)*[1]Energiindhold!$C$10,0)*J193*IFERROR(VLOOKUP(A193,Biogasanlæg!$F$3:$G$8,2,FALSE),1)</f>
        <v>0</v>
      </c>
      <c r="T193" s="193" t="e">
        <f t="shared" si="50"/>
        <v>#REF!</v>
      </c>
      <c r="U193" s="191" t="e">
        <f>O193*IFERROR(VLOOKUP(A193,[1]Tørstofindhold!A$2:B$24,2,FALSE),0)</f>
        <v>#REF!</v>
      </c>
      <c r="V193" s="192" t="e">
        <f>IF(D193=År1,P193,SUM(O193,P193))*IFERROR(VLOOKUP(A193,[1]Tørstofindhold!A$2:B$24,2,FALSE),0)</f>
        <v>#REF!</v>
      </c>
      <c r="W193" s="192">
        <f>J193*IFERROR(VLOOKUP(A193,[1]Tørstofindhold!A$2:B$24,2,FALSE),0)</f>
        <v>0</v>
      </c>
      <c r="X193" s="193" t="e">
        <f t="shared" si="51"/>
        <v>#REF!</v>
      </c>
      <c r="Y193" s="171" t="e">
        <f t="shared" si="43"/>
        <v>#REF!</v>
      </c>
      <c r="Z193" s="103" t="e">
        <f t="shared" si="44"/>
        <v>#REF!</v>
      </c>
    </row>
    <row r="194" spans="1:26" x14ac:dyDescent="0.25">
      <c r="A194" s="194" t="s">
        <v>119</v>
      </c>
      <c r="B194" s="194"/>
      <c r="C194" s="194">
        <f>IF(COUNTIFS('Resultater - Danmark'!$D$3:$D$482,'Resultat-Produktion &amp; forbrug'!A194,'Resultater - Danmark'!$A$3:$A$482,"Til energi")+COUNTIFS('Resultater - Danmark'!$D$3:$D$482,'Resultat-Produktion &amp; forbrug'!A194,'Resultater - Danmark'!$A$3:$A$482,"Biogasanlæg")&gt;0,1,0)</f>
        <v>0</v>
      </c>
      <c r="D194" s="194">
        <f t="shared" si="47"/>
        <v>2019</v>
      </c>
      <c r="E194" s="192" t="s">
        <v>24</v>
      </c>
      <c r="F194" s="195">
        <f>IF(E194="Vestdanmark",SUMIFS(IF(D194=År1,'Resultater - Vestdanmark'!H$3:H$482,IF(D194=År2,'Resultater - Vestdanmark'!I$3:I$482,'Resultater - Vestdanmark'!J$3:J$482)),'Resultater - Vestdanmark'!$F$3:$F$482,$A194,IF(D194=År1,'Resultater - Vestdanmark'!H$3:H$482,IF(D194=År2,'Resultater - Vestdanmark'!I$3:I$482,'Resultater - Vestdanmark'!J$3:J$482)),"&gt;0"),SUMIFS(IF(D194=År1,'Resultater - Østdanmark'!H$3:H$482,IF(D194=År2,'Resultater - Østdanmark'!I$3:I$482,'Resultater - Østdanmark'!J$3:J$482)),'Resultater - Østdanmark'!$F$3:$F$482,$A194,IF(D194=År1,'Resultater - Østdanmark'!H$3:H$482,IF(D194=År2,'Resultater - Østdanmark'!I$3:I$482,'Resultater - Østdanmark'!J$3:J$482)),"&gt;0"))</f>
        <v>0</v>
      </c>
      <c r="G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92">
        <f>IF(E194="Vestdanmark",-IF(A194="Halm",SUMIFS(IF(D194=År1,'Resultater - Vestdanmark'!H$3:H$482,IF(D194=År2,'Resultater - Vestdanmark'!I$3:I$482,'Resultater - Vestdanmark'!J$3:J$482)),'Resultater - Vestdanmark'!$F$3:$F$482,$A194,'Resultater - Vestdanmark'!H$3:H$482,"&lt;0"),0),-IF(A194="Halm",SUMIFS(IF(D194=År1,'Resultater - Østdanmark'!H$3:H$482,IF(D194=År2,'Resultater - Østdanmark'!I$3:I$482,'Resultater - Østdanmark'!J$3:J$482)),'Resultater - Østdanmark'!$F$3:$F$482,$A194,'Resultater - Østdanmark'!H$3:H$482,"&lt;0"),0))</f>
        <v>0</v>
      </c>
      <c r="I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5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7">
        <f>SUMIFS('Forbrug af biomasse'!E:E,'Forbrug af biomasse'!C:C,'Resultat-Produktion &amp; forbrug'!$A194,'Forbrug af biomasse'!D:D,'Resultat-Produktion &amp; forbrug'!$D194,'Forbrug af biomasse'!G:G,1,'Forbrug af biomasse'!B:B,$E194)</f>
        <v>0</v>
      </c>
      <c r="N194" s="204">
        <f t="shared" si="48"/>
        <v>0</v>
      </c>
      <c r="O194" s="195">
        <f t="shared" si="39"/>
        <v>0</v>
      </c>
      <c r="P194" s="205">
        <f t="shared" si="49"/>
        <v>0</v>
      </c>
      <c r="Q194" s="192">
        <f>IFERROR(VLOOKUP(A194,[1]Energiindhold!$A$2:$C$11,3,FALSE),IFERROR(VLOOKUP(A194,[1]Biogasudbytte!$A$2:$B$18,2,FALSE)*[1]Energiindhold!$C$10,0))*O194</f>
        <v>0</v>
      </c>
      <c r="R194" s="192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92">
        <f>IFERROR(VLOOKUP(A194,[1]Biogasudbytte!$A$2:$B$18,2,FALSE)*[1]Energiindhold!$C$10,0)*J194*IFERROR(VLOOKUP(A194,Biogasanlæg!$F$3:$G$8,2,FALSE),1)</f>
        <v>0</v>
      </c>
      <c r="T194" s="193">
        <f t="shared" si="50"/>
        <v>0</v>
      </c>
      <c r="U194" s="191">
        <f>O194*IFERROR(VLOOKUP(A194,[1]Tørstofindhold!A$2:B$24,2,FALSE),0)</f>
        <v>0</v>
      </c>
      <c r="V194" s="192">
        <f>IF(D194=År1,P194,SUM(O194,P194))*IFERROR(VLOOKUP(A194,[1]Tørstofindhold!A$2:B$24,2,FALSE),0)</f>
        <v>0</v>
      </c>
      <c r="W194" s="192">
        <f>J194*IFERROR(VLOOKUP(A194,[1]Tørstofindhold!A$2:B$24,2,FALSE),0)</f>
        <v>0</v>
      </c>
      <c r="X194" s="193">
        <f t="shared" si="51"/>
        <v>0</v>
      </c>
      <c r="Y194" s="171">
        <f t="shared" si="43"/>
        <v>0</v>
      </c>
      <c r="Z194" s="103">
        <f t="shared" si="44"/>
        <v>0</v>
      </c>
    </row>
    <row r="195" spans="1:26" x14ac:dyDescent="0.25">
      <c r="A195" s="194" t="str">
        <f t="shared" ref="A195:A226" si="56">A147</f>
        <v>Æg</v>
      </c>
      <c r="B195" s="194" t="str">
        <f t="shared" ref="B195:B226" si="57">IF(B147&lt;&gt;"",B147,"")</f>
        <v/>
      </c>
      <c r="C195" s="194">
        <f>IF(COUNTIFS('Resultater - Danmark'!$D$3:$D$482,'Resultat-Produktion &amp; forbrug'!A195,'Resultater - Danmark'!$A$3:$A$482,"Til energi")+COUNTIFS('Resultater - Danmark'!$D$3:$D$482,'Resultat-Produktion &amp; forbrug'!A195,'Resultater - Danmark'!$A$3:$A$482,"Biogasanlæg")&gt;0,1,0)</f>
        <v>0</v>
      </c>
      <c r="D195" s="194">
        <f t="shared" ref="D195:D242" si="58">År2</f>
        <v>2030</v>
      </c>
      <c r="E195" s="192" t="s">
        <v>24</v>
      </c>
      <c r="F195" s="195">
        <f>IF(E195="Vestdanmark",SUMIFS(IF(D195=År1,'Resultater - Vestdanmark'!H$3:H$482,IF(D195=År2,'Resultater - Vestdanmark'!I$3:I$482,'Resultater - Vestdanmark'!J$3:J$482)),'Resultater - Vestdanmark'!$F$3:$F$482,$A195,IF(D195=År1,'Resultater - Vestdanmark'!H$3:H$482,IF(D195=År2,'Resultater - Vestdanmark'!I$3:I$482,'Resultater - Vestdanmark'!J$3:J$482)),"&gt;0"),SUMIFS(IF(D195=År1,'Resultater - Østdanmark'!H$3:H$482,IF(D195=År2,'Resultater - Østdanmark'!I$3:I$482,'Resultater - Østdanmark'!J$3:J$482)),'Resultater - Østdanmark'!$F$3:$F$482,$A195,IF(D195=År1,'Resultater - Østdanmark'!H$3:H$482,IF(D195=År2,'Resultater - Østdanmark'!I$3:I$482,'Resultater - Østdanmark'!J$3:J$482)),"&gt;0"))</f>
        <v>0</v>
      </c>
      <c r="G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92">
        <f>IF(E195="Vestdanmark",-IF(A195="Halm",SUMIFS(IF(D195=År1,'Resultater - Vestdanmark'!H$3:H$482,IF(D195=År2,'Resultater - Vestdanmark'!I$3:I$482,'Resultater - Vestdanmark'!J$3:J$482)),'Resultater - Vestdanmark'!$F$3:$F$482,$A195,'Resultater - Vestdanmark'!H$3:H$482,"&lt;0"),0),-IF(A195="Halm",SUMIFS(IF(D195=År1,'Resultater - Østdanmark'!H$3:H$482,IF(D195=År2,'Resultater - Østdanmark'!I$3:I$482,'Resultater - Østdanmark'!J$3:J$482)),'Resultater - Østdanmark'!$F$3:$F$482,$A195,'Resultater - Østdanmark'!H$3:H$482,"&lt;0"),0))</f>
        <v>0</v>
      </c>
      <c r="I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5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7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204">
        <f t="shared" si="48"/>
        <v>-28209.340124628539</v>
      </c>
      <c r="O195" s="195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5">
        <f t="shared" si="49"/>
        <v>0</v>
      </c>
      <c r="Q195" s="192">
        <f>IFERROR(VLOOKUP(A195,[1]Energiindhold!$A$2:$C$11,3,FALSE),IFERROR(VLOOKUP(A195,[1]Biogasudbytte!$A$2:$B$18,2,FALSE)*[1]Energiindhold!$C$10,0))*O195</f>
        <v>0</v>
      </c>
      <c r="R195" s="192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92">
        <f>IFERROR(VLOOKUP(A195,[1]Biogasudbytte!$A$2:$B$18,2,FALSE)*[1]Energiindhold!$C$10,0)*J195*IFERROR(VLOOKUP(A195,Biogasanlæg!$F$3:$G$8,2,FALSE),1)</f>
        <v>0</v>
      </c>
      <c r="T195" s="193">
        <f t="shared" si="50"/>
        <v>0</v>
      </c>
      <c r="U195" s="191">
        <f>O195*IFERROR(VLOOKUP(A195,[1]Tørstofindhold!A$2:B$24,2,FALSE),0)</f>
        <v>0</v>
      </c>
      <c r="V195" s="192">
        <f>IF(D195=År1,P195,SUM(O195,P195))*IFERROR(VLOOKUP(A195,[1]Tørstofindhold!A$2:B$24,2,FALSE),0)</f>
        <v>0</v>
      </c>
      <c r="W195" s="192">
        <f>J195*IFERROR(VLOOKUP(A195,[1]Tørstofindhold!A$2:B$24,2,FALSE),0)</f>
        <v>0</v>
      </c>
      <c r="X195" s="193">
        <f t="shared" si="51"/>
        <v>0</v>
      </c>
      <c r="Y195" s="171">
        <f t="shared" ref="Y195:Y258" si="60">IF(SUMIFS($N$3:$N$290,$A$3:$A$290,A195,$D$3:$D$290,D195)&lt;0,1,0)</f>
        <v>1</v>
      </c>
      <c r="Z195" s="103">
        <f t="shared" ref="Z195:Z258" si="61">IF(SUMIFS($N$3:$N$290,$A$3:$A$290,A195,$D$3:$D$290,D195)&gt;0,1,0)</f>
        <v>0</v>
      </c>
    </row>
    <row r="196" spans="1:26" x14ac:dyDescent="0.25">
      <c r="A196" s="194" t="str">
        <f t="shared" si="56"/>
        <v>Bælgsæd</v>
      </c>
      <c r="B196" s="194" t="str">
        <f t="shared" si="57"/>
        <v/>
      </c>
      <c r="C196" s="194">
        <f>IF(COUNTIFS('Resultater - Danmark'!$D$3:$D$482,'Resultat-Produktion &amp; forbrug'!A196,'Resultater - Danmark'!$A$3:$A$482,"Til energi")+COUNTIFS('Resultater - Danmark'!$D$3:$D$482,'Resultat-Produktion &amp; forbrug'!A196,'Resultater - Danmark'!$A$3:$A$482,"Biogasanlæg")&gt;0,1,0)</f>
        <v>0</v>
      </c>
      <c r="D196" s="194">
        <f t="shared" si="58"/>
        <v>2030</v>
      </c>
      <c r="E196" s="192" t="s">
        <v>24</v>
      </c>
      <c r="F196" s="195">
        <f>IF(E196="Vestdanmark",SUMIFS(IF(D196=År1,'Resultater - Vestdanmark'!H$3:H$482,IF(D196=År2,'Resultater - Vestdanmark'!I$3:I$482,'Resultater - Vestdanmark'!J$3:J$482)),'Resultater - Vestdanmark'!$F$3:$F$482,$A196,IF(D196=År1,'Resultater - Vestdanmark'!H$3:H$482,IF(D196=År2,'Resultater - Vestdanmark'!I$3:I$482,'Resultater - Vestdanmark'!J$3:J$482)),"&gt;0"),SUMIFS(IF(D196=År1,'Resultater - Østdanmark'!H$3:H$482,IF(D196=År2,'Resultater - Østdanmark'!I$3:I$482,'Resultater - Østdanmark'!J$3:J$482)),'Resultater - Østdanmark'!$F$3:$F$482,$A196,IF(D196=År1,'Resultater - Østdanmark'!H$3:H$482,IF(D196=År2,'Resultater - Østdanmark'!I$3:I$482,'Resultater - Østdanmark'!J$3:J$482)),"&gt;0"))</f>
        <v>0</v>
      </c>
      <c r="G196" s="195" t="e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#REF!</v>
      </c>
      <c r="H196" s="192">
        <f>IF(E196="Vestdanmark",-IF(A196="Halm",SUMIFS(IF(D196=År1,'Resultater - Vestdanmark'!H$3:H$482,IF(D196=År2,'Resultater - Vestdanmark'!I$3:I$482,'Resultater - Vestdanmark'!J$3:J$482)),'Resultater - Vestdanmark'!$F$3:$F$482,$A196,'Resultater - Vestdanmark'!H$3:H$482,"&lt;0"),0),-IF(A196="Halm",SUMIFS(IF(D196=År1,'Resultater - Østdanmark'!H$3:H$482,IF(D196=År2,'Resultater - Østdanmark'!I$3:I$482,'Resultater - Østdanmark'!J$3:J$482)),'Resultater - Østdanmark'!$F$3:$F$482,$A196,'Resultater - Østdanmark'!H$3:H$482,"&lt;0"),0))</f>
        <v>0</v>
      </c>
      <c r="I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5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7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204" t="e">
        <f t="shared" si="48"/>
        <v>#REF!</v>
      </c>
      <c r="O196" s="195">
        <f t="shared" si="59"/>
        <v>0</v>
      </c>
      <c r="P196" s="205">
        <f t="shared" si="49"/>
        <v>0</v>
      </c>
      <c r="Q196" s="192">
        <f>IFERROR(VLOOKUP(A196,[1]Energiindhold!$A$2:$C$11,3,FALSE),IFERROR(VLOOKUP(A196,[1]Biogasudbytte!$A$2:$B$18,2,FALSE)*[1]Energiindhold!$C$10,0))*O196</f>
        <v>0</v>
      </c>
      <c r="R196" s="192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92">
        <f>IFERROR(VLOOKUP(A196,[1]Biogasudbytte!$A$2:$B$18,2,FALSE)*[1]Energiindhold!$C$10,0)*J196*IFERROR(VLOOKUP(A196,Biogasanlæg!$F$3:$G$8,2,FALSE),1)</f>
        <v>0</v>
      </c>
      <c r="T196" s="193">
        <f t="shared" si="50"/>
        <v>0</v>
      </c>
      <c r="U196" s="191">
        <f>O196*IFERROR(VLOOKUP(A196,[1]Tørstofindhold!A$2:B$24,2,FALSE),0)</f>
        <v>0</v>
      </c>
      <c r="V196" s="192">
        <f>IF(D196=År1,P196,SUM(O196,P196))*IFERROR(VLOOKUP(A196,[1]Tørstofindhold!A$2:B$24,2,FALSE),0)</f>
        <v>0</v>
      </c>
      <c r="W196" s="192">
        <f>J196*IFERROR(VLOOKUP(A196,[1]Tørstofindhold!A$2:B$24,2,FALSE),0)</f>
        <v>0</v>
      </c>
      <c r="X196" s="193">
        <f t="shared" si="51"/>
        <v>0</v>
      </c>
      <c r="Y196" s="171" t="e">
        <f t="shared" si="60"/>
        <v>#REF!</v>
      </c>
      <c r="Z196" s="103" t="e">
        <f t="shared" si="61"/>
        <v>#REF!</v>
      </c>
    </row>
    <row r="197" spans="1:26" x14ac:dyDescent="0.25">
      <c r="A197" s="194" t="str">
        <f t="shared" si="56"/>
        <v>Bioaffald</v>
      </c>
      <c r="B197" s="194" t="str">
        <f t="shared" si="57"/>
        <v>Bionedbrydeligt affald</v>
      </c>
      <c r="C197" s="194">
        <f>IF(COUNTIFS('Resultater - Danmark'!$D$3:$D$482,'Resultat-Produktion &amp; forbrug'!A197,'Resultater - Danmark'!$A$3:$A$482,"Til energi")+COUNTIFS('Resultater - Danmark'!$D$3:$D$482,'Resultat-Produktion &amp; forbrug'!A197,'Resultater - Danmark'!$A$3:$A$482,"Biogasanlæg")&gt;0,1,0)</f>
        <v>1</v>
      </c>
      <c r="D197" s="194">
        <f t="shared" si="58"/>
        <v>2030</v>
      </c>
      <c r="E197" s="192" t="s">
        <v>24</v>
      </c>
      <c r="F197" s="195">
        <f>IF(E197="Vestdanmark",SUMIFS(IF(D197=År1,'Resultater - Vestdanmark'!H$3:H$482,IF(D197=År2,'Resultater - Vestdanmark'!I$3:I$482,'Resultater - Vestdanmark'!J$3:J$482)),'Resultater - Vestdanmark'!$F$3:$F$482,$A197,IF(D197=År1,'Resultater - Vestdanmark'!H$3:H$482,IF(D197=År2,'Resultater - Vestdanmark'!I$3:I$482,'Resultater - Vestdanmark'!J$3:J$482)),"&gt;0"),SUMIFS(IF(D197=År1,'Resultater - Østdanmark'!H$3:H$482,IF(D197=År2,'Resultater - Østdanmark'!I$3:I$482,'Resultater - Østdanmark'!J$3:J$482)),'Resultater - Østdanmark'!$F$3:$F$482,$A197,IF(D197=År1,'Resultater - Østdanmark'!H$3:H$482,IF(D197=År2,'Resultater - Østdanmark'!I$3:I$482,'Resultater - Østdanmark'!J$3:J$482)),"&gt;0"))</f>
        <v>0</v>
      </c>
      <c r="G197" s="195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92">
        <f>IF(E197="Vestdanmark",-IF(A197="Halm",SUMIFS(IF(D197=År1,'Resultater - Vestdanmark'!H$3:H$482,IF(D197=År2,'Resultater - Vestdanmark'!I$3:I$482,'Resultater - Vestdanmark'!J$3:J$482)),'Resultater - Vestdanmark'!$F$3:$F$482,$A197,'Resultater - Vestdanmark'!H$3:H$482,"&lt;0"),0),-IF(A197="Halm",SUMIFS(IF(D197=År1,'Resultater - Østdanmark'!H$3:H$482,IF(D197=År2,'Resultater - Østdanmark'!I$3:I$482,'Resultater - Østdanmark'!J$3:J$482)),'Resultater - Østdanmark'!$F$3:$F$482,$A197,'Resultater - Østdanmark'!H$3:H$482,"&lt;0"),0))</f>
        <v>0</v>
      </c>
      <c r="I197" s="195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5" t="e">
        <f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#REF!</v>
      </c>
      <c r="K197" s="195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5" t="e">
        <f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#REF!</v>
      </c>
      <c r="M197" s="157" t="e">
        <f>SUMIFS('Forbrug af biomasse'!E:E,'Forbrug af biomasse'!C:C,'Resultat-Produktion &amp; forbrug'!$A197,'Forbrug af biomasse'!D:D,'Resultat-Produktion &amp; forbrug'!$D197,'Forbrug af biomasse'!G:G,1,'Forbrug af biomasse'!B:B,$E197)</f>
        <v>#REF!</v>
      </c>
      <c r="N197" s="204" t="e">
        <f t="shared" si="48"/>
        <v>#REF!</v>
      </c>
      <c r="O197" s="195" t="e">
        <f t="shared" si="59"/>
        <v>#REF!</v>
      </c>
      <c r="P197" s="205" t="e">
        <f t="shared" si="49"/>
        <v>#REF!</v>
      </c>
      <c r="Q197" s="192" t="e">
        <f>IFERROR(VLOOKUP(A197,[1]Energiindhold!$A$2:$C$11,3,FALSE),IFERROR(VLOOKUP(A197,[1]Biogasudbytte!$A$2:$B$18,2,FALSE)*[1]Energiindhold!$C$10,0))*O197</f>
        <v>#REF!</v>
      </c>
      <c r="R197" s="192" t="e">
        <f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#REF!</v>
      </c>
      <c r="S197" s="192" t="e">
        <f>IFERROR(VLOOKUP(A197,[1]Biogasudbytte!$A$2:$B$18,2,FALSE)*[1]Energiindhold!$C$10,0)*J197*IFERROR(VLOOKUP(A197,Biogasanlæg!$F$3:$G$8,2,FALSE),1)</f>
        <v>#REF!</v>
      </c>
      <c r="T197" s="193" t="e">
        <f t="shared" si="50"/>
        <v>#REF!</v>
      </c>
      <c r="U197" s="191" t="e">
        <f>O197*IFERROR(VLOOKUP(A197,[1]Tørstofindhold!A$2:B$24,2,FALSE),0)</f>
        <v>#REF!</v>
      </c>
      <c r="V197" s="192" t="e">
        <f>IF(D197=År1,P197,SUM(O197,P197))*IFERROR(VLOOKUP(A197,[1]Tørstofindhold!A$2:B$24,2,FALSE),0)</f>
        <v>#REF!</v>
      </c>
      <c r="W197" s="192" t="e">
        <f>J197*IFERROR(VLOOKUP(A197,[1]Tørstofindhold!A$2:B$24,2,FALSE),0)</f>
        <v>#REF!</v>
      </c>
      <c r="X197" s="193" t="e">
        <f t="shared" si="51"/>
        <v>#REF!</v>
      </c>
      <c r="Y197" s="171" t="e">
        <f t="shared" si="60"/>
        <v>#REF!</v>
      </c>
      <c r="Z197" s="103" t="e">
        <f t="shared" si="61"/>
        <v>#REF!</v>
      </c>
    </row>
    <row r="198" spans="1:26" x14ac:dyDescent="0.25">
      <c r="A198" s="194" t="str">
        <f t="shared" si="56"/>
        <v>Biogas</v>
      </c>
      <c r="B198" s="194" t="str">
        <f t="shared" si="57"/>
        <v/>
      </c>
      <c r="C198" s="194">
        <f>IF(COUNTIFS('Resultater - Danmark'!$D$3:$D$482,'Resultat-Produktion &amp; forbrug'!A198,'Resultater - Danmark'!$A$3:$A$482,"Til energi")+COUNTIFS('Resultater - Danmark'!$D$3:$D$482,'Resultat-Produktion &amp; forbrug'!A198,'Resultater - Danmark'!$A$3:$A$482,"Biogasanlæg")&gt;0,1,0)</f>
        <v>1</v>
      </c>
      <c r="D198" s="194">
        <f t="shared" si="58"/>
        <v>2030</v>
      </c>
      <c r="E198" s="192" t="s">
        <v>24</v>
      </c>
      <c r="F198" s="195">
        <f>IF(E198="Vestdanmark",SUMIFS(IF(D198=År1,'Resultater - Vestdanmark'!H$3:H$482,IF(D198=År2,'Resultater - Vestdanmark'!I$3:I$482,'Resultater - Vestdanmark'!J$3:J$482)),'Resultater - Vestdanmark'!$F$3:$F$482,$A198,IF(D198=År1,'Resultater - Vestdanmark'!H$3:H$482,IF(D198=År2,'Resultater - Vestdanmark'!I$3:I$482,'Resultater - Vestdanmark'!J$3:J$482)),"&gt;0"),SUMIFS(IF(D198=År1,'Resultater - Østdanmark'!H$3:H$482,IF(D198=År2,'Resultater - Østdanmark'!I$3:I$482,'Resultater - Østdanmark'!J$3:J$482)),'Resultater - Østdanmark'!$F$3:$F$482,$A198,IF(D198=År1,'Resultater - Østdanmark'!H$3:H$482,IF(D198=År2,'Resultater - Østdanmark'!I$3:I$482,'Resultater - Østdanmark'!J$3:J$482)),"&gt;0"))</f>
        <v>12086250.624000002</v>
      </c>
      <c r="G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92">
        <f>IF(E198="Vestdanmark",-IF(A198="Halm",SUMIFS(IF(D198=År1,'Resultater - Vestdanmark'!H$3:H$482,IF(D198=År2,'Resultater - Vestdanmark'!I$3:I$482,'Resultater - Vestdanmark'!J$3:J$482)),'Resultater - Vestdanmark'!$F$3:$F$482,$A198,'Resultater - Vestdanmark'!H$3:H$482,"&lt;0"),0),-IF(A198="Halm",SUMIFS(IF(D198=År1,'Resultater - Østdanmark'!H$3:H$482,IF(D198=År2,'Resultater - Østdanmark'!I$3:I$482,'Resultater - Østdanmark'!J$3:J$482)),'Resultater - Østdanmark'!$F$3:$F$482,$A198,'Resultater - Østdanmark'!H$3:H$482,"&lt;0"),0))</f>
        <v>0</v>
      </c>
      <c r="I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5">
        <f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12086250.624000002</v>
      </c>
      <c r="M198" s="157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204">
        <f t="shared" si="48"/>
        <v>0</v>
      </c>
      <c r="O198" s="195">
        <f t="shared" si="59"/>
        <v>0</v>
      </c>
      <c r="P198" s="205">
        <f t="shared" si="49"/>
        <v>12086250.624000002</v>
      </c>
      <c r="Q198" s="192">
        <f>IFERROR(VLOOKUP(A198,[1]Energiindhold!$A$2:$C$11,3,FALSE),IFERROR(VLOOKUP(A198,[1]Biogasudbytte!$A$2:$B$18,2,FALSE)*[1]Energiindhold!$C$10,0))*O198</f>
        <v>0</v>
      </c>
      <c r="R198" s="192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92">
        <f>IFERROR(VLOOKUP(A198,[1]Biogasudbytte!$A$2:$B$18,2,FALSE)*[1]Energiindhold!$C$10,0)*J198*IFERROR(VLOOKUP(A198,Biogasanlæg!$F$3:$G$8,2,FALSE),1)</f>
        <v>0</v>
      </c>
      <c r="T198" s="193">
        <f t="shared" si="50"/>
        <v>0</v>
      </c>
      <c r="U198" s="191">
        <f>O198*IFERROR(VLOOKUP(A198,[1]Tørstofindhold!A$2:B$24,2,FALSE),0)</f>
        <v>0</v>
      </c>
      <c r="V198" s="192">
        <f>IF(D198=År1,P198,SUM(O198,P198))*IFERROR(VLOOKUP(A198,[1]Tørstofindhold!A$2:B$24,2,FALSE),0)</f>
        <v>0</v>
      </c>
      <c r="W198" s="192">
        <f>J198*IFERROR(VLOOKUP(A198,[1]Tørstofindhold!A$2:B$24,2,FALSE),0)</f>
        <v>0</v>
      </c>
      <c r="X198" s="193">
        <f t="shared" si="51"/>
        <v>0</v>
      </c>
      <c r="Y198" s="171">
        <f t="shared" si="60"/>
        <v>0</v>
      </c>
      <c r="Z198" s="103">
        <f t="shared" si="61"/>
        <v>0</v>
      </c>
    </row>
    <row r="199" spans="1:26" x14ac:dyDescent="0.25">
      <c r="A199" s="194" t="str">
        <f t="shared" si="56"/>
        <v>Biogasgylle</v>
      </c>
      <c r="B199" s="194" t="str">
        <f t="shared" si="57"/>
        <v/>
      </c>
      <c r="C199" s="194">
        <f>IF(COUNTIFS('Resultater - Danmark'!$D$3:$D$482,'Resultat-Produktion &amp; forbrug'!A199,'Resultater - Danmark'!$A$3:$A$482,"Til energi")+COUNTIFS('Resultater - Danmark'!$D$3:$D$482,'Resultat-Produktion &amp; forbrug'!A199,'Resultater - Danmark'!$A$3:$A$482,"Biogasanlæg")&gt;0,1,0)</f>
        <v>0</v>
      </c>
      <c r="D199" s="194">
        <f t="shared" si="58"/>
        <v>2030</v>
      </c>
      <c r="E199" s="192" t="s">
        <v>24</v>
      </c>
      <c r="F199" s="195">
        <f>IF(E199="Vestdanmark",SUMIFS(IF(D199=År1,'Resultater - Vestdanmark'!H$3:H$482,IF(D199=År2,'Resultater - Vestdanmark'!I$3:I$482,'Resultater - Vestdanmark'!J$3:J$482)),'Resultater - Vestdanmark'!$F$3:$F$482,$A199,IF(D199=År1,'Resultater - Vestdanmark'!H$3:H$482,IF(D199=År2,'Resultater - Vestdanmark'!I$3:I$482,'Resultater - Vestdanmark'!J$3:J$482)),"&gt;0"),SUMIFS(IF(D199=År1,'Resultater - Østdanmark'!H$3:H$482,IF(D199=År2,'Resultater - Østdanmark'!I$3:I$482,'Resultater - Østdanmark'!J$3:J$482)),'Resultater - Østdanmark'!$F$3:$F$482,$A199,IF(D199=År1,'Resultater - Østdanmark'!H$3:H$482,IF(D199=År2,'Resultater - Østdanmark'!I$3:I$482,'Resultater - Østdanmark'!J$3:J$482)),"&gt;0"))</f>
        <v>0</v>
      </c>
      <c r="G199" s="195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92">
        <f>IF(E199="Vestdanmark",-IF(A199="Halm",SUMIFS(IF(D199=År1,'Resultater - Vestdanmark'!H$3:H$482,IF(D199=År2,'Resultater - Vestdanmark'!I$3:I$482,'Resultater - Vestdanmark'!J$3:J$482)),'Resultater - Vestdanmark'!$F$3:$F$482,$A199,'Resultater - Vestdanmark'!H$3:H$482,"&lt;0"),0),-IF(A199="Halm",SUMIFS(IF(D199=År1,'Resultater - Østdanmark'!H$3:H$482,IF(D199=År2,'Resultater - Østdanmark'!I$3:I$482,'Resultater - Østdanmark'!J$3:J$482)),'Resultater - Østdanmark'!$F$3:$F$482,$A199,'Resultater - Østdanmark'!H$3:H$482,"&lt;0"),0))</f>
        <v>0</v>
      </c>
      <c r="I199" s="195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5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5" t="e">
        <f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#REF!</v>
      </c>
      <c r="L199" s="195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7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204" t="e">
        <f t="shared" si="48"/>
        <v>#REF!</v>
      </c>
      <c r="O199" s="195">
        <f t="shared" si="59"/>
        <v>0</v>
      </c>
      <c r="P199" s="205">
        <f t="shared" si="49"/>
        <v>0</v>
      </c>
      <c r="Q199" s="192">
        <f>IFERROR(VLOOKUP(A199,[1]Energiindhold!$A$2:$C$11,3,FALSE),IFERROR(VLOOKUP(A199,[1]Biogasudbytte!$A$2:$B$18,2,FALSE)*[1]Energiindhold!$C$10,0))*O199</f>
        <v>0</v>
      </c>
      <c r="R199" s="192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92">
        <f>IFERROR(VLOOKUP(A199,[1]Biogasudbytte!$A$2:$B$18,2,FALSE)*[1]Energiindhold!$C$10,0)*J199*IFERROR(VLOOKUP(A199,Biogasanlæg!$F$3:$G$8,2,FALSE),1)</f>
        <v>0</v>
      </c>
      <c r="T199" s="193">
        <f t="shared" si="50"/>
        <v>0</v>
      </c>
      <c r="U199" s="191">
        <f>O199*IFERROR(VLOOKUP(A199,[1]Tørstofindhold!A$2:B$24,2,FALSE),0)</f>
        <v>0</v>
      </c>
      <c r="V199" s="192">
        <f>IF(D199=År1,P199,SUM(O199,P199))*IFERROR(VLOOKUP(A199,[1]Tørstofindhold!A$2:B$24,2,FALSE),0)</f>
        <v>0</v>
      </c>
      <c r="W199" s="192">
        <f>J199*IFERROR(VLOOKUP(A199,[1]Tørstofindhold!A$2:B$24,2,FALSE),0)</f>
        <v>0</v>
      </c>
      <c r="X199" s="193">
        <f t="shared" si="51"/>
        <v>0</v>
      </c>
      <c r="Y199" s="171" t="e">
        <f t="shared" si="60"/>
        <v>#REF!</v>
      </c>
      <c r="Z199" s="103" t="e">
        <f t="shared" si="61"/>
        <v>#REF!</v>
      </c>
    </row>
    <row r="200" spans="1:26" x14ac:dyDescent="0.25">
      <c r="A200" s="194" t="str">
        <f t="shared" si="56"/>
        <v>Brun saft</v>
      </c>
      <c r="B200" s="194" t="str">
        <f t="shared" si="57"/>
        <v>Bionedbrydeligt affald</v>
      </c>
      <c r="C200" s="194">
        <f>IF(COUNTIFS('Resultater - Danmark'!$D$3:$D$482,'Resultat-Produktion &amp; forbrug'!A200,'Resultater - Danmark'!$A$3:$A$482,"Til energi")+COUNTIFS('Resultater - Danmark'!$D$3:$D$482,'Resultat-Produktion &amp; forbrug'!A200,'Resultater - Danmark'!$A$3:$A$482,"Biogasanlæg")&gt;0,1,0)</f>
        <v>1</v>
      </c>
      <c r="D200" s="194">
        <f t="shared" si="58"/>
        <v>2030</v>
      </c>
      <c r="E200" s="192" t="s">
        <v>24</v>
      </c>
      <c r="F200" s="195">
        <f>IF(E200="Vestdanmark",SUMIFS(IF(D200=År1,'Resultater - Vestdanmark'!H$3:H$482,IF(D200=År2,'Resultater - Vestdanmark'!I$3:I$482,'Resultater - Vestdanmark'!J$3:J$482)),'Resultater - Vestdanmark'!$F$3:$F$482,$A200,IF(D200=År1,'Resultater - Vestdanmark'!H$3:H$482,IF(D200=År2,'Resultater - Vestdanmark'!I$3:I$482,'Resultater - Vestdanmark'!J$3:J$482)),"&gt;0"),SUMIFS(IF(D200=År1,'Resultater - Østdanmark'!H$3:H$482,IF(D200=År2,'Resultater - Østdanmark'!I$3:I$482,'Resultater - Østdanmark'!J$3:J$482)),'Resultater - Østdanmark'!$F$3:$F$482,$A200,IF(D200=År1,'Resultater - Østdanmark'!H$3:H$482,IF(D200=År2,'Resultater - Østdanmark'!I$3:I$482,'Resultater - Østdanmark'!J$3:J$482)),"&gt;0"))</f>
        <v>0</v>
      </c>
      <c r="G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92">
        <f>IF(E200="Vestdanmark",-IF(A200="Halm",SUMIFS(IF(D200=År1,'Resultater - Vestdanmark'!H$3:H$482,IF(D200=År2,'Resultater - Vestdanmark'!I$3:I$482,'Resultater - Vestdanmark'!J$3:J$482)),'Resultater - Vestdanmark'!$F$3:$F$482,$A200,'Resultater - Vestdanmark'!H$3:H$482,"&lt;0"),0),-IF(A200="Halm",SUMIFS(IF(D200=År1,'Resultater - Østdanmark'!H$3:H$482,IF(D200=År2,'Resultater - Østdanmark'!I$3:I$482,'Resultater - Østdanmark'!J$3:J$482)),'Resultater - Østdanmark'!$F$3:$F$482,$A200,'Resultater - Østdanmark'!H$3:H$482,"&lt;0"),0))</f>
        <v>0</v>
      </c>
      <c r="I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5" t="e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#REF!</v>
      </c>
      <c r="K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5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7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204" t="e">
        <f t="shared" si="48"/>
        <v>#REF!</v>
      </c>
      <c r="O200" s="195" t="e">
        <f t="shared" si="59"/>
        <v>#REF!</v>
      </c>
      <c r="P200" s="205" t="e">
        <f t="shared" si="49"/>
        <v>#REF!</v>
      </c>
      <c r="Q200" s="192" t="e">
        <f>IFERROR(VLOOKUP(A200,[1]Energiindhold!$A$2:$C$11,3,FALSE),IFERROR(VLOOKUP(A200,[1]Biogasudbytte!$A$2:$B$18,2,FALSE)*[1]Energiindhold!$C$10,0))*O200</f>
        <v>#REF!</v>
      </c>
      <c r="R200" s="192" t="e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#REF!</v>
      </c>
      <c r="S200" s="192" t="e">
        <f>IFERROR(VLOOKUP(A200,[1]Biogasudbytte!$A$2:$B$18,2,FALSE)*[1]Energiindhold!$C$10,0)*J200*IFERROR(VLOOKUP(A200,Biogasanlæg!$F$3:$G$8,2,FALSE),1)</f>
        <v>#REF!</v>
      </c>
      <c r="T200" s="193" t="e">
        <f t="shared" si="50"/>
        <v>#REF!</v>
      </c>
      <c r="U200" s="191" t="e">
        <f>O200*IFERROR(VLOOKUP(A200,[1]Tørstofindhold!A$2:B$24,2,FALSE),0)</f>
        <v>#REF!</v>
      </c>
      <c r="V200" s="192" t="e">
        <f>IF(D200=År1,P200,SUM(O200,P200))*IFERROR(VLOOKUP(A200,[1]Tørstofindhold!A$2:B$24,2,FALSE),0)</f>
        <v>#REF!</v>
      </c>
      <c r="W200" s="192" t="e">
        <f>J200*IFERROR(VLOOKUP(A200,[1]Tørstofindhold!A$2:B$24,2,FALSE),0)</f>
        <v>#REF!</v>
      </c>
      <c r="X200" s="193" t="e">
        <f t="shared" si="51"/>
        <v>#REF!</v>
      </c>
      <c r="Y200" s="171" t="e">
        <f t="shared" si="60"/>
        <v>#REF!</v>
      </c>
      <c r="Z200" s="103" t="e">
        <f t="shared" si="61"/>
        <v>#REF!</v>
      </c>
    </row>
    <row r="201" spans="1:26" x14ac:dyDescent="0.25">
      <c r="A201" s="194" t="str">
        <f t="shared" si="56"/>
        <v>Dybstrøelse</v>
      </c>
      <c r="B201" s="194" t="str">
        <f t="shared" si="57"/>
        <v>Husdyrgødning</v>
      </c>
      <c r="C201" s="194">
        <f>IF(COUNTIFS('Resultater - Danmark'!$D$3:$D$482,'Resultat-Produktion &amp; forbrug'!A201,'Resultater - Danmark'!$A$3:$A$482,"Til energi")+COUNTIFS('Resultater - Danmark'!$D$3:$D$482,'Resultat-Produktion &amp; forbrug'!A201,'Resultater - Danmark'!$A$3:$A$482,"Biogasanlæg")&gt;0,1,0)</f>
        <v>1</v>
      </c>
      <c r="D201" s="194">
        <f t="shared" si="58"/>
        <v>2030</v>
      </c>
      <c r="E201" s="192" t="s">
        <v>24</v>
      </c>
      <c r="F201" s="195">
        <f>IF(E201="Vestdanmark",SUMIFS(IF(D201=År1,'Resultater - Vestdanmark'!H$3:H$482,IF(D201=År2,'Resultater - Vestdanmark'!I$3:I$482,'Resultater - Vestdanmark'!J$3:J$482)),'Resultater - Vestdanmark'!$F$3:$F$482,$A201,IF(D201=År1,'Resultater - Vestdanmark'!H$3:H$482,IF(D201=År2,'Resultater - Vestdanmark'!I$3:I$482,'Resultater - Vestdanmark'!J$3:J$482)),"&gt;0"),SUMIFS(IF(D201=År1,'Resultater - Østdanmark'!H$3:H$482,IF(D201=År2,'Resultater - Østdanmark'!I$3:I$482,'Resultater - Østdanmark'!J$3:J$482)),'Resultater - Østdanmark'!$F$3:$F$482,$A201,IF(D201=År1,'Resultater - Østdanmark'!H$3:H$482,IF(D201=År2,'Resultater - Østdanmark'!I$3:I$482,'Resultater - Østdanmark'!J$3:J$482)),"&gt;0"))</f>
        <v>0</v>
      </c>
      <c r="G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92">
        <f>IF(E201="Vestdanmark",-IF(A201="Halm",SUMIFS(IF(D201=År1,'Resultater - Vestdanmark'!H$3:H$482,IF(D201=År2,'Resultater - Vestdanmark'!I$3:I$482,'Resultater - Vestdanmark'!J$3:J$482)),'Resultater - Vestdanmark'!$F$3:$F$482,$A201,'Resultater - Vestdanmark'!H$3:H$482,"&lt;0"),0),-IF(A201="Halm",SUMIFS(IF(D201=År1,'Resultater - Østdanmark'!H$3:H$482,IF(D201=År2,'Resultater - Østdanmark'!I$3:I$482,'Resultater - Østdanmark'!J$3:J$482)),'Resultater - Østdanmark'!$F$3:$F$482,$A201,'Resultater - Østdanmark'!H$3:H$482,"&lt;0"),0))</f>
        <v>0</v>
      </c>
      <c r="I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5" t="e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#REF!</v>
      </c>
      <c r="K201" s="195" t="e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#REF!</v>
      </c>
      <c r="L201" s="195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7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204" t="e">
        <f t="shared" si="48"/>
        <v>#REF!</v>
      </c>
      <c r="O201" s="195" t="e">
        <f t="shared" si="59"/>
        <v>#REF!</v>
      </c>
      <c r="P201" s="205" t="e">
        <f t="shared" si="49"/>
        <v>#REF!</v>
      </c>
      <c r="Q201" s="192" t="e">
        <f>IFERROR(VLOOKUP(A201,[1]Energiindhold!$A$2:$C$11,3,FALSE),IFERROR(VLOOKUP(A201,[1]Biogasudbytte!$A$2:$B$18,2,FALSE)*[1]Energiindhold!$C$10,0))*O201</f>
        <v>#REF!</v>
      </c>
      <c r="R201" s="192" t="e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#REF!</v>
      </c>
      <c r="S201" s="192" t="e">
        <f>IFERROR(VLOOKUP(A201,[1]Biogasudbytte!$A$2:$B$18,2,FALSE)*[1]Energiindhold!$C$10,0)*J201*IFERROR(VLOOKUP(A201,Biogasanlæg!$F$3:$G$8,2,FALSE),1)</f>
        <v>#REF!</v>
      </c>
      <c r="T201" s="193" t="e">
        <f t="shared" si="50"/>
        <v>#REF!</v>
      </c>
      <c r="U201" s="191" t="e">
        <f>O201*IFERROR(VLOOKUP(A201,[1]Tørstofindhold!A$2:B$24,2,FALSE),0)</f>
        <v>#REF!</v>
      </c>
      <c r="V201" s="192" t="e">
        <f>IF(D201=År1,P201,SUM(O201,P201))*IFERROR(VLOOKUP(A201,[1]Tørstofindhold!A$2:B$24,2,FALSE),0)</f>
        <v>#REF!</v>
      </c>
      <c r="W201" s="192" t="e">
        <f>J201*IFERROR(VLOOKUP(A201,[1]Tørstofindhold!A$2:B$24,2,FALSE),0)</f>
        <v>#REF!</v>
      </c>
      <c r="X201" s="193" t="e">
        <f t="shared" si="51"/>
        <v>#REF!</v>
      </c>
      <c r="Y201" s="171" t="e">
        <f t="shared" si="60"/>
        <v>#REF!</v>
      </c>
      <c r="Z201" s="103" t="e">
        <f t="shared" si="61"/>
        <v>#REF!</v>
      </c>
    </row>
    <row r="202" spans="1:26" x14ac:dyDescent="0.25">
      <c r="A202" s="194" t="str">
        <f t="shared" si="56"/>
        <v>Fiberfraktion</v>
      </c>
      <c r="B202" s="194" t="str">
        <f t="shared" si="57"/>
        <v/>
      </c>
      <c r="C202" s="194">
        <f>IF(COUNTIFS('Resultater - Danmark'!$D$3:$D$482,'Resultat-Produktion &amp; forbrug'!A202,'Resultater - Danmark'!$A$3:$A$482,"Til energi")+COUNTIFS('Resultater - Danmark'!$D$3:$D$482,'Resultat-Produktion &amp; forbrug'!A202,'Resultater - Danmark'!$A$3:$A$482,"Biogasanlæg")&gt;0,1,0)</f>
        <v>0</v>
      </c>
      <c r="D202" s="194">
        <f t="shared" si="58"/>
        <v>2030</v>
      </c>
      <c r="E202" s="192" t="s">
        <v>24</v>
      </c>
      <c r="F202" s="195">
        <f>IF(E202="Vestdanmark",SUMIFS(IF(D202=År1,'Resultater - Vestdanmark'!H$3:H$482,IF(D202=År2,'Resultater - Vestdanmark'!I$3:I$482,'Resultater - Vestdanmark'!J$3:J$482)),'Resultater - Vestdanmark'!$F$3:$F$482,$A202,IF(D202=År1,'Resultater - Vestdanmark'!H$3:H$482,IF(D202=År2,'Resultater - Vestdanmark'!I$3:I$482,'Resultater - Vestdanmark'!J$3:J$482)),"&gt;0"),SUMIFS(IF(D202=År1,'Resultater - Østdanmark'!H$3:H$482,IF(D202=År2,'Resultater - Østdanmark'!I$3:I$482,'Resultater - Østdanmark'!J$3:J$482)),'Resultater - Østdanmark'!$F$3:$F$482,$A202,IF(D202=År1,'Resultater - Østdanmark'!H$3:H$482,IF(D202=År2,'Resultater - Østdanmark'!I$3:I$482,'Resultater - Østdanmark'!J$3:J$482)),"&gt;0"))</f>
        <v>0</v>
      </c>
      <c r="G202" s="195" t="e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#REF!</v>
      </c>
      <c r="H202" s="192">
        <f>IF(E202="Vestdanmark",-IF(A202="Halm",SUMIFS(IF(D202=År1,'Resultater - Vestdanmark'!H$3:H$482,IF(D202=År2,'Resultater - Vestdanmark'!I$3:I$482,'Resultater - Vestdanmark'!J$3:J$482)),'Resultater - Vestdanmark'!$F$3:$F$482,$A202,'Resultater - Vestdanmark'!H$3:H$482,"&lt;0"),0),-IF(A202="Halm",SUMIFS(IF(D202=År1,'Resultater - Østdanmark'!H$3:H$482,IF(D202=År2,'Resultater - Østdanmark'!I$3:I$482,'Resultater - Østdanmark'!J$3:J$482)),'Resultater - Østdanmark'!$F$3:$F$482,$A202,'Resultater - Østdanmark'!H$3:H$482,"&lt;0"),0))</f>
        <v>0</v>
      </c>
      <c r="I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5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7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204" t="e">
        <f t="shared" si="48"/>
        <v>#REF!</v>
      </c>
      <c r="O202" s="195">
        <f t="shared" si="59"/>
        <v>0</v>
      </c>
      <c r="P202" s="205">
        <f t="shared" si="49"/>
        <v>0</v>
      </c>
      <c r="Q202" s="192">
        <f>IFERROR(VLOOKUP(A202,[1]Energiindhold!$A$2:$C$11,3,FALSE),IFERROR(VLOOKUP(A202,[1]Biogasudbytte!$A$2:$B$18,2,FALSE)*[1]Energiindhold!$C$10,0))*O202</f>
        <v>0</v>
      </c>
      <c r="R202" s="192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92">
        <f>IFERROR(VLOOKUP(A202,[1]Biogasudbytte!$A$2:$B$18,2,FALSE)*[1]Energiindhold!$C$10,0)*J202*IFERROR(VLOOKUP(A202,Biogasanlæg!$F$3:$G$8,2,FALSE),1)</f>
        <v>0</v>
      </c>
      <c r="T202" s="193">
        <f t="shared" si="50"/>
        <v>0</v>
      </c>
      <c r="U202" s="191">
        <f>O202*IFERROR(VLOOKUP(A202,[1]Tørstofindhold!A$2:B$24,2,FALSE),0)</f>
        <v>0</v>
      </c>
      <c r="V202" s="192">
        <f>IF(D202=År1,P202,SUM(O202,P202))*IFERROR(VLOOKUP(A202,[1]Tørstofindhold!A$2:B$24,2,FALSE),0)</f>
        <v>0</v>
      </c>
      <c r="W202" s="192">
        <f>J202*IFERROR(VLOOKUP(A202,[1]Tørstofindhold!A$2:B$24,2,FALSE),0)</f>
        <v>0</v>
      </c>
      <c r="X202" s="193">
        <f t="shared" si="51"/>
        <v>0</v>
      </c>
      <c r="Y202" s="171" t="e">
        <f t="shared" si="60"/>
        <v>#REF!</v>
      </c>
      <c r="Z202" s="103" t="e">
        <f t="shared" si="61"/>
        <v>#REF!</v>
      </c>
    </row>
    <row r="203" spans="1:26" x14ac:dyDescent="0.25">
      <c r="A203" s="194" t="str">
        <f t="shared" si="56"/>
        <v>Fjerkrægylle</v>
      </c>
      <c r="B203" s="194" t="str">
        <f t="shared" si="57"/>
        <v>Husdyrgødning</v>
      </c>
      <c r="C203" s="194">
        <f>IF(COUNTIFS('Resultater - Danmark'!$D$3:$D$482,'Resultat-Produktion &amp; forbrug'!A203,'Resultater - Danmark'!$A$3:$A$482,"Til energi")+COUNTIFS('Resultater - Danmark'!$D$3:$D$482,'Resultat-Produktion &amp; forbrug'!A203,'Resultater - Danmark'!$A$3:$A$482,"Biogasanlæg")&gt;0,1,0)</f>
        <v>1</v>
      </c>
      <c r="D203" s="194">
        <f t="shared" si="58"/>
        <v>2030</v>
      </c>
      <c r="E203" s="192" t="s">
        <v>24</v>
      </c>
      <c r="F203" s="195">
        <f>IF(E203="Vestdanmark",SUMIFS(IF(D203=År1,'Resultater - Vestdanmark'!H$3:H$482,IF(D203=År2,'Resultater - Vestdanmark'!I$3:I$482,'Resultater - Vestdanmark'!J$3:J$482)),'Resultater - Vestdanmark'!$F$3:$F$482,$A203,IF(D203=År1,'Resultater - Vestdanmark'!H$3:H$482,IF(D203=År2,'Resultater - Vestdanmark'!I$3:I$482,'Resultater - Vestdanmark'!J$3:J$482)),"&gt;0"),SUMIFS(IF(D203=År1,'Resultater - Østdanmark'!H$3:H$482,IF(D203=År2,'Resultater - Østdanmark'!I$3:I$482,'Resultater - Østdanmark'!J$3:J$482)),'Resultater - Østdanmark'!$F$3:$F$482,$A203,IF(D203=År1,'Resultater - Østdanmark'!H$3:H$482,IF(D203=År2,'Resultater - Østdanmark'!I$3:I$482,'Resultater - Østdanmark'!J$3:J$482)),"&gt;0"))</f>
        <v>0</v>
      </c>
      <c r="G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92">
        <f>IF(E203="Vestdanmark",-IF(A203="Halm",SUMIFS(IF(D203=År1,'Resultater - Vestdanmark'!H$3:H$482,IF(D203=År2,'Resultater - Vestdanmark'!I$3:I$482,'Resultater - Vestdanmark'!J$3:J$482)),'Resultater - Vestdanmark'!$F$3:$F$482,$A203,'Resultater - Vestdanmark'!H$3:H$482,"&lt;0"),0),-IF(A203="Halm",SUMIFS(IF(D203=År1,'Resultater - Østdanmark'!H$3:H$482,IF(D203=År2,'Resultater - Østdanmark'!I$3:I$482,'Resultater - Østdanmark'!J$3:J$482)),'Resultater - Østdanmark'!$F$3:$F$482,$A203,'Resultater - Østdanmark'!H$3:H$482,"&lt;0"),0))</f>
        <v>0</v>
      </c>
      <c r="I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5" t="e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#REF!</v>
      </c>
      <c r="K203" s="195" t="e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#REF!</v>
      </c>
      <c r="L203" s="195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7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204" t="e">
        <f t="shared" si="48"/>
        <v>#REF!</v>
      </c>
      <c r="O203" s="195" t="e">
        <f t="shared" si="59"/>
        <v>#REF!</v>
      </c>
      <c r="P203" s="205" t="e">
        <f t="shared" si="49"/>
        <v>#REF!</v>
      </c>
      <c r="Q203" s="192" t="e">
        <f>IFERROR(VLOOKUP(A203,[1]Energiindhold!$A$2:$C$11,3,FALSE),IFERROR(VLOOKUP(A203,[1]Biogasudbytte!$A$2:$B$18,2,FALSE)*[1]Energiindhold!$C$10,0))*O203</f>
        <v>#REF!</v>
      </c>
      <c r="R203" s="192" t="e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#REF!</v>
      </c>
      <c r="S203" s="192" t="e">
        <f>IFERROR(VLOOKUP(A203,[1]Biogasudbytte!$A$2:$B$18,2,FALSE)*[1]Energiindhold!$C$10,0)*J203*IFERROR(VLOOKUP(A203,Biogasanlæg!$F$3:$G$8,2,FALSE),1)</f>
        <v>#REF!</v>
      </c>
      <c r="T203" s="193" t="e">
        <f t="shared" si="50"/>
        <v>#REF!</v>
      </c>
      <c r="U203" s="191" t="e">
        <f>O203*IFERROR(VLOOKUP(A203,[1]Tørstofindhold!A$2:B$24,2,FALSE),0)</f>
        <v>#REF!</v>
      </c>
      <c r="V203" s="192" t="e">
        <f>IF(D203=År1,P203,SUM(O203,P203))*IFERROR(VLOOKUP(A203,[1]Tørstofindhold!A$2:B$24,2,FALSE),0)</f>
        <v>#REF!</v>
      </c>
      <c r="W203" s="192" t="e">
        <f>J203*IFERROR(VLOOKUP(A203,[1]Tørstofindhold!A$2:B$24,2,FALSE),0)</f>
        <v>#REF!</v>
      </c>
      <c r="X203" s="193" t="e">
        <f t="shared" si="51"/>
        <v>#REF!</v>
      </c>
      <c r="Y203" s="171" t="e">
        <f t="shared" si="60"/>
        <v>#REF!</v>
      </c>
      <c r="Z203" s="103" t="e">
        <f t="shared" si="61"/>
        <v>#REF!</v>
      </c>
    </row>
    <row r="204" spans="1:26" x14ac:dyDescent="0.25">
      <c r="A204" s="194" t="str">
        <f t="shared" si="56"/>
        <v>Fjerkrækød</v>
      </c>
      <c r="B204" s="194" t="str">
        <f t="shared" si="57"/>
        <v/>
      </c>
      <c r="C204" s="194">
        <f>IF(COUNTIFS('Resultater - Danmark'!$D$3:$D$482,'Resultat-Produktion &amp; forbrug'!A204,'Resultater - Danmark'!$A$3:$A$482,"Til energi")+COUNTIFS('Resultater - Danmark'!$D$3:$D$482,'Resultat-Produktion &amp; forbrug'!A204,'Resultater - Danmark'!$A$3:$A$482,"Biogasanlæg")&gt;0,1,0)</f>
        <v>0</v>
      </c>
      <c r="D204" s="194">
        <f t="shared" si="58"/>
        <v>2030</v>
      </c>
      <c r="E204" s="192" t="s">
        <v>24</v>
      </c>
      <c r="F204" s="195">
        <f>IF(E204="Vestdanmark",SUMIFS(IF(D204=År1,'Resultater - Vestdanmark'!H$3:H$482,IF(D204=År2,'Resultater - Vestdanmark'!I$3:I$482,'Resultater - Vestdanmark'!J$3:J$482)),'Resultater - Vestdanmark'!$F$3:$F$482,$A204,IF(D204=År1,'Resultater - Vestdanmark'!H$3:H$482,IF(D204=År2,'Resultater - Vestdanmark'!I$3:I$482,'Resultater - Vestdanmark'!J$3:J$482)),"&gt;0"),SUMIFS(IF(D204=År1,'Resultater - Østdanmark'!H$3:H$482,IF(D204=År2,'Resultater - Østdanmark'!I$3:I$482,'Resultater - Østdanmark'!J$3:J$482)),'Resultater - Østdanmark'!$F$3:$F$482,$A204,IF(D204=År1,'Resultater - Østdanmark'!H$3:H$482,IF(D204=År2,'Resultater - Østdanmark'!I$3:I$482,'Resultater - Østdanmark'!J$3:J$482)),"&gt;0"))</f>
        <v>0</v>
      </c>
      <c r="G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92">
        <f>IF(E204="Vestdanmark",-IF(A204="Halm",SUMIFS(IF(D204=År1,'Resultater - Vestdanmark'!H$3:H$482,IF(D204=År2,'Resultater - Vestdanmark'!I$3:I$482,'Resultater - Vestdanmark'!J$3:J$482)),'Resultater - Vestdanmark'!$F$3:$F$482,$A204,'Resultater - Vestdanmark'!H$3:H$482,"&lt;0"),0),-IF(A204="Halm",SUMIFS(IF(D204=År1,'Resultater - Østdanmark'!H$3:H$482,IF(D204=År2,'Resultater - Østdanmark'!I$3:I$482,'Resultater - Østdanmark'!J$3:J$482)),'Resultater - Østdanmark'!$F$3:$F$482,$A204,'Resultater - Østdanmark'!H$3:H$482,"&lt;0"),0))</f>
        <v>0</v>
      </c>
      <c r="I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5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7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204">
        <f t="shared" si="48"/>
        <v>-30560.118468347584</v>
      </c>
      <c r="O204" s="195">
        <f t="shared" si="59"/>
        <v>0</v>
      </c>
      <c r="P204" s="205">
        <f t="shared" si="49"/>
        <v>0</v>
      </c>
      <c r="Q204" s="192">
        <f>IFERROR(VLOOKUP(A204,[1]Energiindhold!$A$2:$C$11,3,FALSE),IFERROR(VLOOKUP(A204,[1]Biogasudbytte!$A$2:$B$18,2,FALSE)*[1]Energiindhold!$C$10,0))*O204</f>
        <v>0</v>
      </c>
      <c r="R204" s="192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92">
        <f>IFERROR(VLOOKUP(A204,[1]Biogasudbytte!$A$2:$B$18,2,FALSE)*[1]Energiindhold!$C$10,0)*J204*IFERROR(VLOOKUP(A204,Biogasanlæg!$F$3:$G$8,2,FALSE),1)</f>
        <v>0</v>
      </c>
      <c r="T204" s="193">
        <f t="shared" si="50"/>
        <v>0</v>
      </c>
      <c r="U204" s="191">
        <f>O204*IFERROR(VLOOKUP(A204,[1]Tørstofindhold!A$2:B$24,2,FALSE),0)</f>
        <v>0</v>
      </c>
      <c r="V204" s="192">
        <f>IF(D204=År1,P204,SUM(O204,P204))*IFERROR(VLOOKUP(A204,[1]Tørstofindhold!A$2:B$24,2,FALSE),0)</f>
        <v>0</v>
      </c>
      <c r="W204" s="192">
        <f>J204*IFERROR(VLOOKUP(A204,[1]Tørstofindhold!A$2:B$24,2,FALSE),0)</f>
        <v>0</v>
      </c>
      <c r="X204" s="193">
        <f t="shared" si="51"/>
        <v>0</v>
      </c>
      <c r="Y204" s="171">
        <f t="shared" si="60"/>
        <v>1</v>
      </c>
      <c r="Z204" s="103">
        <f t="shared" si="61"/>
        <v>0</v>
      </c>
    </row>
    <row r="205" spans="1:26" x14ac:dyDescent="0.25">
      <c r="A205" s="194" t="str">
        <f t="shared" si="56"/>
        <v>Frø</v>
      </c>
      <c r="B205" s="194" t="str">
        <f t="shared" si="57"/>
        <v/>
      </c>
      <c r="C205" s="194">
        <f>IF(COUNTIFS('Resultater - Danmark'!$D$3:$D$482,'Resultat-Produktion &amp; forbrug'!A205,'Resultater - Danmark'!$A$3:$A$482,"Til energi")+COUNTIFS('Resultater - Danmark'!$D$3:$D$482,'Resultat-Produktion &amp; forbrug'!A205,'Resultater - Danmark'!$A$3:$A$482,"Biogasanlæg")&gt;0,1,0)</f>
        <v>0</v>
      </c>
      <c r="D205" s="194">
        <f t="shared" si="58"/>
        <v>2030</v>
      </c>
      <c r="E205" s="192" t="s">
        <v>24</v>
      </c>
      <c r="F205" s="195">
        <f>IF(E205="Vestdanmark",SUMIFS(IF(D205=År1,'Resultater - Vestdanmark'!H$3:H$482,IF(D205=År2,'Resultater - Vestdanmark'!I$3:I$482,'Resultater - Vestdanmark'!J$3:J$482)),'Resultater - Vestdanmark'!$F$3:$F$482,$A205,IF(D205=År1,'Resultater - Vestdanmark'!H$3:H$482,IF(D205=År2,'Resultater - Vestdanmark'!I$3:I$482,'Resultater - Vestdanmark'!J$3:J$482)),"&gt;0"),SUMIFS(IF(D205=År1,'Resultater - Østdanmark'!H$3:H$482,IF(D205=År2,'Resultater - Østdanmark'!I$3:I$482,'Resultater - Østdanmark'!J$3:J$482)),'Resultater - Østdanmark'!$F$3:$F$482,$A205,IF(D205=År1,'Resultater - Østdanmark'!H$3:H$482,IF(D205=År2,'Resultater - Østdanmark'!I$3:I$482,'Resultater - Østdanmark'!J$3:J$482)),"&gt;0"))</f>
        <v>0</v>
      </c>
      <c r="G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92">
        <f>IF(E205="Vestdanmark",-IF(A205="Halm",SUMIFS(IF(D205=År1,'Resultater - Vestdanmark'!H$3:H$482,IF(D205=År2,'Resultater - Vestdanmark'!I$3:I$482,'Resultater - Vestdanmark'!J$3:J$482)),'Resultater - Vestdanmark'!$F$3:$F$482,$A205,'Resultater - Vestdanmark'!H$3:H$482,"&lt;0"),0),-IF(A205="Halm",SUMIFS(IF(D205=År1,'Resultater - Østdanmark'!H$3:H$482,IF(D205=År2,'Resultater - Østdanmark'!I$3:I$482,'Resultater - Østdanmark'!J$3:J$482)),'Resultater - Østdanmark'!$F$3:$F$482,$A205,'Resultater - Østdanmark'!H$3:H$482,"&lt;0"),0))</f>
        <v>0</v>
      </c>
      <c r="I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5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7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204">
        <f t="shared" si="48"/>
        <v>0</v>
      </c>
      <c r="O205" s="195">
        <f t="shared" si="59"/>
        <v>0</v>
      </c>
      <c r="P205" s="205">
        <f t="shared" si="49"/>
        <v>0</v>
      </c>
      <c r="Q205" s="192">
        <f>IFERROR(VLOOKUP(A205,[1]Energiindhold!$A$2:$C$11,3,FALSE),IFERROR(VLOOKUP(A205,[1]Biogasudbytte!$A$2:$B$18,2,FALSE)*[1]Energiindhold!$C$10,0))*O205</f>
        <v>0</v>
      </c>
      <c r="R205" s="192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92">
        <f>IFERROR(VLOOKUP(A205,[1]Biogasudbytte!$A$2:$B$18,2,FALSE)*[1]Energiindhold!$C$10,0)*J205*IFERROR(VLOOKUP(A205,Biogasanlæg!$F$3:$G$8,2,FALSE),1)</f>
        <v>0</v>
      </c>
      <c r="T205" s="193">
        <f t="shared" si="50"/>
        <v>0</v>
      </c>
      <c r="U205" s="191">
        <f>O205*IFERROR(VLOOKUP(A205,[1]Tørstofindhold!A$2:B$24,2,FALSE),0)</f>
        <v>0</v>
      </c>
      <c r="V205" s="192">
        <f>IF(D205=År1,P205,SUM(O205,P205))*IFERROR(VLOOKUP(A205,[1]Tørstofindhold!A$2:B$24,2,FALSE),0)</f>
        <v>0</v>
      </c>
      <c r="W205" s="192">
        <f>J205*IFERROR(VLOOKUP(A205,[1]Tørstofindhold!A$2:B$24,2,FALSE),0)</f>
        <v>0</v>
      </c>
      <c r="X205" s="193">
        <f t="shared" si="51"/>
        <v>0</v>
      </c>
      <c r="Y205" s="171">
        <f t="shared" si="60"/>
        <v>0</v>
      </c>
      <c r="Z205" s="103">
        <f t="shared" si="61"/>
        <v>0</v>
      </c>
    </row>
    <row r="206" spans="1:26" x14ac:dyDescent="0.25">
      <c r="A206" s="194" t="str">
        <f t="shared" si="56"/>
        <v>Frugt</v>
      </c>
      <c r="B206" s="194" t="str">
        <f t="shared" si="57"/>
        <v/>
      </c>
      <c r="C206" s="194">
        <f>IF(COUNTIFS('Resultater - Danmark'!$D$3:$D$482,'Resultat-Produktion &amp; forbrug'!A206,'Resultater - Danmark'!$A$3:$A$482,"Til energi")+COUNTIFS('Resultater - Danmark'!$D$3:$D$482,'Resultat-Produktion &amp; forbrug'!A206,'Resultater - Danmark'!$A$3:$A$482,"Biogasanlæg")&gt;0,1,0)</f>
        <v>0</v>
      </c>
      <c r="D206" s="194">
        <f t="shared" si="58"/>
        <v>2030</v>
      </c>
      <c r="E206" s="192" t="s">
        <v>24</v>
      </c>
      <c r="F206" s="195">
        <f>IF(E206="Vestdanmark",SUMIFS(IF(D206=År1,'Resultater - Vestdanmark'!H$3:H$482,IF(D206=År2,'Resultater - Vestdanmark'!I$3:I$482,'Resultater - Vestdanmark'!J$3:J$482)),'Resultater - Vestdanmark'!$F$3:$F$482,$A206,IF(D206=År1,'Resultater - Vestdanmark'!H$3:H$482,IF(D206=År2,'Resultater - Vestdanmark'!I$3:I$482,'Resultater - Vestdanmark'!J$3:J$482)),"&gt;0"),SUMIFS(IF(D206=År1,'Resultater - Østdanmark'!H$3:H$482,IF(D206=År2,'Resultater - Østdanmark'!I$3:I$482,'Resultater - Østdanmark'!J$3:J$482)),'Resultater - Østdanmark'!$F$3:$F$482,$A206,IF(D206=År1,'Resultater - Østdanmark'!H$3:H$482,IF(D206=År2,'Resultater - Østdanmark'!I$3:I$482,'Resultater - Østdanmark'!J$3:J$482)),"&gt;0"))</f>
        <v>0</v>
      </c>
      <c r="G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92">
        <f>IF(E206="Vestdanmark",-IF(A206="Halm",SUMIFS(IF(D206=År1,'Resultater - Vestdanmark'!H$3:H$482,IF(D206=År2,'Resultater - Vestdanmark'!I$3:I$482,'Resultater - Vestdanmark'!J$3:J$482)),'Resultater - Vestdanmark'!$F$3:$F$482,$A206,'Resultater - Vestdanmark'!H$3:H$482,"&lt;0"),0),-IF(A206="Halm",SUMIFS(IF(D206=År1,'Resultater - Østdanmark'!H$3:H$482,IF(D206=År2,'Resultater - Østdanmark'!I$3:I$482,'Resultater - Østdanmark'!J$3:J$482)),'Resultater - Østdanmark'!$F$3:$F$482,$A206,'Resultater - Østdanmark'!H$3:H$482,"&lt;0"),0))</f>
        <v>0</v>
      </c>
      <c r="I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5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7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204">
        <f t="shared" si="48"/>
        <v>-223323.94265330929</v>
      </c>
      <c r="O206" s="195">
        <f t="shared" si="59"/>
        <v>0</v>
      </c>
      <c r="P206" s="205">
        <f t="shared" si="49"/>
        <v>0</v>
      </c>
      <c r="Q206" s="192">
        <f>IFERROR(VLOOKUP(A206,[1]Energiindhold!$A$2:$C$11,3,FALSE),IFERROR(VLOOKUP(A206,[1]Biogasudbytte!$A$2:$B$18,2,FALSE)*[1]Energiindhold!$C$10,0))*O206</f>
        <v>0</v>
      </c>
      <c r="R206" s="192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92">
        <f>IFERROR(VLOOKUP(A206,[1]Biogasudbytte!$A$2:$B$18,2,FALSE)*[1]Energiindhold!$C$10,0)*J206*IFERROR(VLOOKUP(A206,Biogasanlæg!$F$3:$G$8,2,FALSE),1)</f>
        <v>0</v>
      </c>
      <c r="T206" s="193">
        <f t="shared" si="50"/>
        <v>0</v>
      </c>
      <c r="U206" s="191">
        <f>O206*IFERROR(VLOOKUP(A206,[1]Tørstofindhold!A$2:B$24,2,FALSE),0)</f>
        <v>0</v>
      </c>
      <c r="V206" s="192">
        <f>IF(D206=År1,P206,SUM(O206,P206))*IFERROR(VLOOKUP(A206,[1]Tørstofindhold!A$2:B$24,2,FALSE),0)</f>
        <v>0</v>
      </c>
      <c r="W206" s="192">
        <f>J206*IFERROR(VLOOKUP(A206,[1]Tørstofindhold!A$2:B$24,2,FALSE),0)</f>
        <v>0</v>
      </c>
      <c r="X206" s="193">
        <f t="shared" si="51"/>
        <v>0</v>
      </c>
      <c r="Y206" s="171">
        <f t="shared" si="60"/>
        <v>1</v>
      </c>
      <c r="Z206" s="103">
        <f t="shared" si="61"/>
        <v>0</v>
      </c>
    </row>
    <row r="207" spans="1:26" x14ac:dyDescent="0.25">
      <c r="A207" s="194" t="str">
        <f t="shared" si="56"/>
        <v>Glycerin</v>
      </c>
      <c r="B207" s="194" t="str">
        <f t="shared" si="57"/>
        <v>Glycerin</v>
      </c>
      <c r="C207" s="194">
        <f>IF(COUNTIFS('Resultater - Danmark'!$D$3:$D$482,'Resultat-Produktion &amp; forbrug'!A207,'Resultater - Danmark'!$A$3:$A$482,"Til energi")+COUNTIFS('Resultater - Danmark'!$D$3:$D$482,'Resultat-Produktion &amp; forbrug'!A207,'Resultater - Danmark'!$A$3:$A$482,"Biogasanlæg")&gt;0,1,0)</f>
        <v>1</v>
      </c>
      <c r="D207" s="194">
        <f t="shared" si="58"/>
        <v>2030</v>
      </c>
      <c r="E207" s="192" t="s">
        <v>24</v>
      </c>
      <c r="F207" s="195">
        <f>IF(E207="Vestdanmark",SUMIFS(IF(D207=År1,'Resultater - Vestdanmark'!H$3:H$482,IF(D207=År2,'Resultater - Vestdanmark'!I$3:I$482,'Resultater - Vestdanmark'!J$3:J$482)),'Resultater - Vestdanmark'!$F$3:$F$482,$A207,IF(D207=År1,'Resultater - Vestdanmark'!H$3:H$482,IF(D207=År2,'Resultater - Vestdanmark'!I$3:I$482,'Resultater - Vestdanmark'!J$3:J$482)),"&gt;0"),SUMIFS(IF(D207=År1,'Resultater - Østdanmark'!H$3:H$482,IF(D207=År2,'Resultater - Østdanmark'!I$3:I$482,'Resultater - Østdanmark'!J$3:J$482)),'Resultater - Østdanmark'!$F$3:$F$482,$A207,IF(D207=År1,'Resultater - Østdanmark'!H$3:H$482,IF(D207=År2,'Resultater - Østdanmark'!I$3:I$482,'Resultater - Østdanmark'!J$3:J$482)),"&gt;0"))</f>
        <v>0</v>
      </c>
      <c r="G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92">
        <f>IF(E207="Vestdanmark",-IF(A207="Halm",SUMIFS(IF(D207=År1,'Resultater - Vestdanmark'!H$3:H$482,IF(D207=År2,'Resultater - Vestdanmark'!I$3:I$482,'Resultater - Vestdanmark'!J$3:J$482)),'Resultater - Vestdanmark'!$F$3:$F$482,$A207,'Resultater - Vestdanmark'!H$3:H$482,"&lt;0"),0),-IF(A207="Halm",SUMIFS(IF(D207=År1,'Resultater - Østdanmark'!H$3:H$482,IF(D207=År2,'Resultater - Østdanmark'!I$3:I$482,'Resultater - Østdanmark'!J$3:J$482)),'Resultater - Østdanmark'!$F$3:$F$482,$A207,'Resultater - Østdanmark'!H$3:H$482,"&lt;0"),0))</f>
        <v>0</v>
      </c>
      <c r="I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5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7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204">
        <f t="shared" si="48"/>
        <v>-28548.400000000001</v>
      </c>
      <c r="O207" s="195">
        <f t="shared" si="59"/>
        <v>0</v>
      </c>
      <c r="P207" s="205">
        <f t="shared" si="49"/>
        <v>28548.400000000001</v>
      </c>
      <c r="Q207" s="192">
        <f>IFERROR(VLOOKUP(A207,[1]Energiindhold!$A$2:$C$11,3,FALSE),IFERROR(VLOOKUP(A207,[1]Biogasudbytte!$A$2:$B$18,2,FALSE)*[1]Energiindhold!$C$10,0))*O207</f>
        <v>0</v>
      </c>
      <c r="R207" s="192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92">
        <f>IFERROR(VLOOKUP(A207,[1]Biogasudbytte!$A$2:$B$18,2,FALSE)*[1]Energiindhold!$C$10,0)*J207*IFERROR(VLOOKUP(A207,Biogasanlæg!$F$3:$G$8,2,FALSE),1)</f>
        <v>0.43389639740160008</v>
      </c>
      <c r="T207" s="193">
        <f t="shared" si="50"/>
        <v>0</v>
      </c>
      <c r="U207" s="191">
        <f>O207*IFERROR(VLOOKUP(A207,[1]Tørstofindhold!A$2:B$24,2,FALSE),0)</f>
        <v>0</v>
      </c>
      <c r="V207" s="192">
        <f>IF(D207=År1,P207,SUM(O207,P207))*IFERROR(VLOOKUP(A207,[1]Tørstofindhold!A$2:B$24,2,FALSE),0)</f>
        <v>25693.56</v>
      </c>
      <c r="W207" s="192">
        <f>J207*IFERROR(VLOOKUP(A207,[1]Tørstofindhold!A$2:B$24,2,FALSE),0)</f>
        <v>25693.56</v>
      </c>
      <c r="X207" s="193">
        <f t="shared" si="51"/>
        <v>0</v>
      </c>
      <c r="Y207" s="171">
        <f t="shared" si="60"/>
        <v>1</v>
      </c>
      <c r="Z207" s="103">
        <f t="shared" si="61"/>
        <v>0</v>
      </c>
    </row>
    <row r="208" spans="1:26" x14ac:dyDescent="0.25">
      <c r="A208" s="194" t="str">
        <f t="shared" si="56"/>
        <v>Græs</v>
      </c>
      <c r="B208" s="194" t="str">
        <f t="shared" si="57"/>
        <v>Græs og urter</v>
      </c>
      <c r="C208" s="194">
        <f>IF(COUNTIFS('Resultater - Danmark'!$D$3:$D$482,'Resultat-Produktion &amp; forbrug'!A208,'Resultater - Danmark'!$A$3:$A$482,"Til energi")+COUNTIFS('Resultater - Danmark'!$D$3:$D$482,'Resultat-Produktion &amp; forbrug'!A208,'Resultater - Danmark'!$A$3:$A$482,"Biogasanlæg")&gt;0,1,0)</f>
        <v>1</v>
      </c>
      <c r="D208" s="194">
        <f t="shared" si="58"/>
        <v>2030</v>
      </c>
      <c r="E208" s="192" t="s">
        <v>24</v>
      </c>
      <c r="F208" s="195">
        <f>IF(E208="Vestdanmark",SUMIFS(IF(D208=År1,'Resultater - Vestdanmark'!H$3:H$482,IF(D208=År2,'Resultater - Vestdanmark'!I$3:I$482,'Resultater - Vestdanmark'!J$3:J$482)),'Resultater - Vestdanmark'!$F$3:$F$482,$A208,IF(D208=År1,'Resultater - Vestdanmark'!H$3:H$482,IF(D208=År2,'Resultater - Vestdanmark'!I$3:I$482,'Resultater - Vestdanmark'!J$3:J$482)),"&gt;0"),SUMIFS(IF(D208=År1,'Resultater - Østdanmark'!H$3:H$482,IF(D208=År2,'Resultater - Østdanmark'!I$3:I$482,'Resultater - Østdanmark'!J$3:J$482)),'Resultater - Østdanmark'!$F$3:$F$482,$A208,IF(D208=År1,'Resultater - Østdanmark'!H$3:H$482,IF(D208=År2,'Resultater - Østdanmark'!I$3:I$482,'Resultater - Østdanmark'!J$3:J$482)),"&gt;0"))</f>
        <v>0</v>
      </c>
      <c r="G208" s="195" t="e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#REF!</v>
      </c>
      <c r="H208" s="192">
        <f>IF(E208="Vestdanmark",-IF(A208="Halm",SUMIFS(IF(D208=År1,'Resultater - Vestdanmark'!H$3:H$482,IF(D208=År2,'Resultater - Vestdanmark'!I$3:I$482,'Resultater - Vestdanmark'!J$3:J$482)),'Resultater - Vestdanmark'!$F$3:$F$482,$A208,'Resultater - Vestdanmark'!H$3:H$482,"&lt;0"),0),-IF(A208="Halm",SUMIFS(IF(D208=År1,'Resultater - Østdanmark'!H$3:H$482,IF(D208=År2,'Resultater - Østdanmark'!I$3:I$482,'Resultater - Østdanmark'!J$3:J$482)),'Resultater - Østdanmark'!$F$3:$F$482,$A208,'Resultater - Østdanmark'!H$3:H$482,"&lt;0"),0))</f>
        <v>0</v>
      </c>
      <c r="I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5" t="e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#REF!</v>
      </c>
      <c r="K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5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7" t="e">
        <f>SUMIFS('Forbrug af biomasse'!E:E,'Forbrug af biomasse'!C:C,'Resultat-Produktion &amp; forbrug'!$A208,'Forbrug af biomasse'!D:D,'Resultat-Produktion &amp; forbrug'!$D208,'Forbrug af biomasse'!G:G,1,'Forbrug af biomasse'!B:B,$E208)</f>
        <v>#REF!</v>
      </c>
      <c r="N208" s="204" t="e">
        <f t="shared" si="48"/>
        <v>#REF!</v>
      </c>
      <c r="O208" s="195" t="e">
        <f t="shared" si="59"/>
        <v>#REF!</v>
      </c>
      <c r="P208" s="205" t="e">
        <f t="shared" si="49"/>
        <v>#REF!</v>
      </c>
      <c r="Q208" s="192" t="e">
        <f>IFERROR(VLOOKUP(A208,[1]Energiindhold!$A$2:$C$11,3,FALSE),IFERROR(VLOOKUP(A208,[1]Biogasudbytte!$A$2:$B$18,2,FALSE)*[1]Energiindhold!$C$10,0))*O208</f>
        <v>#REF!</v>
      </c>
      <c r="R208" s="192" t="e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#REF!</v>
      </c>
      <c r="S208" s="192" t="e">
        <f>IFERROR(VLOOKUP(A208,[1]Biogasudbytte!$A$2:$B$18,2,FALSE)*[1]Energiindhold!$C$10,0)*J208*IFERROR(VLOOKUP(A208,Biogasanlæg!$F$3:$G$8,2,FALSE),1)</f>
        <v>#REF!</v>
      </c>
      <c r="T208" s="193" t="e">
        <f t="shared" si="50"/>
        <v>#REF!</v>
      </c>
      <c r="U208" s="191" t="e">
        <f>O208*IFERROR(VLOOKUP(A208,[1]Tørstofindhold!A$2:B$24,2,FALSE),0)</f>
        <v>#REF!</v>
      </c>
      <c r="V208" s="192" t="e">
        <f>IF(D208=År1,P208,SUM(O208,P208))*IFERROR(VLOOKUP(A208,[1]Tørstofindhold!A$2:B$24,2,FALSE),0)</f>
        <v>#REF!</v>
      </c>
      <c r="W208" s="192" t="e">
        <f>J208*IFERROR(VLOOKUP(A208,[1]Tørstofindhold!A$2:B$24,2,FALSE),0)</f>
        <v>#REF!</v>
      </c>
      <c r="X208" s="193" t="e">
        <f t="shared" si="51"/>
        <v>#REF!</v>
      </c>
      <c r="Y208" s="171" t="e">
        <f t="shared" si="60"/>
        <v>#REF!</v>
      </c>
      <c r="Z208" s="103" t="e">
        <f t="shared" si="61"/>
        <v>#REF!</v>
      </c>
    </row>
    <row r="209" spans="1:26" x14ac:dyDescent="0.25">
      <c r="A209" s="194" t="str">
        <f t="shared" si="56"/>
        <v>Græsprotein</v>
      </c>
      <c r="B209" s="194" t="str">
        <f t="shared" si="57"/>
        <v/>
      </c>
      <c r="C209" s="194">
        <f>IF(COUNTIFS('Resultater - Danmark'!$D$3:$D$482,'Resultat-Produktion &amp; forbrug'!A209,'Resultater - Danmark'!$A$3:$A$482,"Til energi")+COUNTIFS('Resultater - Danmark'!$D$3:$D$482,'Resultat-Produktion &amp; forbrug'!A209,'Resultater - Danmark'!$A$3:$A$482,"Biogasanlæg")&gt;0,1,0)</f>
        <v>0</v>
      </c>
      <c r="D209" s="194">
        <f t="shared" si="58"/>
        <v>2030</v>
      </c>
      <c r="E209" s="192" t="s">
        <v>24</v>
      </c>
      <c r="F209" s="195">
        <f>IF(E209="Vestdanmark",SUMIFS(IF(D209=År1,'Resultater - Vestdanmark'!H$3:H$482,IF(D209=År2,'Resultater - Vestdanmark'!I$3:I$482,'Resultater - Vestdanmark'!J$3:J$482)),'Resultater - Vestdanmark'!$F$3:$F$482,$A209,IF(D209=År1,'Resultater - Vestdanmark'!H$3:H$482,IF(D209=År2,'Resultater - Vestdanmark'!I$3:I$482,'Resultater - Vestdanmark'!J$3:J$482)),"&gt;0"),SUMIFS(IF(D209=År1,'Resultater - Østdanmark'!H$3:H$482,IF(D209=År2,'Resultater - Østdanmark'!I$3:I$482,'Resultater - Østdanmark'!J$3:J$482)),'Resultater - Østdanmark'!$F$3:$F$482,$A209,IF(D209=År1,'Resultater - Østdanmark'!H$3:H$482,IF(D209=År2,'Resultater - Østdanmark'!I$3:I$482,'Resultater - Østdanmark'!J$3:J$482)),"&gt;0"))</f>
        <v>0</v>
      </c>
      <c r="G209" s="195" t="e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#REF!</v>
      </c>
      <c r="H209" s="192">
        <f>IF(E209="Vestdanmark",-IF(A209="Halm",SUMIFS(IF(D209=År1,'Resultater - Vestdanmark'!H$3:H$482,IF(D209=År2,'Resultater - Vestdanmark'!I$3:I$482,'Resultater - Vestdanmark'!J$3:J$482)),'Resultater - Vestdanmark'!$F$3:$F$482,$A209,'Resultater - Vestdanmark'!H$3:H$482,"&lt;0"),0),-IF(A209="Halm",SUMIFS(IF(D209=År1,'Resultater - Østdanmark'!H$3:H$482,IF(D209=År2,'Resultater - Østdanmark'!I$3:I$482,'Resultater - Østdanmark'!J$3:J$482)),'Resultater - Østdanmark'!$F$3:$F$482,$A209,'Resultater - Østdanmark'!H$3:H$482,"&lt;0"),0))</f>
        <v>0</v>
      </c>
      <c r="I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5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7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204" t="e">
        <f t="shared" si="48"/>
        <v>#REF!</v>
      </c>
      <c r="O209" s="195">
        <f t="shared" si="59"/>
        <v>0</v>
      </c>
      <c r="P209" s="205">
        <f t="shared" si="49"/>
        <v>0</v>
      </c>
      <c r="Q209" s="192">
        <f>IFERROR(VLOOKUP(A209,[1]Energiindhold!$A$2:$C$11,3,FALSE),IFERROR(VLOOKUP(A209,[1]Biogasudbytte!$A$2:$B$18,2,FALSE)*[1]Energiindhold!$C$10,0))*O209</f>
        <v>0</v>
      </c>
      <c r="R209" s="192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92">
        <f>IFERROR(VLOOKUP(A209,[1]Biogasudbytte!$A$2:$B$18,2,FALSE)*[1]Energiindhold!$C$10,0)*J209*IFERROR(VLOOKUP(A209,Biogasanlæg!$F$3:$G$8,2,FALSE),1)</f>
        <v>0</v>
      </c>
      <c r="T209" s="193">
        <f t="shared" si="50"/>
        <v>0</v>
      </c>
      <c r="U209" s="191">
        <f>O209*IFERROR(VLOOKUP(A209,[1]Tørstofindhold!A$2:B$24,2,FALSE),0)</f>
        <v>0</v>
      </c>
      <c r="V209" s="192">
        <f>IF(D209=År1,P209,SUM(O209,P209))*IFERROR(VLOOKUP(A209,[1]Tørstofindhold!A$2:B$24,2,FALSE),0)</f>
        <v>0</v>
      </c>
      <c r="W209" s="192">
        <f>J209*IFERROR(VLOOKUP(A209,[1]Tørstofindhold!A$2:B$24,2,FALSE),0)</f>
        <v>0</v>
      </c>
      <c r="X209" s="193">
        <f t="shared" si="51"/>
        <v>0</v>
      </c>
      <c r="Y209" s="171" t="e">
        <f t="shared" si="60"/>
        <v>#REF!</v>
      </c>
      <c r="Z209" s="103" t="e">
        <f t="shared" si="61"/>
        <v>#REF!</v>
      </c>
    </row>
    <row r="210" spans="1:26" x14ac:dyDescent="0.25">
      <c r="A210" s="194" t="str">
        <f t="shared" si="56"/>
        <v>Grøntsager</v>
      </c>
      <c r="B210" s="194" t="str">
        <f t="shared" si="57"/>
        <v/>
      </c>
      <c r="C210" s="194">
        <f>IF(COUNTIFS('Resultater - Danmark'!$D$3:$D$482,'Resultat-Produktion &amp; forbrug'!A210,'Resultater - Danmark'!$A$3:$A$482,"Til energi")+COUNTIFS('Resultater - Danmark'!$D$3:$D$482,'Resultat-Produktion &amp; forbrug'!A210,'Resultater - Danmark'!$A$3:$A$482,"Biogasanlæg")&gt;0,1,0)</f>
        <v>0</v>
      </c>
      <c r="D210" s="194">
        <f t="shared" si="58"/>
        <v>2030</v>
      </c>
      <c r="E210" s="192" t="s">
        <v>24</v>
      </c>
      <c r="F210" s="195">
        <f>IF(E210="Vestdanmark",SUMIFS(IF(D210=År1,'Resultater - Vestdanmark'!H$3:H$482,IF(D210=År2,'Resultater - Vestdanmark'!I$3:I$482,'Resultater - Vestdanmark'!J$3:J$482)),'Resultater - Vestdanmark'!$F$3:$F$482,$A210,IF(D210=År1,'Resultater - Vestdanmark'!H$3:H$482,IF(D210=År2,'Resultater - Vestdanmark'!I$3:I$482,'Resultater - Vestdanmark'!J$3:J$482)),"&gt;0"),SUMIFS(IF(D210=År1,'Resultater - Østdanmark'!H$3:H$482,IF(D210=År2,'Resultater - Østdanmark'!I$3:I$482,'Resultater - Østdanmark'!J$3:J$482)),'Resultater - Østdanmark'!$F$3:$F$482,$A210,IF(D210=År1,'Resultater - Østdanmark'!H$3:H$482,IF(D210=År2,'Resultater - Østdanmark'!I$3:I$482,'Resultater - Østdanmark'!J$3:J$482)),"&gt;0"))</f>
        <v>0</v>
      </c>
      <c r="G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92">
        <f>IF(E210="Vestdanmark",-IF(A210="Halm",SUMIFS(IF(D210=År1,'Resultater - Vestdanmark'!H$3:H$482,IF(D210=År2,'Resultater - Vestdanmark'!I$3:I$482,'Resultater - Vestdanmark'!J$3:J$482)),'Resultater - Vestdanmark'!$F$3:$F$482,$A210,'Resultater - Vestdanmark'!H$3:H$482,"&lt;0"),0),-IF(A210="Halm",SUMIFS(IF(D210=År1,'Resultater - Østdanmark'!H$3:H$482,IF(D210=År2,'Resultater - Østdanmark'!I$3:I$482,'Resultater - Østdanmark'!J$3:J$482)),'Resultater - Østdanmark'!$F$3:$F$482,$A210,'Resultater - Østdanmark'!H$3:H$482,"&lt;0"),0))</f>
        <v>0</v>
      </c>
      <c r="I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5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7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204">
        <f t="shared" si="48"/>
        <v>-233902.44520004498</v>
      </c>
      <c r="O210" s="195">
        <f t="shared" si="59"/>
        <v>0</v>
      </c>
      <c r="P210" s="205">
        <f t="shared" si="49"/>
        <v>0</v>
      </c>
      <c r="Q210" s="192">
        <f>IFERROR(VLOOKUP(A210,[1]Energiindhold!$A$2:$C$11,3,FALSE),IFERROR(VLOOKUP(A210,[1]Biogasudbytte!$A$2:$B$18,2,FALSE)*[1]Energiindhold!$C$10,0))*O210</f>
        <v>0</v>
      </c>
      <c r="R210" s="192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92">
        <f>IFERROR(VLOOKUP(A210,[1]Biogasudbytte!$A$2:$B$18,2,FALSE)*[1]Energiindhold!$C$10,0)*J210*IFERROR(VLOOKUP(A210,Biogasanlæg!$F$3:$G$8,2,FALSE),1)</f>
        <v>0</v>
      </c>
      <c r="T210" s="193">
        <f t="shared" si="50"/>
        <v>0</v>
      </c>
      <c r="U210" s="191">
        <f>O210*IFERROR(VLOOKUP(A210,[1]Tørstofindhold!A$2:B$24,2,FALSE),0)</f>
        <v>0</v>
      </c>
      <c r="V210" s="192">
        <f>IF(D210=År1,P210,SUM(O210,P210))*IFERROR(VLOOKUP(A210,[1]Tørstofindhold!A$2:B$24,2,FALSE),0)</f>
        <v>0</v>
      </c>
      <c r="W210" s="192">
        <f>J210*IFERROR(VLOOKUP(A210,[1]Tørstofindhold!A$2:B$24,2,FALSE),0)</f>
        <v>0</v>
      </c>
      <c r="X210" s="193">
        <f t="shared" si="51"/>
        <v>0</v>
      </c>
      <c r="Y210" s="171">
        <f t="shared" si="60"/>
        <v>1</v>
      </c>
      <c r="Z210" s="103">
        <f t="shared" si="61"/>
        <v>0</v>
      </c>
    </row>
    <row r="211" spans="1:26" x14ac:dyDescent="0.25">
      <c r="A211" s="194" t="str">
        <f t="shared" si="56"/>
        <v>Halm</v>
      </c>
      <c r="B211" s="194" t="str">
        <f t="shared" si="57"/>
        <v>Halm og strå</v>
      </c>
      <c r="C211" s="194">
        <f>IF(COUNTIFS('Resultater - Danmark'!$D$3:$D$482,'Resultat-Produktion &amp; forbrug'!A211,'Resultater - Danmark'!$A$3:$A$482,"Til energi")+COUNTIFS('Resultater - Danmark'!$D$3:$D$482,'Resultat-Produktion &amp; forbrug'!A211,'Resultater - Danmark'!$A$3:$A$482,"Biogasanlæg")&gt;0,1,0)</f>
        <v>1</v>
      </c>
      <c r="D211" s="194">
        <f t="shared" si="58"/>
        <v>2030</v>
      </c>
      <c r="E211" s="192" t="s">
        <v>24</v>
      </c>
      <c r="F211" s="195">
        <f>IF(E211="Vestdanmark",SUMIFS(IF(D211=År1,'Resultater - Vestdanmark'!H$3:H$482,IF(D211=År2,'Resultater - Vestdanmark'!I$3:I$482,'Resultater - Vestdanmark'!J$3:J$482)),'Resultater - Vestdanmark'!$F$3:$F$482,$A211,IF(D211=År1,'Resultater - Vestdanmark'!H$3:H$482,IF(D211=År2,'Resultater - Vestdanmark'!I$3:I$482,'Resultater - Vestdanmark'!J$3:J$482)),"&gt;0"),SUMIFS(IF(D211=År1,'Resultater - Østdanmark'!H$3:H$482,IF(D211=År2,'Resultater - Østdanmark'!I$3:I$482,'Resultater - Østdanmark'!J$3:J$482)),'Resultater - Østdanmark'!$F$3:$F$482,$A211,IF(D211=År1,'Resultater - Østdanmark'!H$3:H$482,IF(D211=År2,'Resultater - Østdanmark'!I$3:I$482,'Resultater - Østdanmark'!J$3:J$482)),"&gt;0"))</f>
        <v>0</v>
      </c>
      <c r="G211" s="195" t="e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#REF!</v>
      </c>
      <c r="H211" s="192">
        <f>IF(E211="Vestdanmark",-IF(A211="Halm",SUMIFS(IF(D211=År1,'Resultater - Vestdanmark'!H$3:H$482,IF(D211=År2,'Resultater - Vestdanmark'!I$3:I$482,'Resultater - Vestdanmark'!J$3:J$482)),'Resultater - Vestdanmark'!$F$3:$F$482,$A211,'Resultater - Vestdanmark'!H$3:H$482,"&lt;0"),0),-IF(A211="Halm",SUMIFS(IF(D211=År1,'Resultater - Østdanmark'!H$3:H$482,IF(D211=År2,'Resultater - Østdanmark'!I$3:I$482,'Resultater - Østdanmark'!J$3:J$482)),'Resultater - Østdanmark'!$F$3:$F$482,$A211,'Resultater - Østdanmark'!H$3:H$482,"&lt;0"),0))</f>
        <v>0</v>
      </c>
      <c r="I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5" t="e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#REF!</v>
      </c>
      <c r="K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5" t="e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#REF!</v>
      </c>
      <c r="M211" s="157" t="e">
        <f>SUMIFS('Forbrug af biomasse'!E:E,'Forbrug af biomasse'!C:C,'Resultat-Produktion &amp; forbrug'!$A211,'Forbrug af biomasse'!D:D,'Resultat-Produktion &amp; forbrug'!$D211,'Forbrug af biomasse'!G:G,1,'Forbrug af biomasse'!B:B,$E211)</f>
        <v>#REF!</v>
      </c>
      <c r="N211" s="204" t="e">
        <f t="shared" si="48"/>
        <v>#REF!</v>
      </c>
      <c r="O211" s="195" t="e">
        <f t="shared" si="59"/>
        <v>#REF!</v>
      </c>
      <c r="P211" s="205" t="e">
        <f t="shared" si="49"/>
        <v>#REF!</v>
      </c>
      <c r="Q211" s="192" t="e">
        <f>IFERROR(VLOOKUP(A211,[1]Energiindhold!$A$2:$C$11,3,FALSE),IFERROR(VLOOKUP(A211,[1]Biogasudbytte!$A$2:$B$18,2,FALSE)*[1]Energiindhold!$C$10,0))*O211</f>
        <v>#REF!</v>
      </c>
      <c r="R211" s="192" t="e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#REF!</v>
      </c>
      <c r="S211" s="192" t="e">
        <f>IFERROR(VLOOKUP(A211,[1]Biogasudbytte!$A$2:$B$18,2,FALSE)*[1]Energiindhold!$C$10,0)*J211*IFERROR(VLOOKUP(A211,Biogasanlæg!$F$3:$G$8,2,FALSE),1)</f>
        <v>#REF!</v>
      </c>
      <c r="T211" s="193" t="e">
        <f t="shared" si="50"/>
        <v>#REF!</v>
      </c>
      <c r="U211" s="191" t="e">
        <f>O211*IFERROR(VLOOKUP(A211,[1]Tørstofindhold!A$2:B$24,2,FALSE),0)</f>
        <v>#REF!</v>
      </c>
      <c r="V211" s="192" t="e">
        <f>IF(D211=År1,P211,SUM(O211,P211))*IFERROR(VLOOKUP(A211,[1]Tørstofindhold!A$2:B$24,2,FALSE),0)</f>
        <v>#REF!</v>
      </c>
      <c r="W211" s="192" t="e">
        <f>J211*IFERROR(VLOOKUP(A211,[1]Tørstofindhold!A$2:B$24,2,FALSE),0)</f>
        <v>#REF!</v>
      </c>
      <c r="X211" s="193" t="e">
        <f t="shared" si="51"/>
        <v>#REF!</v>
      </c>
      <c r="Y211" s="171" t="e">
        <f t="shared" si="60"/>
        <v>#REF!</v>
      </c>
      <c r="Z211" s="103" t="e">
        <f t="shared" si="61"/>
        <v>#REF!</v>
      </c>
    </row>
    <row r="212" spans="1:26" x14ac:dyDescent="0.25">
      <c r="A212" s="194" t="str">
        <f t="shared" si="56"/>
        <v>Have/parkaffald</v>
      </c>
      <c r="B212" s="194" t="str">
        <f t="shared" si="57"/>
        <v>Bionedbrydeligt affald</v>
      </c>
      <c r="C212" s="194">
        <f>IF(COUNTIFS('Resultater - Danmark'!$D$3:$D$482,'Resultat-Produktion &amp; forbrug'!A212,'Resultater - Danmark'!$A$3:$A$482,"Til energi")+COUNTIFS('Resultater - Danmark'!$D$3:$D$482,'Resultat-Produktion &amp; forbrug'!A212,'Resultater - Danmark'!$A$3:$A$482,"Biogasanlæg")&gt;0,1,0)</f>
        <v>1</v>
      </c>
      <c r="D212" s="194">
        <f t="shared" si="58"/>
        <v>2030</v>
      </c>
      <c r="E212" s="192" t="s">
        <v>24</v>
      </c>
      <c r="F212" s="195">
        <f>IF(E212="Vestdanmark",SUMIFS(IF(D212=År1,'Resultater - Vestdanmark'!H$3:H$482,IF(D212=År2,'Resultater - Vestdanmark'!I$3:I$482,'Resultater - Vestdanmark'!J$3:J$482)),'Resultater - Vestdanmark'!$F$3:$F$482,$A212,IF(D212=År1,'Resultater - Vestdanmark'!H$3:H$482,IF(D212=År2,'Resultater - Vestdanmark'!I$3:I$482,'Resultater - Vestdanmark'!J$3:J$482)),"&gt;0"),SUMIFS(IF(D212=År1,'Resultater - Østdanmark'!H$3:H$482,IF(D212=År2,'Resultater - Østdanmark'!I$3:I$482,'Resultater - Østdanmark'!J$3:J$482)),'Resultater - Østdanmark'!$F$3:$F$482,$A212,IF(D212=År1,'Resultater - Østdanmark'!H$3:H$482,IF(D212=År2,'Resultater - Østdanmark'!I$3:I$482,'Resultater - Østdanmark'!J$3:J$482)),"&gt;0"))</f>
        <v>0</v>
      </c>
      <c r="G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92">
        <f>IF(E212="Vestdanmark",-IF(A212="Halm",SUMIFS(IF(D212=År1,'Resultater - Vestdanmark'!H$3:H$482,IF(D212=År2,'Resultater - Vestdanmark'!I$3:I$482,'Resultater - Vestdanmark'!J$3:J$482)),'Resultater - Vestdanmark'!$F$3:$F$482,$A212,'Resultater - Vestdanmark'!H$3:H$482,"&lt;0"),0),-IF(A212="Halm",SUMIFS(IF(D212=År1,'Resultater - Østdanmark'!H$3:H$482,IF(D212=År2,'Resultater - Østdanmark'!I$3:I$482,'Resultater - Østdanmark'!J$3:J$482)),'Resultater - Østdanmark'!$F$3:$F$482,$A212,'Resultater - Østdanmark'!H$3:H$482,"&lt;0"),0))</f>
        <v>0</v>
      </c>
      <c r="I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5" t="e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#REF!</v>
      </c>
      <c r="K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5" t="e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#REF!</v>
      </c>
      <c r="M212" s="157" t="e">
        <f>SUMIFS('Forbrug af biomasse'!E:E,'Forbrug af biomasse'!C:C,'Resultat-Produktion &amp; forbrug'!$A212,'Forbrug af biomasse'!D:D,'Resultat-Produktion &amp; forbrug'!$D212,'Forbrug af biomasse'!G:G,1,'Forbrug af biomasse'!B:B,$E212)</f>
        <v>#REF!</v>
      </c>
      <c r="N212" s="204" t="e">
        <f t="shared" si="48"/>
        <v>#REF!</v>
      </c>
      <c r="O212" s="195" t="e">
        <f t="shared" si="59"/>
        <v>#REF!</v>
      </c>
      <c r="P212" s="205" t="e">
        <f t="shared" si="49"/>
        <v>#REF!</v>
      </c>
      <c r="Q212" s="192" t="e">
        <f>IFERROR(VLOOKUP(A212,[1]Energiindhold!$A$2:$C$11,3,FALSE),IFERROR(VLOOKUP(A212,[1]Biogasudbytte!$A$2:$B$18,2,FALSE)*[1]Energiindhold!$C$10,0))*O212</f>
        <v>#REF!</v>
      </c>
      <c r="R212" s="192" t="e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#REF!</v>
      </c>
      <c r="S212" s="192" t="e">
        <f>IFERROR(VLOOKUP(A212,[1]Biogasudbytte!$A$2:$B$18,2,FALSE)*[1]Energiindhold!$C$10,0)*J212*IFERROR(VLOOKUP(A212,Biogasanlæg!$F$3:$G$8,2,FALSE),1)</f>
        <v>#REF!</v>
      </c>
      <c r="T212" s="193" t="e">
        <f t="shared" si="50"/>
        <v>#REF!</v>
      </c>
      <c r="U212" s="191" t="e">
        <f>O212*IFERROR(VLOOKUP(A212,[1]Tørstofindhold!A$2:B$24,2,FALSE),0)</f>
        <v>#REF!</v>
      </c>
      <c r="V212" s="192" t="e">
        <f>IF(D212=År1,P212,SUM(O212,P212))*IFERROR(VLOOKUP(A212,[1]Tørstofindhold!A$2:B$24,2,FALSE),0)</f>
        <v>#REF!</v>
      </c>
      <c r="W212" s="192" t="e">
        <f>J212*IFERROR(VLOOKUP(A212,[1]Tørstofindhold!A$2:B$24,2,FALSE),0)</f>
        <v>#REF!</v>
      </c>
      <c r="X212" s="193" t="e">
        <f t="shared" si="51"/>
        <v>#REF!</v>
      </c>
      <c r="Y212" s="171" t="e">
        <f t="shared" si="60"/>
        <v>#REF!</v>
      </c>
      <c r="Z212" s="103" t="e">
        <f t="shared" si="61"/>
        <v>#REF!</v>
      </c>
    </row>
    <row r="213" spans="1:26" x14ac:dyDescent="0.25">
      <c r="A213" s="194" t="str">
        <f t="shared" si="56"/>
        <v>Import af foder</v>
      </c>
      <c r="B213" s="194" t="str">
        <f t="shared" si="57"/>
        <v/>
      </c>
      <c r="C213" s="194">
        <f>IF(COUNTIFS('Resultater - Danmark'!$D$3:$D$482,'Resultat-Produktion &amp; forbrug'!A213,'Resultater - Danmark'!$A$3:$A$482,"Til energi")+COUNTIFS('Resultater - Danmark'!$D$3:$D$482,'Resultat-Produktion &amp; forbrug'!A213,'Resultater - Danmark'!$A$3:$A$482,"Biogasanlæg")&gt;0,1,0)</f>
        <v>0</v>
      </c>
      <c r="D213" s="194">
        <f t="shared" si="58"/>
        <v>2030</v>
      </c>
      <c r="E213" s="192" t="s">
        <v>24</v>
      </c>
      <c r="F213" s="195">
        <f>IF(E213="Vestdanmark",SUMIFS(IF(D213=År1,'Resultater - Vestdanmark'!H$3:H$482,IF(D213=År2,'Resultater - Vestdanmark'!I$3:I$482,'Resultater - Vestdanmark'!J$3:J$482)),'Resultater - Vestdanmark'!$F$3:$F$482,$A213,IF(D213=År1,'Resultater - Vestdanmark'!H$3:H$482,IF(D213=År2,'Resultater - Vestdanmark'!I$3:I$482,'Resultater - Vestdanmark'!J$3:J$482)),"&gt;0"),SUMIFS(IF(D213=År1,'Resultater - Østdanmark'!H$3:H$482,IF(D213=År2,'Resultater - Østdanmark'!I$3:I$482,'Resultater - Østdanmark'!J$3:J$482)),'Resultater - Østdanmark'!$F$3:$F$482,$A213,IF(D213=År1,'Resultater - Østdanmark'!H$3:H$482,IF(D213=År2,'Resultater - Østdanmark'!I$3:I$482,'Resultater - Østdanmark'!J$3:J$482)),"&gt;0"))</f>
        <v>0</v>
      </c>
      <c r="G213" s="195" t="e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#REF!</v>
      </c>
      <c r="H213" s="192">
        <f>IF(E213="Vestdanmark",-IF(A213="Halm",SUMIFS(IF(D213=År1,'Resultater - Vestdanmark'!H$3:H$482,IF(D213=År2,'Resultater - Vestdanmark'!I$3:I$482,'Resultater - Vestdanmark'!J$3:J$482)),'Resultater - Vestdanmark'!$F$3:$F$482,$A213,'Resultater - Vestdanmark'!H$3:H$482,"&lt;0"),0),-IF(A213="Halm",SUMIFS(IF(D213=År1,'Resultater - Østdanmark'!H$3:H$482,IF(D213=År2,'Resultater - Østdanmark'!I$3:I$482,'Resultater - Østdanmark'!J$3:J$482)),'Resultater - Østdanmark'!$F$3:$F$482,$A213,'Resultater - Østdanmark'!H$3:H$482,"&lt;0"),0))</f>
        <v>0</v>
      </c>
      <c r="I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5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7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204" t="e">
        <f t="shared" si="48"/>
        <v>#REF!</v>
      </c>
      <c r="O213" s="195">
        <f t="shared" si="59"/>
        <v>0</v>
      </c>
      <c r="P213" s="205">
        <f t="shared" si="49"/>
        <v>0</v>
      </c>
      <c r="Q213" s="192">
        <f>IFERROR(VLOOKUP(A213,[1]Energiindhold!$A$2:$C$11,3,FALSE),IFERROR(VLOOKUP(A213,[1]Biogasudbytte!$A$2:$B$18,2,FALSE)*[1]Energiindhold!$C$10,0))*O213</f>
        <v>0</v>
      </c>
      <c r="R213" s="192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92">
        <f>IFERROR(VLOOKUP(A213,[1]Biogasudbytte!$A$2:$B$18,2,FALSE)*[1]Energiindhold!$C$10,0)*J213*IFERROR(VLOOKUP(A213,Biogasanlæg!$F$3:$G$8,2,FALSE),1)</f>
        <v>0</v>
      </c>
      <c r="T213" s="193">
        <f t="shared" si="50"/>
        <v>0</v>
      </c>
      <c r="U213" s="191">
        <f>O213*IFERROR(VLOOKUP(A213,[1]Tørstofindhold!A$2:B$24,2,FALSE),0)</f>
        <v>0</v>
      </c>
      <c r="V213" s="192">
        <f>IF(D213=År1,P213,SUM(O213,P213))*IFERROR(VLOOKUP(A213,[1]Tørstofindhold!A$2:B$24,2,FALSE),0)</f>
        <v>0</v>
      </c>
      <c r="W213" s="192">
        <f>J213*IFERROR(VLOOKUP(A213,[1]Tørstofindhold!A$2:B$24,2,FALSE),0)</f>
        <v>0</v>
      </c>
      <c r="X213" s="193">
        <f t="shared" si="51"/>
        <v>0</v>
      </c>
      <c r="Y213" s="171" t="e">
        <f t="shared" si="60"/>
        <v>#REF!</v>
      </c>
      <c r="Z213" s="103" t="e">
        <f t="shared" si="61"/>
        <v>#REF!</v>
      </c>
    </row>
    <row r="214" spans="1:26" x14ac:dyDescent="0.25">
      <c r="A214" s="194" t="str">
        <f t="shared" si="56"/>
        <v>Industriaffald</v>
      </c>
      <c r="B214" s="194" t="str">
        <f t="shared" si="57"/>
        <v>Bionedbrydeligt affald</v>
      </c>
      <c r="C214" s="194">
        <f>IF(COUNTIFS('Resultater - Danmark'!$D$3:$D$482,'Resultat-Produktion &amp; forbrug'!A214,'Resultater - Danmark'!$A$3:$A$482,"Til energi")+COUNTIFS('Resultater - Danmark'!$D$3:$D$482,'Resultat-Produktion &amp; forbrug'!A214,'Resultater - Danmark'!$A$3:$A$482,"Biogasanlæg")&gt;0,1,0)</f>
        <v>1</v>
      </c>
      <c r="D214" s="194">
        <f t="shared" si="58"/>
        <v>2030</v>
      </c>
      <c r="E214" s="192" t="s">
        <v>24</v>
      </c>
      <c r="F214" s="195">
        <f>IF(E214="Vestdanmark",SUMIFS(IF(D214=År1,'Resultater - Vestdanmark'!H$3:H$482,IF(D214=År2,'Resultater - Vestdanmark'!I$3:I$482,'Resultater - Vestdanmark'!J$3:J$482)),'Resultater - Vestdanmark'!$F$3:$F$482,$A214,IF(D214=År1,'Resultater - Vestdanmark'!H$3:H$482,IF(D214=År2,'Resultater - Vestdanmark'!I$3:I$482,'Resultater - Vestdanmark'!J$3:J$482)),"&gt;0"),SUMIFS(IF(D214=År1,'Resultater - Østdanmark'!H$3:H$482,IF(D214=År2,'Resultater - Østdanmark'!I$3:I$482,'Resultater - Østdanmark'!J$3:J$482)),'Resultater - Østdanmark'!$F$3:$F$482,$A214,IF(D214=År1,'Resultater - Østdanmark'!H$3:H$482,IF(D214=År2,'Resultater - Østdanmark'!I$3:I$482,'Resultater - Østdanmark'!J$3:J$482)),"&gt;0"))</f>
        <v>0</v>
      </c>
      <c r="G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92">
        <f>IF(E214="Vestdanmark",-IF(A214="Halm",SUMIFS(IF(D214=År1,'Resultater - Vestdanmark'!H$3:H$482,IF(D214=År2,'Resultater - Vestdanmark'!I$3:I$482,'Resultater - Vestdanmark'!J$3:J$482)),'Resultater - Vestdanmark'!$F$3:$F$482,$A214,'Resultater - Vestdanmark'!H$3:H$482,"&lt;0"),0),-IF(A214="Halm",SUMIFS(IF(D214=År1,'Resultater - Østdanmark'!H$3:H$482,IF(D214=År2,'Resultater - Østdanmark'!I$3:I$482,'Resultater - Østdanmark'!J$3:J$482)),'Resultater - Østdanmark'!$F$3:$F$482,$A214,'Resultater - Østdanmark'!H$3:H$482,"&lt;0"),0))</f>
        <v>0</v>
      </c>
      <c r="I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5" t="e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#REF!</v>
      </c>
      <c r="K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5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7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204" t="e">
        <f t="shared" si="48"/>
        <v>#REF!</v>
      </c>
      <c r="O214" s="195" t="e">
        <f t="shared" si="59"/>
        <v>#REF!</v>
      </c>
      <c r="P214" s="205" t="e">
        <f t="shared" si="49"/>
        <v>#REF!</v>
      </c>
      <c r="Q214" s="192" t="e">
        <f>IFERROR(VLOOKUP(A214,[1]Energiindhold!$A$2:$C$11,3,FALSE),IFERROR(VLOOKUP(A214,[1]Biogasudbytte!$A$2:$B$18,2,FALSE)*[1]Energiindhold!$C$10,0))*O214</f>
        <v>#REF!</v>
      </c>
      <c r="R214" s="192" t="e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#REF!</v>
      </c>
      <c r="S214" s="192" t="e">
        <f>IFERROR(VLOOKUP(A214,[1]Biogasudbytte!$A$2:$B$18,2,FALSE)*[1]Energiindhold!$C$10,0)*J214*IFERROR(VLOOKUP(A214,Biogasanlæg!$F$3:$G$8,2,FALSE),1)</f>
        <v>#REF!</v>
      </c>
      <c r="T214" s="193" t="e">
        <f t="shared" si="50"/>
        <v>#REF!</v>
      </c>
      <c r="U214" s="191" t="e">
        <f>O214*IFERROR(VLOOKUP(A214,[1]Tørstofindhold!A$2:B$24,2,FALSE),0)</f>
        <v>#REF!</v>
      </c>
      <c r="V214" s="192" t="e">
        <f>IF(D214=År1,P214,SUM(O214,P214))*IFERROR(VLOOKUP(A214,[1]Tørstofindhold!A$2:B$24,2,FALSE),0)</f>
        <v>#REF!</v>
      </c>
      <c r="W214" s="192" t="e">
        <f>J214*IFERROR(VLOOKUP(A214,[1]Tørstofindhold!A$2:B$24,2,FALSE),0)</f>
        <v>#REF!</v>
      </c>
      <c r="X214" s="193" t="e">
        <f t="shared" si="51"/>
        <v>#REF!</v>
      </c>
      <c r="Y214" s="171" t="e">
        <f t="shared" si="60"/>
        <v>#REF!</v>
      </c>
      <c r="Z214" s="103" t="e">
        <f t="shared" si="61"/>
        <v>#REF!</v>
      </c>
    </row>
    <row r="215" spans="1:26" x14ac:dyDescent="0.25">
      <c r="A215" s="194" t="str">
        <f t="shared" si="56"/>
        <v>Juletræer</v>
      </c>
      <c r="B215" s="194" t="str">
        <f t="shared" si="57"/>
        <v/>
      </c>
      <c r="C215" s="194">
        <f>IF(COUNTIFS('Resultater - Danmark'!$D$3:$D$482,'Resultat-Produktion &amp; forbrug'!A215,'Resultater - Danmark'!$A$3:$A$482,"Til energi")+COUNTIFS('Resultater - Danmark'!$D$3:$D$482,'Resultat-Produktion &amp; forbrug'!A215,'Resultater - Danmark'!$A$3:$A$482,"Biogasanlæg")&gt;0,1,0)</f>
        <v>0</v>
      </c>
      <c r="D215" s="194">
        <f t="shared" si="58"/>
        <v>2030</v>
      </c>
      <c r="E215" s="192" t="s">
        <v>24</v>
      </c>
      <c r="F215" s="195">
        <f>IF(E215="Vestdanmark",SUMIFS(IF(D215=År1,'Resultater - Vestdanmark'!H$3:H$482,IF(D215=År2,'Resultater - Vestdanmark'!I$3:I$482,'Resultater - Vestdanmark'!J$3:J$482)),'Resultater - Vestdanmark'!$F$3:$F$482,$A215,IF(D215=År1,'Resultater - Vestdanmark'!H$3:H$482,IF(D215=År2,'Resultater - Vestdanmark'!I$3:I$482,'Resultater - Vestdanmark'!J$3:J$482)),"&gt;0"),SUMIFS(IF(D215=År1,'Resultater - Østdanmark'!H$3:H$482,IF(D215=År2,'Resultater - Østdanmark'!I$3:I$482,'Resultater - Østdanmark'!J$3:J$482)),'Resultater - Østdanmark'!$F$3:$F$482,$A215,IF(D215=År1,'Resultater - Østdanmark'!H$3:H$482,IF(D215=År2,'Resultater - Østdanmark'!I$3:I$482,'Resultater - Østdanmark'!J$3:J$482)),"&gt;0"))</f>
        <v>0</v>
      </c>
      <c r="G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92">
        <f>IF(E215="Vestdanmark",-IF(A215="Halm",SUMIFS(IF(D215=År1,'Resultater - Vestdanmark'!H$3:H$482,IF(D215=År2,'Resultater - Vestdanmark'!I$3:I$482,'Resultater - Vestdanmark'!J$3:J$482)),'Resultater - Vestdanmark'!$F$3:$F$482,$A215,'Resultater - Vestdanmark'!H$3:H$482,"&lt;0"),0),-IF(A215="Halm",SUMIFS(IF(D215=År1,'Resultater - Østdanmark'!H$3:H$482,IF(D215=År2,'Resultater - Østdanmark'!I$3:I$482,'Resultater - Østdanmark'!J$3:J$482)),'Resultater - Østdanmark'!$F$3:$F$482,$A215,'Resultater - Østdanmark'!H$3:H$482,"&lt;0"),0))</f>
        <v>0</v>
      </c>
      <c r="I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5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7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204">
        <f t="shared" si="48"/>
        <v>0</v>
      </c>
      <c r="O215" s="195">
        <f t="shared" si="59"/>
        <v>0</v>
      </c>
      <c r="P215" s="205">
        <f t="shared" si="49"/>
        <v>0</v>
      </c>
      <c r="Q215" s="192">
        <f>IFERROR(VLOOKUP(A215,[1]Energiindhold!$A$2:$C$11,3,FALSE),IFERROR(VLOOKUP(A215,[1]Biogasudbytte!$A$2:$B$18,2,FALSE)*[1]Energiindhold!$C$10,0))*O215</f>
        <v>0</v>
      </c>
      <c r="R215" s="192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92">
        <f>IFERROR(VLOOKUP(A215,[1]Biogasudbytte!$A$2:$B$18,2,FALSE)*[1]Energiindhold!$C$10,0)*J215*IFERROR(VLOOKUP(A215,Biogasanlæg!$F$3:$G$8,2,FALSE),1)</f>
        <v>0</v>
      </c>
      <c r="T215" s="193">
        <f t="shared" si="50"/>
        <v>0</v>
      </c>
      <c r="U215" s="191">
        <f>O215*IFERROR(VLOOKUP(A215,[1]Tørstofindhold!A$2:B$24,2,FALSE),0)</f>
        <v>0</v>
      </c>
      <c r="V215" s="192">
        <f>IF(D215=År1,P215,SUM(O215,P215))*IFERROR(VLOOKUP(A215,[1]Tørstofindhold!A$2:B$24,2,FALSE),0)</f>
        <v>0</v>
      </c>
      <c r="W215" s="192">
        <f>J215*IFERROR(VLOOKUP(A215,[1]Tørstofindhold!A$2:B$24,2,FALSE),0)</f>
        <v>0</v>
      </c>
      <c r="X215" s="193">
        <f t="shared" si="51"/>
        <v>0</v>
      </c>
      <c r="Y215" s="171">
        <f t="shared" si="60"/>
        <v>0</v>
      </c>
      <c r="Z215" s="103">
        <f t="shared" si="61"/>
        <v>0</v>
      </c>
    </row>
    <row r="216" spans="1:26" x14ac:dyDescent="0.25">
      <c r="A216" s="194" t="str">
        <f t="shared" si="56"/>
        <v>Kartofler</v>
      </c>
      <c r="B216" s="194" t="str">
        <f t="shared" si="57"/>
        <v/>
      </c>
      <c r="C216" s="194">
        <f>IF(COUNTIFS('Resultater - Danmark'!$D$3:$D$482,'Resultat-Produktion &amp; forbrug'!A216,'Resultater - Danmark'!$A$3:$A$482,"Til energi")+COUNTIFS('Resultater - Danmark'!$D$3:$D$482,'Resultat-Produktion &amp; forbrug'!A216,'Resultater - Danmark'!$A$3:$A$482,"Biogasanlæg")&gt;0,1,0)</f>
        <v>0</v>
      </c>
      <c r="D216" s="194">
        <f t="shared" si="58"/>
        <v>2030</v>
      </c>
      <c r="E216" s="192" t="s">
        <v>24</v>
      </c>
      <c r="F216" s="195">
        <f>IF(E216="Vestdanmark",SUMIFS(IF(D216=År1,'Resultater - Vestdanmark'!H$3:H$482,IF(D216=År2,'Resultater - Vestdanmark'!I$3:I$482,'Resultater - Vestdanmark'!J$3:J$482)),'Resultater - Vestdanmark'!$F$3:$F$482,$A216,IF(D216=År1,'Resultater - Vestdanmark'!H$3:H$482,IF(D216=År2,'Resultater - Vestdanmark'!I$3:I$482,'Resultater - Vestdanmark'!J$3:J$482)),"&gt;0"),SUMIFS(IF(D216=År1,'Resultater - Østdanmark'!H$3:H$482,IF(D216=År2,'Resultater - Østdanmark'!I$3:I$482,'Resultater - Østdanmark'!J$3:J$482)),'Resultater - Østdanmark'!$F$3:$F$482,$A216,IF(D216=År1,'Resultater - Østdanmark'!H$3:H$482,IF(D216=År2,'Resultater - Østdanmark'!I$3:I$482,'Resultater - Østdanmark'!J$3:J$482)),"&gt;0"))</f>
        <v>0</v>
      </c>
      <c r="G216" s="195" t="e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#REF!</v>
      </c>
      <c r="H216" s="192">
        <f>IF(E216="Vestdanmark",-IF(A216="Halm",SUMIFS(IF(D216=År1,'Resultater - Vestdanmark'!H$3:H$482,IF(D216=År2,'Resultater - Vestdanmark'!I$3:I$482,'Resultater - Vestdanmark'!J$3:J$482)),'Resultater - Vestdanmark'!$F$3:$F$482,$A216,'Resultater - Vestdanmark'!H$3:H$482,"&lt;0"),0),-IF(A216="Halm",SUMIFS(IF(D216=År1,'Resultater - Østdanmark'!H$3:H$482,IF(D216=År2,'Resultater - Østdanmark'!I$3:I$482,'Resultater - Østdanmark'!J$3:J$482)),'Resultater - Østdanmark'!$F$3:$F$482,$A216,'Resultater - Østdanmark'!H$3:H$482,"&lt;0"),0))</f>
        <v>0</v>
      </c>
      <c r="I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5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7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204" t="e">
        <f t="shared" ref="N216:N281" si="62">F216-SUM(G216:M216)</f>
        <v>#REF!</v>
      </c>
      <c r="O216" s="195">
        <f t="shared" si="59"/>
        <v>0</v>
      </c>
      <c r="P216" s="205">
        <f t="shared" ref="P216:P281" si="63">SUM(J216,L216)</f>
        <v>0</v>
      </c>
      <c r="Q216" s="192">
        <f>IFERROR(VLOOKUP(A216,[1]Energiindhold!$A$2:$C$11,3,FALSE),IFERROR(VLOOKUP(A216,[1]Biogasudbytte!$A$2:$B$18,2,FALSE)*[1]Energiindhold!$C$10,0))*O216</f>
        <v>0</v>
      </c>
      <c r="R216" s="192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92">
        <f>IFERROR(VLOOKUP(A216,[1]Biogasudbytte!$A$2:$B$18,2,FALSE)*[1]Energiindhold!$C$10,0)*J216*IFERROR(VLOOKUP(A216,Biogasanlæg!$F$3:$G$8,2,FALSE),1)</f>
        <v>0</v>
      </c>
      <c r="T216" s="193">
        <f t="shared" ref="T216:T281" si="64">R216-S216</f>
        <v>0</v>
      </c>
      <c r="U216" s="191">
        <f>O216*IFERROR(VLOOKUP(A216,[1]Tørstofindhold!A$2:B$24,2,FALSE),0)</f>
        <v>0</v>
      </c>
      <c r="V216" s="192">
        <f>IF(D216=År1,P216,SUM(O216,P216))*IFERROR(VLOOKUP(A216,[1]Tørstofindhold!A$2:B$24,2,FALSE),0)</f>
        <v>0</v>
      </c>
      <c r="W216" s="192">
        <f>J216*IFERROR(VLOOKUP(A216,[1]Tørstofindhold!A$2:B$24,2,FALSE),0)</f>
        <v>0</v>
      </c>
      <c r="X216" s="193">
        <f t="shared" ref="X216:X281" si="65">V216-W216</f>
        <v>0</v>
      </c>
      <c r="Y216" s="171" t="e">
        <f t="shared" si="60"/>
        <v>#REF!</v>
      </c>
      <c r="Z216" s="103" t="e">
        <f t="shared" si="61"/>
        <v>#REF!</v>
      </c>
    </row>
    <row r="217" spans="1:26" x14ac:dyDescent="0.25">
      <c r="A217" s="194" t="str">
        <f t="shared" si="56"/>
        <v>Korn</v>
      </c>
      <c r="B217" s="194" t="str">
        <f t="shared" si="57"/>
        <v>Halm og strå</v>
      </c>
      <c r="C217" s="194">
        <f>IF(COUNTIFS('Resultater - Danmark'!$D$3:$D$482,'Resultat-Produktion &amp; forbrug'!A217,'Resultater - Danmark'!$A$3:$A$482,"Til energi")+COUNTIFS('Resultater - Danmark'!$D$3:$D$482,'Resultat-Produktion &amp; forbrug'!A217,'Resultater - Danmark'!$A$3:$A$482,"Biogasanlæg")&gt;0,1,0)</f>
        <v>1</v>
      </c>
      <c r="D217" s="194">
        <f t="shared" si="58"/>
        <v>2030</v>
      </c>
      <c r="E217" s="192" t="s">
        <v>24</v>
      </c>
      <c r="F217" s="195">
        <f>IF(E217="Vestdanmark",SUMIFS(IF(D217=År1,'Resultater - Vestdanmark'!H$3:H$482,IF(D217=År2,'Resultater - Vestdanmark'!I$3:I$482,'Resultater - Vestdanmark'!J$3:J$482)),'Resultater - Vestdanmark'!$F$3:$F$482,$A217,IF(D217=År1,'Resultater - Vestdanmark'!H$3:H$482,IF(D217=År2,'Resultater - Vestdanmark'!I$3:I$482,'Resultater - Vestdanmark'!J$3:J$482)),"&gt;0"),SUMIFS(IF(D217=År1,'Resultater - Østdanmark'!H$3:H$482,IF(D217=År2,'Resultater - Østdanmark'!I$3:I$482,'Resultater - Østdanmark'!J$3:J$482)),'Resultater - Østdanmark'!$F$3:$F$482,$A217,IF(D217=År1,'Resultater - Østdanmark'!H$3:H$482,IF(D217=År2,'Resultater - Østdanmark'!I$3:I$482,'Resultater - Østdanmark'!J$3:J$482)),"&gt;0"))</f>
        <v>0</v>
      </c>
      <c r="G217" s="195" t="e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#REF!</v>
      </c>
      <c r="H217" s="192">
        <f>IF(E217="Vestdanmark",-IF(A217="Halm",SUMIFS(IF(D217=År1,'Resultater - Vestdanmark'!H$3:H$482,IF(D217=År2,'Resultater - Vestdanmark'!I$3:I$482,'Resultater - Vestdanmark'!J$3:J$482)),'Resultater - Vestdanmark'!$F$3:$F$482,$A217,'Resultater - Vestdanmark'!H$3:H$482,"&lt;0"),0),-IF(A217="Halm",SUMIFS(IF(D217=År1,'Resultater - Østdanmark'!H$3:H$482,IF(D217=År2,'Resultater - Østdanmark'!I$3:I$482,'Resultater - Østdanmark'!J$3:J$482)),'Resultater - Østdanmark'!$F$3:$F$482,$A217,'Resultater - Østdanmark'!H$3:H$482,"&lt;0"),0))</f>
        <v>0</v>
      </c>
      <c r="I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5" t="e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#REF!</v>
      </c>
      <c r="K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5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7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204" t="e">
        <f>F217-SUM(G217:M217)</f>
        <v>#REF!</v>
      </c>
      <c r="O217" s="195" t="e">
        <f t="shared" si="59"/>
        <v>#REF!</v>
      </c>
      <c r="P217" s="205" t="e">
        <f t="shared" si="63"/>
        <v>#REF!</v>
      </c>
      <c r="Q217" s="192" t="e">
        <f>IFERROR(VLOOKUP(A217,[1]Energiindhold!$A$2:$C$11,3,FALSE),IFERROR(VLOOKUP(A217,[1]Biogasudbytte!$A$2:$B$18,2,FALSE)*[1]Energiindhold!$C$10,0))*O217</f>
        <v>#REF!</v>
      </c>
      <c r="R217" s="192" t="e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#REF!</v>
      </c>
      <c r="S217" s="192" t="e">
        <f>IFERROR(VLOOKUP(A217,[1]Biogasudbytte!$A$2:$B$18,2,FALSE)*[1]Energiindhold!$C$10,0)*J217*IFERROR(VLOOKUP(A217,Biogasanlæg!$F$3:$G$8,2,FALSE),1)</f>
        <v>#REF!</v>
      </c>
      <c r="T217" s="193" t="e">
        <f t="shared" si="64"/>
        <v>#REF!</v>
      </c>
      <c r="U217" s="191" t="e">
        <f>O217*IFERROR(VLOOKUP(A217,[1]Tørstofindhold!A$2:B$24,2,FALSE),0)</f>
        <v>#REF!</v>
      </c>
      <c r="V217" s="192" t="e">
        <f>IF(D217=År1,P217,SUM(O217,P217))*IFERROR(VLOOKUP(A217,[1]Tørstofindhold!A$2:B$24,2,FALSE),0)</f>
        <v>#REF!</v>
      </c>
      <c r="W217" s="192" t="e">
        <f>J217*IFERROR(VLOOKUP(A217,[1]Tørstofindhold!A$2:B$24,2,FALSE),0)</f>
        <v>#REF!</v>
      </c>
      <c r="X217" s="193" t="e">
        <f t="shared" si="65"/>
        <v>#REF!</v>
      </c>
      <c r="Y217" s="171" t="e">
        <f t="shared" si="60"/>
        <v>#REF!</v>
      </c>
      <c r="Z217" s="103" t="e">
        <f t="shared" si="61"/>
        <v>#REF!</v>
      </c>
    </row>
    <row r="218" spans="1:26" x14ac:dyDescent="0.25">
      <c r="A218" s="194" t="str">
        <f t="shared" si="56"/>
        <v>Kunstgødning</v>
      </c>
      <c r="B218" s="194" t="str">
        <f t="shared" si="57"/>
        <v/>
      </c>
      <c r="C218" s="194">
        <f>IF(COUNTIFS('Resultater - Danmark'!$D$3:$D$482,'Resultat-Produktion &amp; forbrug'!A218,'Resultater - Danmark'!$A$3:$A$482,"Til energi")+COUNTIFS('Resultater - Danmark'!$D$3:$D$482,'Resultat-Produktion &amp; forbrug'!A218,'Resultater - Danmark'!$A$3:$A$482,"Biogasanlæg")&gt;0,1,0)</f>
        <v>0</v>
      </c>
      <c r="D218" s="194">
        <f t="shared" si="58"/>
        <v>2030</v>
      </c>
      <c r="E218" s="192" t="s">
        <v>24</v>
      </c>
      <c r="F218" s="195">
        <f>IF(E218="Vestdanmark",SUMIFS(IF(D218=År1,'Resultater - Vestdanmark'!H$3:H$482,IF(D218=År2,'Resultater - Vestdanmark'!I$3:I$482,'Resultater - Vestdanmark'!J$3:J$482)),'Resultater - Vestdanmark'!$F$3:$F$482,$A218,IF(D218=År1,'Resultater - Vestdanmark'!H$3:H$482,IF(D218=År2,'Resultater - Vestdanmark'!I$3:I$482,'Resultater - Vestdanmark'!J$3:J$482)),"&gt;0"),SUMIFS(IF(D218=År1,'Resultater - Østdanmark'!H$3:H$482,IF(D218=År2,'Resultater - Østdanmark'!I$3:I$482,'Resultater - Østdanmark'!J$3:J$482)),'Resultater - Østdanmark'!$F$3:$F$482,$A218,IF(D218=År1,'Resultater - Østdanmark'!H$3:H$482,IF(D218=År2,'Resultater - Østdanmark'!I$3:I$482,'Resultater - Østdanmark'!J$3:J$482)),"&gt;0"))</f>
        <v>0</v>
      </c>
      <c r="G218" s="195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92">
        <f>IF(E218="Vestdanmark",-IF(A218="Halm",SUMIFS(IF(D218=År1,'Resultater - Vestdanmark'!H$3:H$482,IF(D218=År2,'Resultater - Vestdanmark'!I$3:I$482,'Resultater - Vestdanmark'!J$3:J$482)),'Resultater - Vestdanmark'!$F$3:$F$482,$A218,'Resultater - Vestdanmark'!H$3:H$482,"&lt;0"),0),-IF(A218="Halm",SUMIFS(IF(D218=År1,'Resultater - Østdanmark'!H$3:H$482,IF(D218=År2,'Resultater - Østdanmark'!I$3:I$482,'Resultater - Østdanmark'!J$3:J$482)),'Resultater - Østdanmark'!$F$3:$F$482,$A218,'Resultater - Østdanmark'!H$3:H$482,"&lt;0"),0))</f>
        <v>0</v>
      </c>
      <c r="I218" s="195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5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5" t="e">
        <f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#REF!</v>
      </c>
      <c r="L218" s="195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7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204" t="e">
        <f t="shared" si="62"/>
        <v>#REF!</v>
      </c>
      <c r="O218" s="195">
        <f t="shared" si="59"/>
        <v>0</v>
      </c>
      <c r="P218" s="205">
        <f t="shared" si="63"/>
        <v>0</v>
      </c>
      <c r="Q218" s="192">
        <f>IFERROR(VLOOKUP(A218,[1]Energiindhold!$A$2:$C$11,3,FALSE),IFERROR(VLOOKUP(A218,[1]Biogasudbytte!$A$2:$B$18,2,FALSE)*[1]Energiindhold!$C$10,0))*O218</f>
        <v>0</v>
      </c>
      <c r="R218" s="192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92">
        <f>IFERROR(VLOOKUP(A218,[1]Biogasudbytte!$A$2:$B$18,2,FALSE)*[1]Energiindhold!$C$10,0)*J218*IFERROR(VLOOKUP(A218,Biogasanlæg!$F$3:$G$8,2,FALSE),1)</f>
        <v>0</v>
      </c>
      <c r="T218" s="193">
        <f t="shared" si="64"/>
        <v>0</v>
      </c>
      <c r="U218" s="191">
        <f>O218*IFERROR(VLOOKUP(A218,[1]Tørstofindhold!A$2:B$24,2,FALSE),0)</f>
        <v>0</v>
      </c>
      <c r="V218" s="192">
        <f>IF(D218=År1,P218,SUM(O218,P218))*IFERROR(VLOOKUP(A218,[1]Tørstofindhold!A$2:B$24,2,FALSE),0)</f>
        <v>0</v>
      </c>
      <c r="W218" s="192">
        <f>J218*IFERROR(VLOOKUP(A218,[1]Tørstofindhold!A$2:B$24,2,FALSE),0)</f>
        <v>0</v>
      </c>
      <c r="X218" s="193">
        <f t="shared" si="65"/>
        <v>0</v>
      </c>
      <c r="Y218" s="171" t="e">
        <f t="shared" si="60"/>
        <v>#REF!</v>
      </c>
      <c r="Z218" s="103" t="e">
        <f t="shared" si="61"/>
        <v>#REF!</v>
      </c>
    </row>
    <row r="219" spans="1:26" x14ac:dyDescent="0.25">
      <c r="A219" s="194" t="str">
        <f t="shared" si="56"/>
        <v>Kvæggylle</v>
      </c>
      <c r="B219" s="194" t="str">
        <f t="shared" si="57"/>
        <v>Husdyrgødning</v>
      </c>
      <c r="C219" s="194">
        <f>IF(COUNTIFS('Resultater - Danmark'!$D$3:$D$482,'Resultat-Produktion &amp; forbrug'!A219,'Resultater - Danmark'!$A$3:$A$482,"Til energi")+COUNTIFS('Resultater - Danmark'!$D$3:$D$482,'Resultat-Produktion &amp; forbrug'!A219,'Resultater - Danmark'!$A$3:$A$482,"Biogasanlæg")&gt;0,1,0)</f>
        <v>1</v>
      </c>
      <c r="D219" s="194">
        <f t="shared" si="58"/>
        <v>2030</v>
      </c>
      <c r="E219" s="192" t="s">
        <v>24</v>
      </c>
      <c r="F219" s="195">
        <f>IF(E219="Vestdanmark",SUMIFS(IF(D219=År1,'Resultater - Vestdanmark'!H$3:H$482,IF(D219=År2,'Resultater - Vestdanmark'!I$3:I$482,'Resultater - Vestdanmark'!J$3:J$482)),'Resultater - Vestdanmark'!$F$3:$F$482,$A219,IF(D219=År1,'Resultater - Vestdanmark'!H$3:H$482,IF(D219=År2,'Resultater - Vestdanmark'!I$3:I$482,'Resultater - Vestdanmark'!J$3:J$482)),"&gt;0"),SUMIFS(IF(D219=År1,'Resultater - Østdanmark'!H$3:H$482,IF(D219=År2,'Resultater - Østdanmark'!I$3:I$482,'Resultater - Østdanmark'!J$3:J$482)),'Resultater - Østdanmark'!$F$3:$F$482,$A219,IF(D219=År1,'Resultater - Østdanmark'!H$3:H$482,IF(D219=År2,'Resultater - Østdanmark'!I$3:I$482,'Resultater - Østdanmark'!J$3:J$482)),"&gt;0"))</f>
        <v>0</v>
      </c>
      <c r="G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92">
        <f>IF(E219="Vestdanmark",-IF(A219="Halm",SUMIFS(IF(D219=År1,'Resultater - Vestdanmark'!H$3:H$482,IF(D219=År2,'Resultater - Vestdanmark'!I$3:I$482,'Resultater - Vestdanmark'!J$3:J$482)),'Resultater - Vestdanmark'!$F$3:$F$482,$A219,'Resultater - Vestdanmark'!H$3:H$482,"&lt;0"),0),-IF(A219="Halm",SUMIFS(IF(D219=År1,'Resultater - Østdanmark'!H$3:H$482,IF(D219=År2,'Resultater - Østdanmark'!I$3:I$482,'Resultater - Østdanmark'!J$3:J$482)),'Resultater - Østdanmark'!$F$3:$F$482,$A219,'Resultater - Østdanmark'!H$3:H$482,"&lt;0"),0))</f>
        <v>0</v>
      </c>
      <c r="I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5" t="e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#REF!</v>
      </c>
      <c r="K219" s="195" t="e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#REF!</v>
      </c>
      <c r="L219" s="195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7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204" t="e">
        <f t="shared" si="62"/>
        <v>#REF!</v>
      </c>
      <c r="O219" s="195" t="e">
        <f t="shared" si="59"/>
        <v>#REF!</v>
      </c>
      <c r="P219" s="205" t="e">
        <f t="shared" si="63"/>
        <v>#REF!</v>
      </c>
      <c r="Q219" s="192" t="e">
        <f>IFERROR(VLOOKUP(A219,[1]Energiindhold!$A$2:$C$11,3,FALSE),IFERROR(VLOOKUP(A219,[1]Biogasudbytte!$A$2:$B$18,2,FALSE)*[1]Energiindhold!$C$10,0))*O219</f>
        <v>#REF!</v>
      </c>
      <c r="R219" s="192" t="e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#REF!</v>
      </c>
      <c r="S219" s="192" t="e">
        <f>IFERROR(VLOOKUP(A219,[1]Biogasudbytte!$A$2:$B$18,2,FALSE)*[1]Energiindhold!$C$10,0)*J219*IFERROR(VLOOKUP(A219,Biogasanlæg!$F$3:$G$8,2,FALSE),1)</f>
        <v>#REF!</v>
      </c>
      <c r="T219" s="193" t="e">
        <f t="shared" si="64"/>
        <v>#REF!</v>
      </c>
      <c r="U219" s="191" t="e">
        <f>O219*IFERROR(VLOOKUP(A219,[1]Tørstofindhold!A$2:B$24,2,FALSE),0)</f>
        <v>#REF!</v>
      </c>
      <c r="V219" s="192" t="e">
        <f>IF(D219=År1,P219,SUM(O219,P219))*IFERROR(VLOOKUP(A219,[1]Tørstofindhold!A$2:B$24,2,FALSE),0)</f>
        <v>#REF!</v>
      </c>
      <c r="W219" s="192" t="e">
        <f>J219*IFERROR(VLOOKUP(A219,[1]Tørstofindhold!A$2:B$24,2,FALSE),0)</f>
        <v>#REF!</v>
      </c>
      <c r="X219" s="193" t="e">
        <f t="shared" si="65"/>
        <v>#REF!</v>
      </c>
      <c r="Y219" s="171" t="e">
        <f t="shared" si="60"/>
        <v>#REF!</v>
      </c>
      <c r="Z219" s="103" t="e">
        <f t="shared" si="61"/>
        <v>#REF!</v>
      </c>
    </row>
    <row r="220" spans="1:26" x14ac:dyDescent="0.25">
      <c r="A220" s="194" t="str">
        <f t="shared" si="56"/>
        <v>Mælk til foder</v>
      </c>
      <c r="B220" s="194" t="str">
        <f t="shared" si="57"/>
        <v/>
      </c>
      <c r="C220" s="194">
        <f>IF(COUNTIFS('Resultater - Danmark'!$D$3:$D$482,'Resultat-Produktion &amp; forbrug'!A220,'Resultater - Danmark'!$A$3:$A$482,"Til energi")+COUNTIFS('Resultater - Danmark'!$D$3:$D$482,'Resultat-Produktion &amp; forbrug'!A220,'Resultater - Danmark'!$A$3:$A$482,"Biogasanlæg")&gt;0,1,0)</f>
        <v>0</v>
      </c>
      <c r="D220" s="194">
        <f t="shared" si="58"/>
        <v>2030</v>
      </c>
      <c r="E220" s="192" t="s">
        <v>24</v>
      </c>
      <c r="F220" s="195">
        <f>IF(E220="Vestdanmark",SUMIFS(IF(D220=År1,'Resultater - Vestdanmark'!H$3:H$482,IF(D220=År2,'Resultater - Vestdanmark'!I$3:I$482,'Resultater - Vestdanmark'!J$3:J$482)),'Resultater - Vestdanmark'!$F$3:$F$482,$A220,IF(D220=År1,'Resultater - Vestdanmark'!H$3:H$482,IF(D220=År2,'Resultater - Vestdanmark'!I$3:I$482,'Resultater - Vestdanmark'!J$3:J$482)),"&gt;0"),SUMIFS(IF(D220=År1,'Resultater - Østdanmark'!H$3:H$482,IF(D220=År2,'Resultater - Østdanmark'!I$3:I$482,'Resultater - Østdanmark'!J$3:J$482)),'Resultater - Østdanmark'!$F$3:$F$482,$A220,IF(D220=År1,'Resultater - Østdanmark'!H$3:H$482,IF(D220=År2,'Resultater - Østdanmark'!I$3:I$482,'Resultater - Østdanmark'!J$3:J$482)),"&gt;0"))</f>
        <v>0</v>
      </c>
      <c r="G220" s="195" t="e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#REF!</v>
      </c>
      <c r="H220" s="192">
        <f>IF(E220="Vestdanmark",-IF(A220="Halm",SUMIFS(IF(D220=År1,'Resultater - Vestdanmark'!H$3:H$482,IF(D220=År2,'Resultater - Vestdanmark'!I$3:I$482,'Resultater - Vestdanmark'!J$3:J$482)),'Resultater - Vestdanmark'!$F$3:$F$482,$A220,'Resultater - Vestdanmark'!H$3:H$482,"&lt;0"),0),-IF(A220="Halm",SUMIFS(IF(D220=År1,'Resultater - Østdanmark'!H$3:H$482,IF(D220=År2,'Resultater - Østdanmark'!I$3:I$482,'Resultater - Østdanmark'!J$3:J$482)),'Resultater - Østdanmark'!$F$3:$F$482,$A220,'Resultater - Østdanmark'!H$3:H$482,"&lt;0"),0))</f>
        <v>0</v>
      </c>
      <c r="I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5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7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204" t="e">
        <f t="shared" si="62"/>
        <v>#REF!</v>
      </c>
      <c r="O220" s="195">
        <f t="shared" si="59"/>
        <v>0</v>
      </c>
      <c r="P220" s="205">
        <f t="shared" si="63"/>
        <v>0</v>
      </c>
      <c r="Q220" s="192">
        <f>IFERROR(VLOOKUP(A220,[1]Energiindhold!$A$2:$C$11,3,FALSE),IFERROR(VLOOKUP(A220,[1]Biogasudbytte!$A$2:$B$18,2,FALSE)*[1]Energiindhold!$C$10,0))*O220</f>
        <v>0</v>
      </c>
      <c r="R220" s="192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92">
        <f>IFERROR(VLOOKUP(A220,[1]Biogasudbytte!$A$2:$B$18,2,FALSE)*[1]Energiindhold!$C$10,0)*J220*IFERROR(VLOOKUP(A220,Biogasanlæg!$F$3:$G$8,2,FALSE),1)</f>
        <v>0</v>
      </c>
      <c r="T220" s="193">
        <f t="shared" si="64"/>
        <v>0</v>
      </c>
      <c r="U220" s="191">
        <f>O220*IFERROR(VLOOKUP(A220,[1]Tørstofindhold!A$2:B$24,2,FALSE),0)</f>
        <v>0</v>
      </c>
      <c r="V220" s="192">
        <f>IF(D220=År1,P220,SUM(O220,P220))*IFERROR(VLOOKUP(A220,[1]Tørstofindhold!A$2:B$24,2,FALSE),0)</f>
        <v>0</v>
      </c>
      <c r="W220" s="192">
        <f>J220*IFERROR(VLOOKUP(A220,[1]Tørstofindhold!A$2:B$24,2,FALSE),0)</f>
        <v>0</v>
      </c>
      <c r="X220" s="193">
        <f t="shared" si="65"/>
        <v>0</v>
      </c>
      <c r="Y220" s="171" t="e">
        <f t="shared" si="60"/>
        <v>#REF!</v>
      </c>
      <c r="Z220" s="103" t="e">
        <f t="shared" si="61"/>
        <v>#REF!</v>
      </c>
    </row>
    <row r="221" spans="1:26" x14ac:dyDescent="0.25">
      <c r="A221" s="194" t="str">
        <f t="shared" si="56"/>
        <v>Majs</v>
      </c>
      <c r="B221" s="194" t="str">
        <f t="shared" si="57"/>
        <v>Græs og urter</v>
      </c>
      <c r="C221" s="194">
        <f>IF(COUNTIFS('Resultater - Danmark'!$D$3:$D$482,'Resultat-Produktion &amp; forbrug'!A221,'Resultater - Danmark'!$A$3:$A$482,"Til energi")+COUNTIFS('Resultater - Danmark'!$D$3:$D$482,'Resultat-Produktion &amp; forbrug'!A221,'Resultater - Danmark'!$A$3:$A$482,"Biogasanlæg")&gt;0,1,0)</f>
        <v>1</v>
      </c>
      <c r="D221" s="194">
        <f t="shared" si="58"/>
        <v>2030</v>
      </c>
      <c r="E221" s="192" t="s">
        <v>24</v>
      </c>
      <c r="F221" s="195">
        <f>IF(E221="Vestdanmark",SUMIFS(IF(D221=År1,'Resultater - Vestdanmark'!H$3:H$482,IF(D221=År2,'Resultater - Vestdanmark'!I$3:I$482,'Resultater - Vestdanmark'!J$3:J$482)),'Resultater - Vestdanmark'!$F$3:$F$482,$A221,IF(D221=År1,'Resultater - Vestdanmark'!H$3:H$482,IF(D221=År2,'Resultater - Vestdanmark'!I$3:I$482,'Resultater - Vestdanmark'!J$3:J$482)),"&gt;0"),SUMIFS(IF(D221=År1,'Resultater - Østdanmark'!H$3:H$482,IF(D221=År2,'Resultater - Østdanmark'!I$3:I$482,'Resultater - Østdanmark'!J$3:J$482)),'Resultater - Østdanmark'!$F$3:$F$482,$A221,IF(D221=År1,'Resultater - Østdanmark'!H$3:H$482,IF(D221=År2,'Resultater - Østdanmark'!I$3:I$482,'Resultater - Østdanmark'!J$3:J$482)),"&gt;0"))</f>
        <v>0</v>
      </c>
      <c r="G221" s="195" t="e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#REF!</v>
      </c>
      <c r="H221" s="192">
        <f>IF(E221="Vestdanmark",-IF(A221="Halm",SUMIFS(IF(D221=År1,'Resultater - Vestdanmark'!H$3:H$482,IF(D221=År2,'Resultater - Vestdanmark'!I$3:I$482,'Resultater - Vestdanmark'!J$3:J$482)),'Resultater - Vestdanmark'!$F$3:$F$482,$A221,'Resultater - Vestdanmark'!H$3:H$482,"&lt;0"),0),-IF(A221="Halm",SUMIFS(IF(D221=År1,'Resultater - Østdanmark'!H$3:H$482,IF(D221=År2,'Resultater - Østdanmark'!I$3:I$482,'Resultater - Østdanmark'!J$3:J$482)),'Resultater - Østdanmark'!$F$3:$F$482,$A221,'Resultater - Østdanmark'!H$3:H$482,"&lt;0"),0))</f>
        <v>0</v>
      </c>
      <c r="I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5" t="e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#REF!</v>
      </c>
      <c r="K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5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7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204" t="e">
        <f t="shared" si="62"/>
        <v>#REF!</v>
      </c>
      <c r="O221" s="195" t="e">
        <f t="shared" si="59"/>
        <v>#REF!</v>
      </c>
      <c r="P221" s="205" t="e">
        <f t="shared" si="63"/>
        <v>#REF!</v>
      </c>
      <c r="Q221" s="192" t="e">
        <f>IFERROR(VLOOKUP(A221,[1]Energiindhold!$A$2:$C$11,3,FALSE),IFERROR(VLOOKUP(A221,[1]Biogasudbytte!$A$2:$B$18,2,FALSE)*[1]Energiindhold!$C$10,0))*O221</f>
        <v>#REF!</v>
      </c>
      <c r="R221" s="192" t="e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#REF!</v>
      </c>
      <c r="S221" s="192" t="e">
        <f>IFERROR(VLOOKUP(A221,[1]Biogasudbytte!$A$2:$B$18,2,FALSE)*[1]Energiindhold!$C$10,0)*J221*IFERROR(VLOOKUP(A221,Biogasanlæg!$F$3:$G$8,2,FALSE),1)</f>
        <v>#REF!</v>
      </c>
      <c r="T221" s="193" t="e">
        <f t="shared" si="64"/>
        <v>#REF!</v>
      </c>
      <c r="U221" s="191" t="e">
        <f>O221*IFERROR(VLOOKUP(A221,[1]Tørstofindhold!A$2:B$24,2,FALSE),0)</f>
        <v>#REF!</v>
      </c>
      <c r="V221" s="192" t="e">
        <f>IF(D221=År1,P221,SUM(O221,P221))*IFERROR(VLOOKUP(A221,[1]Tørstofindhold!A$2:B$24,2,FALSE),0)</f>
        <v>#REF!</v>
      </c>
      <c r="W221" s="192" t="e">
        <f>J221*IFERROR(VLOOKUP(A221,[1]Tørstofindhold!A$2:B$24,2,FALSE),0)</f>
        <v>#REF!</v>
      </c>
      <c r="X221" s="193" t="e">
        <f t="shared" si="65"/>
        <v>#REF!</v>
      </c>
      <c r="Y221" s="171" t="e">
        <f t="shared" si="60"/>
        <v>#REF!</v>
      </c>
      <c r="Z221" s="103" t="e">
        <f t="shared" si="61"/>
        <v>#REF!</v>
      </c>
    </row>
    <row r="222" spans="1:26" x14ac:dyDescent="0.25">
      <c r="A222" s="194" t="str">
        <f t="shared" si="56"/>
        <v>Mejeriprodukter</v>
      </c>
      <c r="B222" s="194" t="str">
        <f t="shared" si="57"/>
        <v/>
      </c>
      <c r="C222" s="194">
        <f>IF(COUNTIFS('Resultater - Danmark'!$D$3:$D$482,'Resultat-Produktion &amp; forbrug'!A222,'Resultater - Danmark'!$A$3:$A$482,"Til energi")+COUNTIFS('Resultater - Danmark'!$D$3:$D$482,'Resultat-Produktion &amp; forbrug'!A222,'Resultater - Danmark'!$A$3:$A$482,"Biogasanlæg")&gt;0,1,0)</f>
        <v>0</v>
      </c>
      <c r="D222" s="194">
        <f t="shared" si="58"/>
        <v>2030</v>
      </c>
      <c r="E222" s="192" t="s">
        <v>24</v>
      </c>
      <c r="F222" s="195">
        <f>IF(E222="Vestdanmark",SUMIFS(IF(D222=År1,'Resultater - Vestdanmark'!H$3:H$482,IF(D222=År2,'Resultater - Vestdanmark'!I$3:I$482,'Resultater - Vestdanmark'!J$3:J$482)),'Resultater - Vestdanmark'!$F$3:$F$482,$A222,IF(D222=År1,'Resultater - Vestdanmark'!H$3:H$482,IF(D222=År2,'Resultater - Vestdanmark'!I$3:I$482,'Resultater - Vestdanmark'!J$3:J$482)),"&gt;0"),SUMIFS(IF(D222=År1,'Resultater - Østdanmark'!H$3:H$482,IF(D222=År2,'Resultater - Østdanmark'!I$3:I$482,'Resultater - Østdanmark'!J$3:J$482)),'Resultater - Østdanmark'!$F$3:$F$482,$A222,IF(D222=År1,'Resultater - Østdanmark'!H$3:H$482,IF(D222=År2,'Resultater - Østdanmark'!I$3:I$482,'Resultater - Østdanmark'!J$3:J$482)),"&gt;0"))</f>
        <v>0</v>
      </c>
      <c r="G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92">
        <f>IF(E222="Vestdanmark",-IF(A222="Halm",SUMIFS(IF(D222=År1,'Resultater - Vestdanmark'!H$3:H$482,IF(D222=År2,'Resultater - Vestdanmark'!I$3:I$482,'Resultater - Vestdanmark'!J$3:J$482)),'Resultater - Vestdanmark'!$F$3:$F$482,$A222,'Resultater - Vestdanmark'!H$3:H$482,"&lt;0"),0),-IF(A222="Halm",SUMIFS(IF(D222=År1,'Resultater - Østdanmark'!H$3:H$482,IF(D222=År2,'Resultater - Østdanmark'!I$3:I$482,'Resultater - Østdanmark'!J$3:J$482)),'Resultater - Østdanmark'!$F$3:$F$482,$A222,'Resultater - Østdanmark'!H$3:H$482,"&lt;0"),0))</f>
        <v>0</v>
      </c>
      <c r="I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5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7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204">
        <f t="shared" si="62"/>
        <v>-409035.43180711387</v>
      </c>
      <c r="O222" s="195">
        <f t="shared" si="59"/>
        <v>0</v>
      </c>
      <c r="P222" s="205">
        <f t="shared" si="63"/>
        <v>0</v>
      </c>
      <c r="Q222" s="192">
        <f>IFERROR(VLOOKUP(A222,[1]Energiindhold!$A$2:$C$11,3,FALSE),IFERROR(VLOOKUP(A222,[1]Biogasudbytte!$A$2:$B$18,2,FALSE)*[1]Energiindhold!$C$10,0))*O222</f>
        <v>0</v>
      </c>
      <c r="R222" s="192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92">
        <f>IFERROR(VLOOKUP(A222,[1]Biogasudbytte!$A$2:$B$18,2,FALSE)*[1]Energiindhold!$C$10,0)*J222*IFERROR(VLOOKUP(A222,Biogasanlæg!$F$3:$G$8,2,FALSE),1)</f>
        <v>0</v>
      </c>
      <c r="T222" s="193">
        <f t="shared" si="64"/>
        <v>0</v>
      </c>
      <c r="U222" s="191">
        <f>O222*IFERROR(VLOOKUP(A222,[1]Tørstofindhold!A$2:B$24,2,FALSE),0)</f>
        <v>0</v>
      </c>
      <c r="V222" s="192">
        <f>IF(D222=År1,P222,SUM(O222,P222))*IFERROR(VLOOKUP(A222,[1]Tørstofindhold!A$2:B$24,2,FALSE),0)</f>
        <v>0</v>
      </c>
      <c r="W222" s="192">
        <f>J222*IFERROR(VLOOKUP(A222,[1]Tørstofindhold!A$2:B$24,2,FALSE),0)</f>
        <v>0</v>
      </c>
      <c r="X222" s="193">
        <f t="shared" si="65"/>
        <v>0</v>
      </c>
      <c r="Y222" s="171">
        <f t="shared" si="60"/>
        <v>1</v>
      </c>
      <c r="Z222" s="103">
        <f t="shared" si="61"/>
        <v>0</v>
      </c>
    </row>
    <row r="223" spans="1:26" x14ac:dyDescent="0.25">
      <c r="A223" s="194" t="str">
        <f t="shared" si="56"/>
        <v>Muslinger</v>
      </c>
      <c r="B223" s="194" t="str">
        <f t="shared" si="57"/>
        <v>Havbiomasse</v>
      </c>
      <c r="C223" s="194">
        <f>IF(COUNTIFS('Resultater - Danmark'!$D$3:$D$482,'Resultat-Produktion &amp; forbrug'!A223,'Resultater - Danmark'!$A$3:$A$482,"Til energi")+COUNTIFS('Resultater - Danmark'!$D$3:$D$482,'Resultat-Produktion &amp; forbrug'!A223,'Resultater - Danmark'!$A$3:$A$482,"Biogasanlæg")&gt;0,1,0)</f>
        <v>1</v>
      </c>
      <c r="D223" s="194">
        <f t="shared" si="58"/>
        <v>2030</v>
      </c>
      <c r="E223" s="192" t="s">
        <v>24</v>
      </c>
      <c r="F223" s="195">
        <f>IF(E223="Vestdanmark",SUMIFS(IF(D223=År1,'Resultater - Vestdanmark'!H$3:H$482,IF(D223=År2,'Resultater - Vestdanmark'!I$3:I$482,'Resultater - Vestdanmark'!J$3:J$482)),'Resultater - Vestdanmark'!$F$3:$F$482,$A223,IF(D223=År1,'Resultater - Vestdanmark'!H$3:H$482,IF(D223=År2,'Resultater - Vestdanmark'!I$3:I$482,'Resultater - Vestdanmark'!J$3:J$482)),"&gt;0"),SUMIFS(IF(D223=År1,'Resultater - Østdanmark'!H$3:H$482,IF(D223=År2,'Resultater - Østdanmark'!I$3:I$482,'Resultater - Østdanmark'!J$3:J$482)),'Resultater - Østdanmark'!$F$3:$F$482,$A223,IF(D223=År1,'Resultater - Østdanmark'!H$3:H$482,IF(D223=År2,'Resultater - Østdanmark'!I$3:I$482,'Resultater - Østdanmark'!J$3:J$482)),"&gt;0"))</f>
        <v>0</v>
      </c>
      <c r="G223" s="195" t="e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#REF!</v>
      </c>
      <c r="H223" s="192">
        <f>IF(E223="Vestdanmark",-IF(A223="Halm",SUMIFS(IF(D223=År1,'Resultater - Vestdanmark'!H$3:H$482,IF(D223=År2,'Resultater - Vestdanmark'!I$3:I$482,'Resultater - Vestdanmark'!J$3:J$482)),'Resultater - Vestdanmark'!$F$3:$F$482,$A223,'Resultater - Vestdanmark'!H$3:H$482,"&lt;0"),0),-IF(A223="Halm",SUMIFS(IF(D223=År1,'Resultater - Østdanmark'!H$3:H$482,IF(D223=År2,'Resultater - Østdanmark'!I$3:I$482,'Resultater - Østdanmark'!J$3:J$482)),'Resultater - Østdanmark'!$F$3:$F$482,$A223,'Resultater - Østdanmark'!H$3:H$482,"&lt;0"),0))</f>
        <v>0</v>
      </c>
      <c r="I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5" t="e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#REF!</v>
      </c>
      <c r="K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5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7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204" t="e">
        <f t="shared" si="62"/>
        <v>#REF!</v>
      </c>
      <c r="O223" s="195" t="e">
        <f t="shared" si="59"/>
        <v>#REF!</v>
      </c>
      <c r="P223" s="205" t="e">
        <f t="shared" si="63"/>
        <v>#REF!</v>
      </c>
      <c r="Q223" s="192" t="e">
        <f>IFERROR(VLOOKUP(A223,[1]Energiindhold!$A$2:$C$11,3,FALSE),IFERROR(VLOOKUP(A223,[1]Biogasudbytte!$A$2:$B$18,2,FALSE)*[1]Energiindhold!$C$10,0))*O223</f>
        <v>#REF!</v>
      </c>
      <c r="R223" s="192" t="e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#REF!</v>
      </c>
      <c r="S223" s="192" t="e">
        <f>IFERROR(VLOOKUP(A223,[1]Biogasudbytte!$A$2:$B$18,2,FALSE)*[1]Energiindhold!$C$10,0)*J223*IFERROR(VLOOKUP(A223,Biogasanlæg!$F$3:$G$8,2,FALSE),1)</f>
        <v>#REF!</v>
      </c>
      <c r="T223" s="193" t="e">
        <f t="shared" si="64"/>
        <v>#REF!</v>
      </c>
      <c r="U223" s="191" t="e">
        <f>O223*IFERROR(VLOOKUP(A223,[1]Tørstofindhold!A$2:B$24,2,FALSE),0)</f>
        <v>#REF!</v>
      </c>
      <c r="V223" s="192" t="e">
        <f>IF(D223=År1,P223,SUM(O223,P223))*IFERROR(VLOOKUP(A223,[1]Tørstofindhold!A$2:B$24,2,FALSE),0)</f>
        <v>#REF!</v>
      </c>
      <c r="W223" s="192" t="e">
        <f>J223*IFERROR(VLOOKUP(A223,[1]Tørstofindhold!A$2:B$24,2,FALSE),0)</f>
        <v>#REF!</v>
      </c>
      <c r="X223" s="193" t="e">
        <f t="shared" si="65"/>
        <v>#REF!</v>
      </c>
      <c r="Y223" s="171" t="e">
        <f t="shared" si="60"/>
        <v>#REF!</v>
      </c>
      <c r="Z223" s="103" t="e">
        <f t="shared" si="61"/>
        <v>#REF!</v>
      </c>
    </row>
    <row r="224" spans="1:26" x14ac:dyDescent="0.25">
      <c r="A224" s="194" t="str">
        <f t="shared" si="56"/>
        <v>Oksekød</v>
      </c>
      <c r="B224" s="194" t="str">
        <f t="shared" si="57"/>
        <v/>
      </c>
      <c r="C224" s="194">
        <f>IF(COUNTIFS('Resultater - Danmark'!$D$3:$D$482,'Resultat-Produktion &amp; forbrug'!A224,'Resultater - Danmark'!$A$3:$A$482,"Til energi")+COUNTIFS('Resultater - Danmark'!$D$3:$D$482,'Resultat-Produktion &amp; forbrug'!A224,'Resultater - Danmark'!$A$3:$A$482,"Biogasanlæg")&gt;0,1,0)</f>
        <v>0</v>
      </c>
      <c r="D224" s="194">
        <f t="shared" si="58"/>
        <v>2030</v>
      </c>
      <c r="E224" s="192" t="s">
        <v>24</v>
      </c>
      <c r="F224" s="195">
        <f>IF(E224="Vestdanmark",SUMIFS(IF(D224=År1,'Resultater - Vestdanmark'!H$3:H$482,IF(D224=År2,'Resultater - Vestdanmark'!I$3:I$482,'Resultater - Vestdanmark'!J$3:J$482)),'Resultater - Vestdanmark'!$F$3:$F$482,$A224,IF(D224=År1,'Resultater - Vestdanmark'!H$3:H$482,IF(D224=År2,'Resultater - Vestdanmark'!I$3:I$482,'Resultater - Vestdanmark'!J$3:J$482)),"&gt;0"),SUMIFS(IF(D224=År1,'Resultater - Østdanmark'!H$3:H$482,IF(D224=År2,'Resultater - Østdanmark'!I$3:I$482,'Resultater - Østdanmark'!J$3:J$482)),'Resultater - Østdanmark'!$F$3:$F$482,$A224,IF(D224=År1,'Resultater - Østdanmark'!H$3:H$482,IF(D224=År2,'Resultater - Østdanmark'!I$3:I$482,'Resultater - Østdanmark'!J$3:J$482)),"&gt;0"))</f>
        <v>0</v>
      </c>
      <c r="G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92">
        <f>IF(E224="Vestdanmark",-IF(A224="Halm",SUMIFS(IF(D224=År1,'Resultater - Vestdanmark'!H$3:H$482,IF(D224=År2,'Resultater - Vestdanmark'!I$3:I$482,'Resultater - Vestdanmark'!J$3:J$482)),'Resultater - Vestdanmark'!$F$3:$F$482,$A224,'Resultater - Vestdanmark'!H$3:H$482,"&lt;0"),0),-IF(A224="Halm",SUMIFS(IF(D224=År1,'Resultater - Østdanmark'!H$3:H$482,IF(D224=År2,'Resultater - Østdanmark'!I$3:I$482,'Resultater - Østdanmark'!J$3:J$482)),'Resultater - Østdanmark'!$F$3:$F$482,$A224,'Resultater - Østdanmark'!H$3:H$482,"&lt;0"),0))</f>
        <v>0</v>
      </c>
      <c r="I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5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7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204">
        <f t="shared" si="62"/>
        <v>-51975.70917962808</v>
      </c>
      <c r="O224" s="195">
        <f t="shared" si="59"/>
        <v>0</v>
      </c>
      <c r="P224" s="205">
        <f t="shared" si="63"/>
        <v>0</v>
      </c>
      <c r="Q224" s="192">
        <f>IFERROR(VLOOKUP(A224,[1]Energiindhold!$A$2:$C$11,3,FALSE),IFERROR(VLOOKUP(A224,[1]Biogasudbytte!$A$2:$B$18,2,FALSE)*[1]Energiindhold!$C$10,0))*O224</f>
        <v>0</v>
      </c>
      <c r="R224" s="192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92">
        <f>IFERROR(VLOOKUP(A224,[1]Biogasudbytte!$A$2:$B$18,2,FALSE)*[1]Energiindhold!$C$10,0)*J224*IFERROR(VLOOKUP(A224,Biogasanlæg!$F$3:$G$8,2,FALSE),1)</f>
        <v>0</v>
      </c>
      <c r="T224" s="193">
        <f t="shared" si="64"/>
        <v>0</v>
      </c>
      <c r="U224" s="191">
        <f>O224*IFERROR(VLOOKUP(A224,[1]Tørstofindhold!A$2:B$24,2,FALSE),0)</f>
        <v>0</v>
      </c>
      <c r="V224" s="192">
        <f>IF(D224=År1,P224,SUM(O224,P224))*IFERROR(VLOOKUP(A224,[1]Tørstofindhold!A$2:B$24,2,FALSE),0)</f>
        <v>0</v>
      </c>
      <c r="W224" s="192">
        <f>J224*IFERROR(VLOOKUP(A224,[1]Tørstofindhold!A$2:B$24,2,FALSE),0)</f>
        <v>0</v>
      </c>
      <c r="X224" s="193">
        <f t="shared" si="65"/>
        <v>0</v>
      </c>
      <c r="Y224" s="171">
        <f t="shared" si="60"/>
        <v>1</v>
      </c>
      <c r="Z224" s="103">
        <f t="shared" si="61"/>
        <v>0</v>
      </c>
    </row>
    <row r="225" spans="1:26" x14ac:dyDescent="0.25">
      <c r="A225" s="194" t="str">
        <f t="shared" si="56"/>
        <v>Øvrige</v>
      </c>
      <c r="B225" s="194" t="str">
        <f t="shared" si="57"/>
        <v/>
      </c>
      <c r="C225" s="194">
        <f>IF(COUNTIFS('Resultater - Danmark'!$D$3:$D$482,'Resultat-Produktion &amp; forbrug'!A225,'Resultater - Danmark'!$A$3:$A$482,"Til energi")+COUNTIFS('Resultater - Danmark'!$D$3:$D$482,'Resultat-Produktion &amp; forbrug'!A225,'Resultater - Danmark'!$A$3:$A$482,"Biogasanlæg")&gt;0,1,0)</f>
        <v>0</v>
      </c>
      <c r="D225" s="194">
        <f t="shared" si="58"/>
        <v>2030</v>
      </c>
      <c r="E225" s="192" t="s">
        <v>24</v>
      </c>
      <c r="F225" s="195">
        <f>IF(E225="Vestdanmark",SUMIFS(IF(D225=År1,'Resultater - Vestdanmark'!H$3:H$482,IF(D225=År2,'Resultater - Vestdanmark'!I$3:I$482,'Resultater - Vestdanmark'!J$3:J$482)),'Resultater - Vestdanmark'!$F$3:$F$482,$A225,IF(D225=År1,'Resultater - Vestdanmark'!H$3:H$482,IF(D225=År2,'Resultater - Vestdanmark'!I$3:I$482,'Resultater - Vestdanmark'!J$3:J$482)),"&gt;0"),SUMIFS(IF(D225=År1,'Resultater - Østdanmark'!H$3:H$482,IF(D225=År2,'Resultater - Østdanmark'!I$3:I$482,'Resultater - Østdanmark'!J$3:J$482)),'Resultater - Østdanmark'!$F$3:$F$482,$A225,IF(D225=År1,'Resultater - Østdanmark'!H$3:H$482,IF(D225=År2,'Resultater - Østdanmark'!I$3:I$482,'Resultater - Østdanmark'!J$3:J$482)),"&gt;0"))</f>
        <v>0</v>
      </c>
      <c r="G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92">
        <f>IF(E225="Vestdanmark",-IF(A225="Halm",SUMIFS(IF(D225=År1,'Resultater - Vestdanmark'!H$3:H$482,IF(D225=År2,'Resultater - Vestdanmark'!I$3:I$482,'Resultater - Vestdanmark'!J$3:J$482)),'Resultater - Vestdanmark'!$F$3:$F$482,$A225,'Resultater - Vestdanmark'!H$3:H$482,"&lt;0"),0),-IF(A225="Halm",SUMIFS(IF(D225=År1,'Resultater - Østdanmark'!H$3:H$482,IF(D225=År2,'Resultater - Østdanmark'!I$3:I$482,'Resultater - Østdanmark'!J$3:J$482)),'Resultater - Østdanmark'!$F$3:$F$482,$A225,'Resultater - Østdanmark'!H$3:H$482,"&lt;0"),0))</f>
        <v>0</v>
      </c>
      <c r="I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5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7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204">
        <f t="shared" si="62"/>
        <v>0</v>
      </c>
      <c r="O225" s="195">
        <f t="shared" si="59"/>
        <v>0</v>
      </c>
      <c r="P225" s="205">
        <f t="shared" si="63"/>
        <v>0</v>
      </c>
      <c r="Q225" s="192">
        <f>IFERROR(VLOOKUP(A225,[1]Energiindhold!$A$2:$C$11,3,FALSE),IFERROR(VLOOKUP(A225,[1]Biogasudbytte!$A$2:$B$18,2,FALSE)*[1]Energiindhold!$C$10,0))*O225</f>
        <v>0</v>
      </c>
      <c r="R225" s="192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92">
        <f>IFERROR(VLOOKUP(A225,[1]Biogasudbytte!$A$2:$B$18,2,FALSE)*[1]Energiindhold!$C$10,0)*J225*IFERROR(VLOOKUP(A225,Biogasanlæg!$F$3:$G$8,2,FALSE),1)</f>
        <v>0</v>
      </c>
      <c r="T225" s="193">
        <f t="shared" si="64"/>
        <v>0</v>
      </c>
      <c r="U225" s="191">
        <f>O225*IFERROR(VLOOKUP(A225,[1]Tørstofindhold!A$2:B$24,2,FALSE),0)</f>
        <v>0</v>
      </c>
      <c r="V225" s="192">
        <f>IF(D225=År1,P225,SUM(O225,P225))*IFERROR(VLOOKUP(A225,[1]Tørstofindhold!A$2:B$24,2,FALSE),0)</f>
        <v>0</v>
      </c>
      <c r="W225" s="192">
        <f>J225*IFERROR(VLOOKUP(A225,[1]Tørstofindhold!A$2:B$24,2,FALSE),0)</f>
        <v>0</v>
      </c>
      <c r="X225" s="193">
        <f t="shared" si="65"/>
        <v>0</v>
      </c>
      <c r="Y225" s="171">
        <f t="shared" si="60"/>
        <v>0</v>
      </c>
      <c r="Z225" s="103">
        <f t="shared" si="61"/>
        <v>0</v>
      </c>
    </row>
    <row r="226" spans="1:26" x14ac:dyDescent="0.25">
      <c r="A226" s="194" t="str">
        <f t="shared" si="56"/>
        <v>Pil &amp; poppel</v>
      </c>
      <c r="B226" s="194" t="str">
        <f t="shared" si="57"/>
        <v>Vedmasse</v>
      </c>
      <c r="C226" s="194">
        <f>IF(COUNTIFS('Resultater - Danmark'!$D$3:$D$482,'Resultat-Produktion &amp; forbrug'!A226,'Resultater - Danmark'!$A$3:$A$482,"Til energi")+COUNTIFS('Resultater - Danmark'!$D$3:$D$482,'Resultat-Produktion &amp; forbrug'!A226,'Resultater - Danmark'!$A$3:$A$482,"Biogasanlæg")&gt;0,1,0)</f>
        <v>1</v>
      </c>
      <c r="D226" s="194">
        <f t="shared" si="58"/>
        <v>2030</v>
      </c>
      <c r="E226" s="192" t="s">
        <v>24</v>
      </c>
      <c r="F226" s="195">
        <f>IF(E226="Vestdanmark",SUMIFS(IF(D226=År1,'Resultater - Vestdanmark'!H$3:H$482,IF(D226=År2,'Resultater - Vestdanmark'!I$3:I$482,'Resultater - Vestdanmark'!J$3:J$482)),'Resultater - Vestdanmark'!$F$3:$F$482,$A226,IF(D226=År1,'Resultater - Vestdanmark'!H$3:H$482,IF(D226=År2,'Resultater - Vestdanmark'!I$3:I$482,'Resultater - Vestdanmark'!J$3:J$482)),"&gt;0"),SUMIFS(IF(D226=År1,'Resultater - Østdanmark'!H$3:H$482,IF(D226=År2,'Resultater - Østdanmark'!I$3:I$482,'Resultater - Østdanmark'!J$3:J$482)),'Resultater - Østdanmark'!$F$3:$F$482,$A226,IF(D226=År1,'Resultater - Østdanmark'!H$3:H$482,IF(D226=År2,'Resultater - Østdanmark'!I$3:I$482,'Resultater - Østdanmark'!J$3:J$482)),"&gt;0"))</f>
        <v>0</v>
      </c>
      <c r="G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92">
        <f>IF(E226="Vestdanmark",-IF(A226="Halm",SUMIFS(IF(D226=År1,'Resultater - Vestdanmark'!H$3:H$482,IF(D226=År2,'Resultater - Vestdanmark'!I$3:I$482,'Resultater - Vestdanmark'!J$3:J$482)),'Resultater - Vestdanmark'!$F$3:$F$482,$A226,'Resultater - Vestdanmark'!H$3:H$482,"&lt;0"),0),-IF(A226="Halm",SUMIFS(IF(D226=År1,'Resultater - Østdanmark'!H$3:H$482,IF(D226=År2,'Resultater - Østdanmark'!I$3:I$482,'Resultater - Østdanmark'!J$3:J$482)),'Resultater - Østdanmark'!$F$3:$F$482,$A226,'Resultater - Østdanmark'!H$3:H$482,"&lt;0"),0))</f>
        <v>0</v>
      </c>
      <c r="I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5" t="e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#REF!</v>
      </c>
      <c r="M226" s="157" t="e">
        <f>SUMIFS('Forbrug af biomasse'!E:E,'Forbrug af biomasse'!C:C,'Resultat-Produktion &amp; forbrug'!$A226,'Forbrug af biomasse'!D:D,'Resultat-Produktion &amp; forbrug'!$D226,'Forbrug af biomasse'!G:G,1,'Forbrug af biomasse'!B:B,$E226)</f>
        <v>#REF!</v>
      </c>
      <c r="N226" s="204" t="e">
        <f t="shared" si="62"/>
        <v>#REF!</v>
      </c>
      <c r="O226" s="195" t="e">
        <f t="shared" si="59"/>
        <v>#REF!</v>
      </c>
      <c r="P226" s="205" t="e">
        <f t="shared" si="63"/>
        <v>#REF!</v>
      </c>
      <c r="Q226" s="192" t="e">
        <f>IFERROR(VLOOKUP(A226,[1]Energiindhold!$A$2:$C$11,3,FALSE),IFERROR(VLOOKUP(A226,[1]Biogasudbytte!$A$2:$B$18,2,FALSE)*[1]Energiindhold!$C$10,0))*O226</f>
        <v>#REF!</v>
      </c>
      <c r="R226" s="192" t="e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#REF!</v>
      </c>
      <c r="S226" s="192">
        <f>IFERROR(VLOOKUP(A226,[1]Biogasudbytte!$A$2:$B$18,2,FALSE)*[1]Energiindhold!$C$10,0)*J226*IFERROR(VLOOKUP(A226,Biogasanlæg!$F$3:$G$8,2,FALSE),1)</f>
        <v>0</v>
      </c>
      <c r="T226" s="193" t="e">
        <f t="shared" si="64"/>
        <v>#REF!</v>
      </c>
      <c r="U226" s="191" t="e">
        <f>O226*IFERROR(VLOOKUP(A226,[1]Tørstofindhold!A$2:B$24,2,FALSE),0)</f>
        <v>#REF!</v>
      </c>
      <c r="V226" s="192" t="e">
        <f>IF(D226=År1,P226,SUM(O226,P226))*IFERROR(VLOOKUP(A226,[1]Tørstofindhold!A$2:B$24,2,FALSE),0)</f>
        <v>#REF!</v>
      </c>
      <c r="W226" s="192">
        <f>J226*IFERROR(VLOOKUP(A226,[1]Tørstofindhold!A$2:B$24,2,FALSE),0)</f>
        <v>0</v>
      </c>
      <c r="X226" s="193" t="e">
        <f t="shared" si="65"/>
        <v>#REF!</v>
      </c>
      <c r="Y226" s="171" t="e">
        <f t="shared" si="60"/>
        <v>#REF!</v>
      </c>
      <c r="Z226" s="103" t="e">
        <f t="shared" si="61"/>
        <v>#REF!</v>
      </c>
    </row>
    <row r="227" spans="1:26" x14ac:dyDescent="0.25">
      <c r="A227" s="194" t="str">
        <f t="shared" ref="A227:A228" si="66">A179</f>
        <v>Pyrolysegas</v>
      </c>
      <c r="B227" s="194" t="str">
        <f t="shared" ref="B227:B228" si="67">IF(B179&lt;&gt;"",B179,"")</f>
        <v>Pyrolyseprodukter</v>
      </c>
      <c r="C227" s="194">
        <f>IF(COUNTIFS('Resultater - Danmark'!$D$3:$D$482,'Resultat-Produktion &amp; forbrug'!A227,'Resultater - Danmark'!$A$3:$A$482,"Til energi")+COUNTIFS('Resultater - Danmark'!$D$3:$D$482,'Resultat-Produktion &amp; forbrug'!A227,'Resultater - Danmark'!$A$3:$A$482,"Biogasanlæg")&gt;0,1,0)</f>
        <v>1</v>
      </c>
      <c r="D227" s="194">
        <f t="shared" si="58"/>
        <v>2030</v>
      </c>
      <c r="E227" s="192" t="s">
        <v>24</v>
      </c>
      <c r="F227" s="195">
        <f>IF(E227="Vestdanmark",SUMIFS(IF(D227=År1,'Resultater - Vestdanmark'!H$3:H$482,IF(D227=År2,'Resultater - Vestdanmark'!I$3:I$482,'Resultater - Vestdanmark'!J$3:J$482)),'Resultater - Vestdanmark'!$F$3:$F$482,$A227,IF(D227=År1,'Resultater - Vestdanmark'!H$3:H$482,IF(D227=År2,'Resultater - Vestdanmark'!I$3:I$482,'Resultater - Vestdanmark'!J$3:J$482)),"&gt;0"),SUMIFS(IF(D227=År1,'Resultater - Østdanmark'!H$3:H$482,IF(D227=År2,'Resultater - Østdanmark'!I$3:I$482,'Resultater - Østdanmark'!J$3:J$482)),'Resultater - Østdanmark'!$F$3:$F$482,$A227,IF(D227=År1,'Resultater - Østdanmark'!H$3:H$482,IF(D227=År2,'Resultater - Østdanmark'!I$3:I$482,'Resultater - Østdanmark'!J$3:J$482)),"&gt;0"))</f>
        <v>0</v>
      </c>
      <c r="G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92">
        <f>IF(E227="Vestdanmark",-IF(A227="Halm",SUMIFS(IF(D227=År1,'Resultater - Vestdanmark'!H$3:H$482,IF(D227=År2,'Resultater - Vestdanmark'!I$3:I$482,'Resultater - Vestdanmark'!J$3:J$482)),'Resultater - Vestdanmark'!$F$3:$F$482,$A227,'Resultater - Vestdanmark'!H$3:H$482,"&lt;0"),0),-IF(A227="Halm",SUMIFS(IF(D227=År1,'Resultater - Østdanmark'!H$3:H$482,IF(D227=År2,'Resultater - Østdanmark'!I$3:I$482,'Resultater - Østdanmark'!J$3:J$482)),'Resultater - Østdanmark'!$F$3:$F$482,$A227,'Resultater - Østdanmark'!H$3:H$482,"&lt;0"),0))</f>
        <v>0</v>
      </c>
      <c r="I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5" t="e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#REF!</v>
      </c>
      <c r="M227" s="157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204" t="e">
        <f t="shared" ref="N227:N228" si="68">F227-SUM(G227:M227)</f>
        <v>#REF!</v>
      </c>
      <c r="O227" s="195" t="e">
        <f t="shared" si="59"/>
        <v>#REF!</v>
      </c>
      <c r="P227" s="205" t="e">
        <f t="shared" ref="P227:P228" si="69">SUM(J227,L227)</f>
        <v>#REF!</v>
      </c>
      <c r="Q227" s="192" t="e">
        <f>IFERROR(VLOOKUP(A227,[1]Energiindhold!$A$2:$C$11,3,FALSE),IFERROR(VLOOKUP(A227,[1]Biogasudbytte!$A$2:$B$18,2,FALSE)*[1]Energiindhold!$C$10,0))*O227</f>
        <v>#REF!</v>
      </c>
      <c r="R227" s="192" t="e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#REF!</v>
      </c>
      <c r="S227" s="192">
        <f>IFERROR(VLOOKUP(A227,[1]Biogasudbytte!$A$2:$B$18,2,FALSE)*[1]Energiindhold!$C$10,0)*J227*IFERROR(VLOOKUP(A227,Biogasanlæg!$F$3:$G$8,2,FALSE),1)</f>
        <v>0</v>
      </c>
      <c r="T227" s="193" t="e">
        <f t="shared" ref="T227:T228" si="70">R227-S227</f>
        <v>#REF!</v>
      </c>
      <c r="U227" s="191" t="e">
        <f>O227*IFERROR(VLOOKUP(A227,[1]Tørstofindhold!A$2:B$24,2,FALSE),0)</f>
        <v>#REF!</v>
      </c>
      <c r="V227" s="192" t="e">
        <f>IF(D227=År1,P227,SUM(O227,P227))*IFERROR(VLOOKUP(A227,[1]Tørstofindhold!A$2:B$24,2,FALSE),0)</f>
        <v>#REF!</v>
      </c>
      <c r="W227" s="192">
        <f>J227*IFERROR(VLOOKUP(A227,[1]Tørstofindhold!A$2:B$24,2,FALSE),0)</f>
        <v>0</v>
      </c>
      <c r="X227" s="193" t="e">
        <f t="shared" ref="X227:X228" si="71">V227-W227</f>
        <v>#REF!</v>
      </c>
      <c r="Y227" s="171" t="e">
        <f t="shared" si="60"/>
        <v>#REF!</v>
      </c>
      <c r="Z227" s="103" t="e">
        <f t="shared" si="61"/>
        <v>#REF!</v>
      </c>
    </row>
    <row r="228" spans="1:26" x14ac:dyDescent="0.25">
      <c r="A228" s="194" t="str">
        <f t="shared" si="66"/>
        <v>Pyrolyseolie</v>
      </c>
      <c r="B228" s="194" t="str">
        <f t="shared" si="67"/>
        <v>Pyrolyseprodukter</v>
      </c>
      <c r="C228" s="194">
        <f>IF(COUNTIFS('Resultater - Danmark'!$D$3:$D$482,'Resultat-Produktion &amp; forbrug'!A228,'Resultater - Danmark'!$A$3:$A$482,"Til energi")+COUNTIFS('Resultater - Danmark'!$D$3:$D$482,'Resultat-Produktion &amp; forbrug'!A228,'Resultater - Danmark'!$A$3:$A$482,"Biogasanlæg")&gt;0,1,0)</f>
        <v>1</v>
      </c>
      <c r="D228" s="194">
        <f t="shared" si="58"/>
        <v>2030</v>
      </c>
      <c r="E228" s="192" t="s">
        <v>24</v>
      </c>
      <c r="F228" s="195">
        <f>IF(E228="Vestdanmark",SUMIFS(IF(D228=År1,'Resultater - Vestdanmark'!H$3:H$482,IF(D228=År2,'Resultater - Vestdanmark'!I$3:I$482,'Resultater - Vestdanmark'!J$3:J$482)),'Resultater - Vestdanmark'!$F$3:$F$482,$A228,IF(D228=År1,'Resultater - Vestdanmark'!H$3:H$482,IF(D228=År2,'Resultater - Vestdanmark'!I$3:I$482,'Resultater - Vestdanmark'!J$3:J$482)),"&gt;0"),SUMIFS(IF(D228=År1,'Resultater - Østdanmark'!H$3:H$482,IF(D228=År2,'Resultater - Østdanmark'!I$3:I$482,'Resultater - Østdanmark'!J$3:J$482)),'Resultater - Østdanmark'!$F$3:$F$482,$A228,IF(D228=År1,'Resultater - Østdanmark'!H$3:H$482,IF(D228=År2,'Resultater - Østdanmark'!I$3:I$482,'Resultater - Østdanmark'!J$3:J$482)),"&gt;0"))</f>
        <v>0</v>
      </c>
      <c r="G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92">
        <f>IF(E228="Vestdanmark",-IF(A228="Halm",SUMIFS(IF(D228=År1,'Resultater - Vestdanmark'!H$3:H$482,IF(D228=År2,'Resultater - Vestdanmark'!I$3:I$482,'Resultater - Vestdanmark'!J$3:J$482)),'Resultater - Vestdanmark'!$F$3:$F$482,$A228,'Resultater - Vestdanmark'!H$3:H$482,"&lt;0"),0),-IF(A228="Halm",SUMIFS(IF(D228=År1,'Resultater - Østdanmark'!H$3:H$482,IF(D228=År2,'Resultater - Østdanmark'!I$3:I$482,'Resultater - Østdanmark'!J$3:J$482)),'Resultater - Østdanmark'!$F$3:$F$482,$A228,'Resultater - Østdanmark'!H$3:H$482,"&lt;0"),0))</f>
        <v>0</v>
      </c>
      <c r="I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5" t="e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#REF!</v>
      </c>
      <c r="M228" s="157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204" t="e">
        <f t="shared" si="68"/>
        <v>#REF!</v>
      </c>
      <c r="O228" s="195" t="e">
        <f t="shared" si="59"/>
        <v>#REF!</v>
      </c>
      <c r="P228" s="205" t="e">
        <f t="shared" si="69"/>
        <v>#REF!</v>
      </c>
      <c r="Q228" s="192" t="e">
        <f>IFERROR(VLOOKUP(A228,[1]Energiindhold!$A$2:$C$11,3,FALSE),IFERROR(VLOOKUP(A228,[1]Biogasudbytte!$A$2:$B$18,2,FALSE)*[1]Energiindhold!$C$10,0))*O228</f>
        <v>#REF!</v>
      </c>
      <c r="R228" s="192" t="e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#REF!</v>
      </c>
      <c r="S228" s="192">
        <f>IFERROR(VLOOKUP(A228,[1]Biogasudbytte!$A$2:$B$18,2,FALSE)*[1]Energiindhold!$C$10,0)*J228*IFERROR(VLOOKUP(A228,Biogasanlæg!$F$3:$G$8,2,FALSE),1)</f>
        <v>0</v>
      </c>
      <c r="T228" s="193" t="e">
        <f t="shared" si="70"/>
        <v>#REF!</v>
      </c>
      <c r="U228" s="191" t="e">
        <f>O228*IFERROR(VLOOKUP(A228,[1]Tørstofindhold!A$2:B$24,2,FALSE),0)</f>
        <v>#REF!</v>
      </c>
      <c r="V228" s="192" t="e">
        <f>IF(D228=År1,P228,SUM(O228,P228))*IFERROR(VLOOKUP(A228,[1]Tørstofindhold!A$2:B$24,2,FALSE),0)</f>
        <v>#REF!</v>
      </c>
      <c r="W228" s="192">
        <f>J228*IFERROR(VLOOKUP(A228,[1]Tørstofindhold!A$2:B$24,2,FALSE),0)</f>
        <v>0</v>
      </c>
      <c r="X228" s="193" t="e">
        <f t="shared" si="71"/>
        <v>#REF!</v>
      </c>
      <c r="Y228" s="171" t="e">
        <f t="shared" si="60"/>
        <v>#REF!</v>
      </c>
      <c r="Z228" s="103" t="e">
        <f t="shared" si="61"/>
        <v>#REF!</v>
      </c>
    </row>
    <row r="229" spans="1:26" x14ac:dyDescent="0.25">
      <c r="A229" s="194" t="str">
        <f t="shared" ref="A229:A274" si="72">A181</f>
        <v>Råmælk</v>
      </c>
      <c r="B229" s="194" t="str">
        <f t="shared" ref="B229:B274" si="73">IF(B181&lt;&gt;"",B181,"")</f>
        <v/>
      </c>
      <c r="C229" s="194">
        <f>IF(COUNTIFS('Resultater - Danmark'!$D$3:$D$482,'Resultat-Produktion &amp; forbrug'!A229,'Resultater - Danmark'!$A$3:$A$482,"Til energi")+COUNTIFS('Resultater - Danmark'!$D$3:$D$482,'Resultat-Produktion &amp; forbrug'!A229,'Resultater - Danmark'!$A$3:$A$482,"Biogasanlæg")&gt;0,1,0)</f>
        <v>0</v>
      </c>
      <c r="D229" s="194">
        <f t="shared" si="58"/>
        <v>2030</v>
      </c>
      <c r="E229" s="192" t="s">
        <v>24</v>
      </c>
      <c r="F229" s="195">
        <f>IF(E229="Vestdanmark",SUMIFS(IF(D229=År1,'Resultater - Vestdanmark'!H$3:H$482,IF(D229=År2,'Resultater - Vestdanmark'!I$3:I$482,'Resultater - Vestdanmark'!J$3:J$482)),'Resultater - Vestdanmark'!$F$3:$F$482,$A229,IF(D229=År1,'Resultater - Vestdanmark'!H$3:H$482,IF(D229=År2,'Resultater - Vestdanmark'!I$3:I$482,'Resultater - Vestdanmark'!J$3:J$482)),"&gt;0"),SUMIFS(IF(D229=År1,'Resultater - Østdanmark'!H$3:H$482,IF(D229=År2,'Resultater - Østdanmark'!I$3:I$482,'Resultater - Østdanmark'!J$3:J$482)),'Resultater - Østdanmark'!$F$3:$F$482,$A229,IF(D229=År1,'Resultater - Østdanmark'!H$3:H$482,IF(D229=År2,'Resultater - Østdanmark'!I$3:I$482,'Resultater - Østdanmark'!J$3:J$482)),"&gt;0"))</f>
        <v>0</v>
      </c>
      <c r="G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92">
        <f>IF(E229="Vestdanmark",-IF(A229="Halm",SUMIFS(IF(D229=År1,'Resultater - Vestdanmark'!H$3:H$482,IF(D229=År2,'Resultater - Vestdanmark'!I$3:I$482,'Resultater - Vestdanmark'!J$3:J$482)),'Resultater - Vestdanmark'!$F$3:$F$482,$A229,'Resultater - Vestdanmark'!H$3:H$482,"&lt;0"),0),-IF(A229="Halm",SUMIFS(IF(D229=År1,'Resultater - Østdanmark'!H$3:H$482,IF(D229=År2,'Resultater - Østdanmark'!I$3:I$482,'Resultater - Østdanmark'!J$3:J$482)),'Resultater - Østdanmark'!$F$3:$F$482,$A229,'Resultater - Østdanmark'!H$3:H$482,"&lt;0"),0))</f>
        <v>0</v>
      </c>
      <c r="I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5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7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204">
        <f t="shared" si="62"/>
        <v>0</v>
      </c>
      <c r="O229" s="195">
        <f t="shared" si="59"/>
        <v>0</v>
      </c>
      <c r="P229" s="205">
        <f t="shared" si="63"/>
        <v>0</v>
      </c>
      <c r="Q229" s="192">
        <f>IFERROR(VLOOKUP(A229,[1]Energiindhold!$A$2:$C$11,3,FALSE),IFERROR(VLOOKUP(A229,[1]Biogasudbytte!$A$2:$B$18,2,FALSE)*[1]Energiindhold!$C$10,0))*O229</f>
        <v>0</v>
      </c>
      <c r="R229" s="192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92">
        <f>IFERROR(VLOOKUP(A229,[1]Biogasudbytte!$A$2:$B$18,2,FALSE)*[1]Energiindhold!$C$10,0)*J229*IFERROR(VLOOKUP(A229,Biogasanlæg!$F$3:$G$8,2,FALSE),1)</f>
        <v>0</v>
      </c>
      <c r="T229" s="193">
        <f t="shared" si="64"/>
        <v>0</v>
      </c>
      <c r="U229" s="191">
        <f>O229*IFERROR(VLOOKUP(A229,[1]Tørstofindhold!A$2:B$24,2,FALSE),0)</f>
        <v>0</v>
      </c>
      <c r="V229" s="192">
        <f>IF(D229=År1,P229,SUM(O229,P229))*IFERROR(VLOOKUP(A229,[1]Tørstofindhold!A$2:B$24,2,FALSE),0)</f>
        <v>0</v>
      </c>
      <c r="W229" s="192">
        <f>J229*IFERROR(VLOOKUP(A229,[1]Tørstofindhold!A$2:B$24,2,FALSE),0)</f>
        <v>0</v>
      </c>
      <c r="X229" s="193">
        <f t="shared" si="65"/>
        <v>0</v>
      </c>
      <c r="Y229" s="171">
        <f t="shared" si="60"/>
        <v>0</v>
      </c>
      <c r="Z229" s="103">
        <f t="shared" si="61"/>
        <v>0</v>
      </c>
    </row>
    <row r="230" spans="1:26" x14ac:dyDescent="0.25">
      <c r="A230" s="194" t="str">
        <f t="shared" si="72"/>
        <v>Raps</v>
      </c>
      <c r="B230" s="194" t="str">
        <f t="shared" si="73"/>
        <v/>
      </c>
      <c r="C230" s="194">
        <f>IF(COUNTIFS('Resultater - Danmark'!$D$3:$D$482,'Resultat-Produktion &amp; forbrug'!A230,'Resultater - Danmark'!$A$3:$A$482,"Til energi")+COUNTIFS('Resultater - Danmark'!$D$3:$D$482,'Resultat-Produktion &amp; forbrug'!A230,'Resultater - Danmark'!$A$3:$A$482,"Biogasanlæg")&gt;0,1,0)</f>
        <v>0</v>
      </c>
      <c r="D230" s="194">
        <f t="shared" si="58"/>
        <v>2030</v>
      </c>
      <c r="E230" s="192" t="s">
        <v>24</v>
      </c>
      <c r="F230" s="195">
        <f>IF(E230="Vestdanmark",SUMIFS(IF(D230=År1,'Resultater - Vestdanmark'!H$3:H$482,IF(D230=År2,'Resultater - Vestdanmark'!I$3:I$482,'Resultater - Vestdanmark'!J$3:J$482)),'Resultater - Vestdanmark'!$F$3:$F$482,$A230,IF(D230=År1,'Resultater - Vestdanmark'!H$3:H$482,IF(D230=År2,'Resultater - Vestdanmark'!I$3:I$482,'Resultater - Vestdanmark'!J$3:J$482)),"&gt;0"),SUMIFS(IF(D230=År1,'Resultater - Østdanmark'!H$3:H$482,IF(D230=År2,'Resultater - Østdanmark'!I$3:I$482,'Resultater - Østdanmark'!J$3:J$482)),'Resultater - Østdanmark'!$F$3:$F$482,$A230,IF(D230=År1,'Resultater - Østdanmark'!H$3:H$482,IF(D230=År2,'Resultater - Østdanmark'!I$3:I$482,'Resultater - Østdanmark'!J$3:J$482)),"&gt;0"))</f>
        <v>0</v>
      </c>
      <c r="G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92">
        <f>IF(E230="Vestdanmark",-IF(A230="Halm",SUMIFS(IF(D230=År1,'Resultater - Vestdanmark'!H$3:H$482,IF(D230=År2,'Resultater - Vestdanmark'!I$3:I$482,'Resultater - Vestdanmark'!J$3:J$482)),'Resultater - Vestdanmark'!$F$3:$F$482,$A230,'Resultater - Vestdanmark'!H$3:H$482,"&lt;0"),0),-IF(A230="Halm",SUMIFS(IF(D230=År1,'Resultater - Østdanmark'!H$3:H$482,IF(D230=År2,'Resultater - Østdanmark'!I$3:I$482,'Resultater - Østdanmark'!J$3:J$482)),'Resultater - Østdanmark'!$F$3:$F$482,$A230,'Resultater - Østdanmark'!H$3:H$482,"&lt;0"),0))</f>
        <v>0</v>
      </c>
      <c r="I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5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7" t="e">
        <f>SUMIFS('Forbrug af biomasse'!E:E,'Forbrug af biomasse'!C:C,'Resultat-Produktion &amp; forbrug'!$A230,'Forbrug af biomasse'!D:D,'Resultat-Produktion &amp; forbrug'!$D230,'Forbrug af biomasse'!G:G,1,'Forbrug af biomasse'!B:B,$E230)</f>
        <v>#REF!</v>
      </c>
      <c r="N230" s="204" t="e">
        <f t="shared" si="62"/>
        <v>#REF!</v>
      </c>
      <c r="O230" s="195">
        <f t="shared" si="59"/>
        <v>0</v>
      </c>
      <c r="P230" s="205">
        <f t="shared" si="63"/>
        <v>0</v>
      </c>
      <c r="Q230" s="192">
        <f>IFERROR(VLOOKUP(A230,[1]Energiindhold!$A$2:$C$11,3,FALSE),IFERROR(VLOOKUP(A230,[1]Biogasudbytte!$A$2:$B$18,2,FALSE)*[1]Energiindhold!$C$10,0))*O230</f>
        <v>0</v>
      </c>
      <c r="R230" s="192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92">
        <f>IFERROR(VLOOKUP(A230,[1]Biogasudbytte!$A$2:$B$18,2,FALSE)*[1]Energiindhold!$C$10,0)*J230*IFERROR(VLOOKUP(A230,Biogasanlæg!$F$3:$G$8,2,FALSE),1)</f>
        <v>0</v>
      </c>
      <c r="T230" s="193">
        <f t="shared" si="64"/>
        <v>0</v>
      </c>
      <c r="U230" s="191">
        <f>O230*IFERROR(VLOOKUP(A230,[1]Tørstofindhold!A$2:B$24,2,FALSE),0)</f>
        <v>0</v>
      </c>
      <c r="V230" s="192">
        <f>IF(D230=År1,P230,SUM(O230,P230))*IFERROR(VLOOKUP(A230,[1]Tørstofindhold!A$2:B$24,2,FALSE),0)</f>
        <v>0</v>
      </c>
      <c r="W230" s="192">
        <f>J230*IFERROR(VLOOKUP(A230,[1]Tørstofindhold!A$2:B$24,2,FALSE),0)</f>
        <v>0</v>
      </c>
      <c r="X230" s="193">
        <f t="shared" si="65"/>
        <v>0</v>
      </c>
      <c r="Y230" s="171" t="e">
        <f t="shared" si="60"/>
        <v>#REF!</v>
      </c>
      <c r="Z230" s="103" t="e">
        <f t="shared" si="61"/>
        <v>#REF!</v>
      </c>
    </row>
    <row r="231" spans="1:26" x14ac:dyDescent="0.25">
      <c r="A231" s="194" t="str">
        <f t="shared" si="72"/>
        <v>Rapskage</v>
      </c>
      <c r="B231" s="194" t="str">
        <f t="shared" si="73"/>
        <v/>
      </c>
      <c r="C231" s="194">
        <f>IF(COUNTIFS('Resultater - Danmark'!$D$3:$D$482,'Resultat-Produktion &amp; forbrug'!A231,'Resultater - Danmark'!$A$3:$A$482,"Til energi")+COUNTIFS('Resultater - Danmark'!$D$3:$D$482,'Resultat-Produktion &amp; forbrug'!A231,'Resultater - Danmark'!$A$3:$A$482,"Biogasanlæg")&gt;0,1,0)</f>
        <v>0</v>
      </c>
      <c r="D231" s="194">
        <f t="shared" si="58"/>
        <v>2030</v>
      </c>
      <c r="E231" s="192" t="s">
        <v>24</v>
      </c>
      <c r="F231" s="195">
        <f>IF(E231="Vestdanmark",SUMIFS(IF(D231=År1,'Resultater - Vestdanmark'!H$3:H$482,IF(D231=År2,'Resultater - Vestdanmark'!I$3:I$482,'Resultater - Vestdanmark'!J$3:J$482)),'Resultater - Vestdanmark'!$F$3:$F$482,$A231,IF(D231=År1,'Resultater - Vestdanmark'!H$3:H$482,IF(D231=År2,'Resultater - Vestdanmark'!I$3:I$482,'Resultater - Vestdanmark'!J$3:J$482)),"&gt;0"),SUMIFS(IF(D231=År1,'Resultater - Østdanmark'!H$3:H$482,IF(D231=År2,'Resultater - Østdanmark'!I$3:I$482,'Resultater - Østdanmark'!J$3:J$482)),'Resultater - Østdanmark'!$F$3:$F$482,$A231,IF(D231=År1,'Resultater - Østdanmark'!H$3:H$482,IF(D231=År2,'Resultater - Østdanmark'!I$3:I$482,'Resultater - Østdanmark'!J$3:J$482)),"&gt;0"))</f>
        <v>0</v>
      </c>
      <c r="G231" s="195" t="e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#REF!</v>
      </c>
      <c r="H231" s="192">
        <f>IF(E231="Vestdanmark",-IF(A231="Halm",SUMIFS(IF(D231=År1,'Resultater - Vestdanmark'!H$3:H$482,IF(D231=År2,'Resultater - Vestdanmark'!I$3:I$482,'Resultater - Vestdanmark'!J$3:J$482)),'Resultater - Vestdanmark'!$F$3:$F$482,$A231,'Resultater - Vestdanmark'!H$3:H$482,"&lt;0"),0),-IF(A231="Halm",SUMIFS(IF(D231=År1,'Resultater - Østdanmark'!H$3:H$482,IF(D231=År2,'Resultater - Østdanmark'!I$3:I$482,'Resultater - Østdanmark'!J$3:J$482)),'Resultater - Østdanmark'!$F$3:$F$482,$A231,'Resultater - Østdanmark'!H$3:H$482,"&lt;0"),0))</f>
        <v>0</v>
      </c>
      <c r="I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5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7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204" t="e">
        <f t="shared" si="62"/>
        <v>#REF!</v>
      </c>
      <c r="O231" s="195">
        <f t="shared" si="59"/>
        <v>0</v>
      </c>
      <c r="P231" s="205">
        <f t="shared" si="63"/>
        <v>0</v>
      </c>
      <c r="Q231" s="192">
        <f>IFERROR(VLOOKUP(A231,[1]Energiindhold!$A$2:$C$11,3,FALSE),IFERROR(VLOOKUP(A231,[1]Biogasudbytte!$A$2:$B$18,2,FALSE)*[1]Energiindhold!$C$10,0))*O231</f>
        <v>0</v>
      </c>
      <c r="R231" s="192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92">
        <f>IFERROR(VLOOKUP(A231,[1]Biogasudbytte!$A$2:$B$18,2,FALSE)*[1]Energiindhold!$C$10,0)*J231*IFERROR(VLOOKUP(A231,Biogasanlæg!$F$3:$G$8,2,FALSE),1)</f>
        <v>0</v>
      </c>
      <c r="T231" s="193">
        <f t="shared" si="64"/>
        <v>0</v>
      </c>
      <c r="U231" s="191">
        <f>O231*IFERROR(VLOOKUP(A231,[1]Tørstofindhold!A$2:B$24,2,FALSE),0)</f>
        <v>0</v>
      </c>
      <c r="V231" s="192">
        <f>IF(D231=År1,P231,SUM(O231,P231))*IFERROR(VLOOKUP(A231,[1]Tørstofindhold!A$2:B$24,2,FALSE),0)</f>
        <v>0</v>
      </c>
      <c r="W231" s="192">
        <f>J231*IFERROR(VLOOKUP(A231,[1]Tørstofindhold!A$2:B$24,2,FALSE),0)</f>
        <v>0</v>
      </c>
      <c r="X231" s="193">
        <f t="shared" si="65"/>
        <v>0</v>
      </c>
      <c r="Y231" s="171" t="e">
        <f t="shared" si="60"/>
        <v>#REF!</v>
      </c>
      <c r="Z231" s="103" t="e">
        <f t="shared" si="61"/>
        <v>#REF!</v>
      </c>
    </row>
    <row r="232" spans="1:26" x14ac:dyDescent="0.25">
      <c r="A232" s="194" t="str">
        <f t="shared" si="72"/>
        <v>Rapsolie</v>
      </c>
      <c r="B232" s="194" t="str">
        <f t="shared" si="73"/>
        <v>Rapsolie</v>
      </c>
      <c r="C232" s="194">
        <f>IF(COUNTIFS('Resultater - Danmark'!$D$3:$D$482,'Resultat-Produktion &amp; forbrug'!A232,'Resultater - Danmark'!$A$3:$A$482,"Til energi")+COUNTIFS('Resultater - Danmark'!$D$3:$D$482,'Resultat-Produktion &amp; forbrug'!A232,'Resultater - Danmark'!$A$3:$A$482,"Biogasanlæg")&gt;0,1,0)</f>
        <v>1</v>
      </c>
      <c r="D232" s="194">
        <f t="shared" si="58"/>
        <v>2030</v>
      </c>
      <c r="E232" s="192" t="s">
        <v>24</v>
      </c>
      <c r="F232" s="195">
        <f>IF(E232="Vestdanmark",SUMIFS(IF(D232=År1,'Resultater - Vestdanmark'!H$3:H$482,IF(D232=År2,'Resultater - Vestdanmark'!I$3:I$482,'Resultater - Vestdanmark'!J$3:J$482)),'Resultater - Vestdanmark'!$F$3:$F$482,$A232,IF(D232=År1,'Resultater - Vestdanmark'!H$3:H$482,IF(D232=År2,'Resultater - Vestdanmark'!I$3:I$482,'Resultater - Vestdanmark'!J$3:J$482)),"&gt;0"),SUMIFS(IF(D232=År1,'Resultater - Østdanmark'!H$3:H$482,IF(D232=År2,'Resultater - Østdanmark'!I$3:I$482,'Resultater - Østdanmark'!J$3:J$482)),'Resultater - Østdanmark'!$F$3:$F$482,$A232,IF(D232=År1,'Resultater - Østdanmark'!H$3:H$482,IF(D232=År2,'Resultater - Østdanmark'!I$3:I$482,'Resultater - Østdanmark'!J$3:J$482)),"&gt;0"))</f>
        <v>0</v>
      </c>
      <c r="G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92">
        <f>IF(E232="Vestdanmark",-IF(A232="Halm",SUMIFS(IF(D232=År1,'Resultater - Vestdanmark'!H$3:H$482,IF(D232=År2,'Resultater - Vestdanmark'!I$3:I$482,'Resultater - Vestdanmark'!J$3:J$482)),'Resultater - Vestdanmark'!$F$3:$F$482,$A232,'Resultater - Vestdanmark'!H$3:H$482,"&lt;0"),0),-IF(A232="Halm",SUMIFS(IF(D232=År1,'Resultater - Østdanmark'!H$3:H$482,IF(D232=År2,'Resultater - Østdanmark'!I$3:I$482,'Resultater - Østdanmark'!J$3:J$482)),'Resultater - Østdanmark'!$F$3:$F$482,$A232,'Resultater - Østdanmark'!H$3:H$482,"&lt;0"),0))</f>
        <v>0</v>
      </c>
      <c r="I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5" t="e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#REF!</v>
      </c>
      <c r="M232" s="157" t="e">
        <f>SUMIFS('Forbrug af biomasse'!E:E,'Forbrug af biomasse'!C:C,'Resultat-Produktion &amp; forbrug'!$A232,'Forbrug af biomasse'!D:D,'Resultat-Produktion &amp; forbrug'!$D232,'Forbrug af biomasse'!G:G,1,'Forbrug af biomasse'!B:B,$E232)</f>
        <v>#REF!</v>
      </c>
      <c r="N232" s="204" t="e">
        <f t="shared" si="62"/>
        <v>#REF!</v>
      </c>
      <c r="O232" s="195" t="e">
        <f t="shared" si="59"/>
        <v>#REF!</v>
      </c>
      <c r="P232" s="205" t="e">
        <f t="shared" si="63"/>
        <v>#REF!</v>
      </c>
      <c r="Q232" s="192" t="e">
        <f>IFERROR(VLOOKUP(A232,[1]Energiindhold!$A$2:$C$11,3,FALSE),IFERROR(VLOOKUP(A232,[1]Biogasudbytte!$A$2:$B$18,2,FALSE)*[1]Energiindhold!$C$10,0))*O232</f>
        <v>#REF!</v>
      </c>
      <c r="R232" s="192" t="e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#REF!</v>
      </c>
      <c r="S232" s="192">
        <f>IFERROR(VLOOKUP(A232,[1]Biogasudbytte!$A$2:$B$18,2,FALSE)*[1]Energiindhold!$C$10,0)*J232*IFERROR(VLOOKUP(A232,Biogasanlæg!$F$3:$G$8,2,FALSE),1)</f>
        <v>0</v>
      </c>
      <c r="T232" s="193" t="e">
        <f t="shared" si="64"/>
        <v>#REF!</v>
      </c>
      <c r="U232" s="191" t="e">
        <f>O232*IFERROR(VLOOKUP(A232,[1]Tørstofindhold!A$2:B$24,2,FALSE),0)</f>
        <v>#REF!</v>
      </c>
      <c r="V232" s="192" t="e">
        <f>IF(D232=År1,P232,SUM(O232,P232))*IFERROR(VLOOKUP(A232,[1]Tørstofindhold!A$2:B$24,2,FALSE),0)</f>
        <v>#REF!</v>
      </c>
      <c r="W232" s="192">
        <f>J232*IFERROR(VLOOKUP(A232,[1]Tørstofindhold!A$2:B$24,2,FALSE),0)</f>
        <v>0</v>
      </c>
      <c r="X232" s="193" t="e">
        <f t="shared" si="65"/>
        <v>#REF!</v>
      </c>
      <c r="Y232" s="171" t="e">
        <f t="shared" si="60"/>
        <v>#REF!</v>
      </c>
      <c r="Z232" s="103" t="e">
        <f t="shared" si="61"/>
        <v>#REF!</v>
      </c>
    </row>
    <row r="233" spans="1:26" x14ac:dyDescent="0.25">
      <c r="A233" s="194" t="str">
        <f t="shared" si="72"/>
        <v>Roer</v>
      </c>
      <c r="B233" s="194" t="str">
        <f t="shared" si="73"/>
        <v>Græs og urter</v>
      </c>
      <c r="C233" s="194">
        <f>IF(COUNTIFS('Resultater - Danmark'!$D$3:$D$482,'Resultat-Produktion &amp; forbrug'!A233,'Resultater - Danmark'!$A$3:$A$482,"Til energi")+COUNTIFS('Resultater - Danmark'!$D$3:$D$482,'Resultat-Produktion &amp; forbrug'!A233,'Resultater - Danmark'!$A$3:$A$482,"Biogasanlæg")&gt;0,1,0)</f>
        <v>1</v>
      </c>
      <c r="D233" s="194">
        <f t="shared" si="58"/>
        <v>2030</v>
      </c>
      <c r="E233" s="192" t="s">
        <v>24</v>
      </c>
      <c r="F233" s="195">
        <f>IF(E233="Vestdanmark",SUMIFS(IF(D233=År1,'Resultater - Vestdanmark'!H$3:H$482,IF(D233=År2,'Resultater - Vestdanmark'!I$3:I$482,'Resultater - Vestdanmark'!J$3:J$482)),'Resultater - Vestdanmark'!$F$3:$F$482,$A233,IF(D233=År1,'Resultater - Vestdanmark'!H$3:H$482,IF(D233=År2,'Resultater - Vestdanmark'!I$3:I$482,'Resultater - Vestdanmark'!J$3:J$482)),"&gt;0"),SUMIFS(IF(D233=År1,'Resultater - Østdanmark'!H$3:H$482,IF(D233=År2,'Resultater - Østdanmark'!I$3:I$482,'Resultater - Østdanmark'!J$3:J$482)),'Resultater - Østdanmark'!$F$3:$F$482,$A233,IF(D233=År1,'Resultater - Østdanmark'!H$3:H$482,IF(D233=År2,'Resultater - Østdanmark'!I$3:I$482,'Resultater - Østdanmark'!J$3:J$482)),"&gt;0"))</f>
        <v>0</v>
      </c>
      <c r="G233" s="195" t="e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#REF!</v>
      </c>
      <c r="H233" s="192">
        <f>IF(E233="Vestdanmark",-IF(A233="Halm",SUMIFS(IF(D233=År1,'Resultater - Vestdanmark'!H$3:H$482,IF(D233=År2,'Resultater - Vestdanmark'!I$3:I$482,'Resultater - Vestdanmark'!J$3:J$482)),'Resultater - Vestdanmark'!$F$3:$F$482,$A233,'Resultater - Vestdanmark'!H$3:H$482,"&lt;0"),0),-IF(A233="Halm",SUMIFS(IF(D233=År1,'Resultater - Østdanmark'!H$3:H$482,IF(D233=År2,'Resultater - Østdanmark'!I$3:I$482,'Resultater - Østdanmark'!J$3:J$482)),'Resultater - Østdanmark'!$F$3:$F$482,$A233,'Resultater - Østdanmark'!H$3:H$482,"&lt;0"),0))</f>
        <v>0</v>
      </c>
      <c r="I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5" t="e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#REF!</v>
      </c>
      <c r="K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5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7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204" t="e">
        <f t="shared" si="62"/>
        <v>#REF!</v>
      </c>
      <c r="O233" s="195" t="e">
        <f t="shared" si="59"/>
        <v>#REF!</v>
      </c>
      <c r="P233" s="205" t="e">
        <f t="shared" si="63"/>
        <v>#REF!</v>
      </c>
      <c r="Q233" s="192" t="e">
        <f>IFERROR(VLOOKUP(A233,[1]Energiindhold!$A$2:$C$11,3,FALSE),IFERROR(VLOOKUP(A233,[1]Biogasudbytte!$A$2:$B$18,2,FALSE)*[1]Energiindhold!$C$10,0))*O233</f>
        <v>#REF!</v>
      </c>
      <c r="R233" s="192" t="e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#REF!</v>
      </c>
      <c r="S233" s="192" t="e">
        <f>IFERROR(VLOOKUP(A233,[1]Biogasudbytte!$A$2:$B$18,2,FALSE)*[1]Energiindhold!$C$10,0)*J233*IFERROR(VLOOKUP(A233,Biogasanlæg!$F$3:$G$8,2,FALSE),1)</f>
        <v>#REF!</v>
      </c>
      <c r="T233" s="193" t="e">
        <f t="shared" si="64"/>
        <v>#REF!</v>
      </c>
      <c r="U233" s="191" t="e">
        <f>O233*IFERROR(VLOOKUP(A233,[1]Tørstofindhold!A$2:B$24,2,FALSE),0)</f>
        <v>#REF!</v>
      </c>
      <c r="V233" s="192" t="e">
        <f>IF(D233=År1,P233,SUM(O233,P233))*IFERROR(VLOOKUP(A233,[1]Tørstofindhold!A$2:B$24,2,FALSE),0)</f>
        <v>#REF!</v>
      </c>
      <c r="W233" s="192" t="e">
        <f>J233*IFERROR(VLOOKUP(A233,[1]Tørstofindhold!A$2:B$24,2,FALSE),0)</f>
        <v>#REF!</v>
      </c>
      <c r="X233" s="193" t="e">
        <f t="shared" si="65"/>
        <v>#REF!</v>
      </c>
      <c r="Y233" s="171" t="e">
        <f t="shared" si="60"/>
        <v>#REF!</v>
      </c>
      <c r="Z233" s="103" t="e">
        <f t="shared" si="61"/>
        <v>#REF!</v>
      </c>
    </row>
    <row r="234" spans="1:26" x14ac:dyDescent="0.25">
      <c r="A234" s="194" t="str">
        <f t="shared" si="72"/>
        <v>Slagteriaffald til andet</v>
      </c>
      <c r="B234" s="194" t="str">
        <f t="shared" si="73"/>
        <v/>
      </c>
      <c r="C234" s="194">
        <f>IF(COUNTIFS('Resultater - Danmark'!$D$3:$D$482,'Resultat-Produktion &amp; forbrug'!A234,'Resultater - Danmark'!$A$3:$A$482,"Til energi")+COUNTIFS('Resultater - Danmark'!$D$3:$D$482,'Resultat-Produktion &amp; forbrug'!A234,'Resultater - Danmark'!$A$3:$A$482,"Biogasanlæg")&gt;0,1,0)</f>
        <v>0</v>
      </c>
      <c r="D234" s="194">
        <f t="shared" si="58"/>
        <v>2030</v>
      </c>
      <c r="E234" s="192" t="s">
        <v>24</v>
      </c>
      <c r="F234" s="195">
        <f>IF(E234="Vestdanmark",SUMIFS(IF(D234=År1,'Resultater - Vestdanmark'!H$3:H$482,IF(D234=År2,'Resultater - Vestdanmark'!I$3:I$482,'Resultater - Vestdanmark'!J$3:J$482)),'Resultater - Vestdanmark'!$F$3:$F$482,$A234,IF(D234=År1,'Resultater - Vestdanmark'!H$3:H$482,IF(D234=År2,'Resultater - Vestdanmark'!I$3:I$482,'Resultater - Vestdanmark'!J$3:J$482)),"&gt;0"),SUMIFS(IF(D234=År1,'Resultater - Østdanmark'!H$3:H$482,IF(D234=År2,'Resultater - Østdanmark'!I$3:I$482,'Resultater - Østdanmark'!J$3:J$482)),'Resultater - Østdanmark'!$F$3:$F$482,$A234,IF(D234=År1,'Resultater - Østdanmark'!H$3:H$482,IF(D234=År2,'Resultater - Østdanmark'!I$3:I$482,'Resultater - Østdanmark'!J$3:J$482)),"&gt;0"))</f>
        <v>0</v>
      </c>
      <c r="G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92">
        <f>IF(E234="Vestdanmark",-IF(A234="Halm",SUMIFS(IF(D234=År1,'Resultater - Vestdanmark'!H$3:H$482,IF(D234=År2,'Resultater - Vestdanmark'!I$3:I$482,'Resultater - Vestdanmark'!J$3:J$482)),'Resultater - Vestdanmark'!$F$3:$F$482,$A234,'Resultater - Vestdanmark'!H$3:H$482,"&lt;0"),0),-IF(A234="Halm",SUMIFS(IF(D234=År1,'Resultater - Østdanmark'!H$3:H$482,IF(D234=År2,'Resultater - Østdanmark'!I$3:I$482,'Resultater - Østdanmark'!J$3:J$482)),'Resultater - Østdanmark'!$F$3:$F$482,$A234,'Resultater - Østdanmark'!H$3:H$482,"&lt;0"),0))</f>
        <v>0</v>
      </c>
      <c r="I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5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7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204">
        <f t="shared" si="62"/>
        <v>0</v>
      </c>
      <c r="O234" s="195">
        <f t="shared" si="59"/>
        <v>0</v>
      </c>
      <c r="P234" s="205">
        <f t="shared" si="63"/>
        <v>0</v>
      </c>
      <c r="Q234" s="192">
        <f>IFERROR(VLOOKUP(A234,[1]Energiindhold!$A$2:$C$11,3,FALSE),IFERROR(VLOOKUP(A234,[1]Biogasudbytte!$A$2:$B$18,2,FALSE)*[1]Energiindhold!$C$10,0))*O234</f>
        <v>0</v>
      </c>
      <c r="R234" s="192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92">
        <f>IFERROR(VLOOKUP(A234,[1]Biogasudbytte!$A$2:$B$18,2,FALSE)*[1]Energiindhold!$C$10,0)*J234*IFERROR(VLOOKUP(A234,Biogasanlæg!$F$3:$G$8,2,FALSE),1)</f>
        <v>0</v>
      </c>
      <c r="T234" s="193">
        <f t="shared" si="64"/>
        <v>0</v>
      </c>
      <c r="U234" s="191">
        <f>O234*IFERROR(VLOOKUP(A234,[1]Tørstofindhold!A$2:B$24,2,FALSE),0)</f>
        <v>0</v>
      </c>
      <c r="V234" s="192">
        <f>IF(D234=År1,P234,SUM(O234,P234))*IFERROR(VLOOKUP(A234,[1]Tørstofindhold!A$2:B$24,2,FALSE),0)</f>
        <v>0</v>
      </c>
      <c r="W234" s="192">
        <f>J234*IFERROR(VLOOKUP(A234,[1]Tørstofindhold!A$2:B$24,2,FALSE),0)</f>
        <v>0</v>
      </c>
      <c r="X234" s="193">
        <f t="shared" si="65"/>
        <v>0</v>
      </c>
      <c r="Y234" s="171">
        <f t="shared" si="60"/>
        <v>0</v>
      </c>
      <c r="Z234" s="103">
        <f t="shared" si="61"/>
        <v>0</v>
      </c>
    </row>
    <row r="235" spans="1:26" x14ac:dyDescent="0.25">
      <c r="A235" s="194" t="str">
        <f t="shared" si="72"/>
        <v>Slagteriaffald til foder</v>
      </c>
      <c r="B235" s="194" t="str">
        <f t="shared" si="73"/>
        <v/>
      </c>
      <c r="C235" s="194">
        <f>IF(COUNTIFS('Resultater - Danmark'!$D$3:$D$482,'Resultat-Produktion &amp; forbrug'!A235,'Resultater - Danmark'!$A$3:$A$482,"Til energi")+COUNTIFS('Resultater - Danmark'!$D$3:$D$482,'Resultat-Produktion &amp; forbrug'!A235,'Resultater - Danmark'!$A$3:$A$482,"Biogasanlæg")&gt;0,1,0)</f>
        <v>0</v>
      </c>
      <c r="D235" s="194">
        <f t="shared" si="58"/>
        <v>2030</v>
      </c>
      <c r="E235" s="192" t="s">
        <v>24</v>
      </c>
      <c r="F235" s="195">
        <f>IF(E235="Vestdanmark",SUMIFS(IF(D235=År1,'Resultater - Vestdanmark'!H$3:H$482,IF(D235=År2,'Resultater - Vestdanmark'!I$3:I$482,'Resultater - Vestdanmark'!J$3:J$482)),'Resultater - Vestdanmark'!$F$3:$F$482,$A235,IF(D235=År1,'Resultater - Vestdanmark'!H$3:H$482,IF(D235=År2,'Resultater - Vestdanmark'!I$3:I$482,'Resultater - Vestdanmark'!J$3:J$482)),"&gt;0"),SUMIFS(IF(D235=År1,'Resultater - Østdanmark'!H$3:H$482,IF(D235=År2,'Resultater - Østdanmark'!I$3:I$482,'Resultater - Østdanmark'!J$3:J$482)),'Resultater - Østdanmark'!$F$3:$F$482,$A235,IF(D235=År1,'Resultater - Østdanmark'!H$3:H$482,IF(D235=År2,'Resultater - Østdanmark'!I$3:I$482,'Resultater - Østdanmark'!J$3:J$482)),"&gt;0"))</f>
        <v>0</v>
      </c>
      <c r="G235" s="195" t="e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#REF!</v>
      </c>
      <c r="H235" s="192">
        <f>IF(E235="Vestdanmark",-IF(A235="Halm",SUMIFS(IF(D235=År1,'Resultater - Vestdanmark'!H$3:H$482,IF(D235=År2,'Resultater - Vestdanmark'!I$3:I$482,'Resultater - Vestdanmark'!J$3:J$482)),'Resultater - Vestdanmark'!$F$3:$F$482,$A235,'Resultater - Vestdanmark'!H$3:H$482,"&lt;0"),0),-IF(A235="Halm",SUMIFS(IF(D235=År1,'Resultater - Østdanmark'!H$3:H$482,IF(D235=År2,'Resultater - Østdanmark'!I$3:I$482,'Resultater - Østdanmark'!J$3:J$482)),'Resultater - Østdanmark'!$F$3:$F$482,$A235,'Resultater - Østdanmark'!H$3:H$482,"&lt;0"),0))</f>
        <v>0</v>
      </c>
      <c r="I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5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7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204" t="e">
        <f t="shared" si="62"/>
        <v>#REF!</v>
      </c>
      <c r="O235" s="195">
        <f t="shared" si="59"/>
        <v>0</v>
      </c>
      <c r="P235" s="205">
        <f t="shared" si="63"/>
        <v>0</v>
      </c>
      <c r="Q235" s="192">
        <f>IFERROR(VLOOKUP(A235,[1]Energiindhold!$A$2:$C$11,3,FALSE),IFERROR(VLOOKUP(A235,[1]Biogasudbytte!$A$2:$B$18,2,FALSE)*[1]Energiindhold!$C$10,0))*O235</f>
        <v>0</v>
      </c>
      <c r="R235" s="192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92">
        <f>IFERROR(VLOOKUP(A235,[1]Biogasudbytte!$A$2:$B$18,2,FALSE)*[1]Energiindhold!$C$10,0)*J235*IFERROR(VLOOKUP(A235,Biogasanlæg!$F$3:$G$8,2,FALSE),1)</f>
        <v>0</v>
      </c>
      <c r="T235" s="193">
        <f t="shared" si="64"/>
        <v>0</v>
      </c>
      <c r="U235" s="191">
        <f>O235*IFERROR(VLOOKUP(A235,[1]Tørstofindhold!A$2:B$24,2,FALSE),0)</f>
        <v>0</v>
      </c>
      <c r="V235" s="192">
        <f>IF(D235=År1,P235,SUM(O235,P235))*IFERROR(VLOOKUP(A235,[1]Tørstofindhold!A$2:B$24,2,FALSE),0)</f>
        <v>0</v>
      </c>
      <c r="W235" s="192">
        <f>J235*IFERROR(VLOOKUP(A235,[1]Tørstofindhold!A$2:B$24,2,FALSE),0)</f>
        <v>0</v>
      </c>
      <c r="X235" s="193">
        <f t="shared" si="65"/>
        <v>0</v>
      </c>
      <c r="Y235" s="171" t="e">
        <f t="shared" si="60"/>
        <v>#REF!</v>
      </c>
      <c r="Z235" s="103" t="e">
        <f t="shared" si="61"/>
        <v>#REF!</v>
      </c>
    </row>
    <row r="236" spans="1:26" x14ac:dyDescent="0.25">
      <c r="A236" s="194" t="str">
        <f t="shared" si="72"/>
        <v>Spildevandsslam</v>
      </c>
      <c r="B236" s="194" t="str">
        <f t="shared" si="73"/>
        <v>Bionedbrydeligt affald</v>
      </c>
      <c r="C236" s="194">
        <f>IF(COUNTIFS('Resultater - Danmark'!$D$3:$D$482,'Resultat-Produktion &amp; forbrug'!A236,'Resultater - Danmark'!$A$3:$A$482,"Til energi")+COUNTIFS('Resultater - Danmark'!$D$3:$D$482,'Resultat-Produktion &amp; forbrug'!A236,'Resultater - Danmark'!$A$3:$A$482,"Biogasanlæg")&gt;0,1,0)</f>
        <v>1</v>
      </c>
      <c r="D236" s="194">
        <f t="shared" si="58"/>
        <v>2030</v>
      </c>
      <c r="E236" s="192" t="s">
        <v>24</v>
      </c>
      <c r="F236" s="195">
        <f>IF(E236="Vestdanmark",SUMIFS(IF(D236=År1,'Resultater - Vestdanmark'!H$3:H$482,IF(D236=År2,'Resultater - Vestdanmark'!I$3:I$482,'Resultater - Vestdanmark'!J$3:J$482)),'Resultater - Vestdanmark'!$F$3:$F$482,$A236,IF(D236=År1,'Resultater - Vestdanmark'!H$3:H$482,IF(D236=År2,'Resultater - Vestdanmark'!I$3:I$482,'Resultater - Vestdanmark'!J$3:J$482)),"&gt;0"),SUMIFS(IF(D236=År1,'Resultater - Østdanmark'!H$3:H$482,IF(D236=År2,'Resultater - Østdanmark'!I$3:I$482,'Resultater - Østdanmark'!J$3:J$482)),'Resultater - Østdanmark'!$F$3:$F$482,$A236,IF(D236=År1,'Resultater - Østdanmark'!H$3:H$482,IF(D236=År2,'Resultater - Østdanmark'!I$3:I$482,'Resultater - Østdanmark'!J$3:J$482)),"&gt;0"))</f>
        <v>0</v>
      </c>
      <c r="G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92">
        <f>IF(E236="Vestdanmark",-IF(A236="Halm",SUMIFS(IF(D236=År1,'Resultater - Vestdanmark'!H$3:H$482,IF(D236=År2,'Resultater - Vestdanmark'!I$3:I$482,'Resultater - Vestdanmark'!J$3:J$482)),'Resultater - Vestdanmark'!$F$3:$F$482,$A236,'Resultater - Vestdanmark'!H$3:H$482,"&lt;0"),0),-IF(A236="Halm",SUMIFS(IF(D236=År1,'Resultater - Østdanmark'!H$3:H$482,IF(D236=År2,'Resultater - Østdanmark'!I$3:I$482,'Resultater - Østdanmark'!J$3:J$482)),'Resultater - Østdanmark'!$F$3:$F$482,$A236,'Resultater - Østdanmark'!H$3:H$482,"&lt;0"),0))</f>
        <v>0</v>
      </c>
      <c r="I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5" t="e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#REF!</v>
      </c>
      <c r="K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5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7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204" t="e">
        <f t="shared" si="62"/>
        <v>#REF!</v>
      </c>
      <c r="O236" s="195" t="e">
        <f t="shared" si="59"/>
        <v>#REF!</v>
      </c>
      <c r="P236" s="205" t="e">
        <f t="shared" si="63"/>
        <v>#REF!</v>
      </c>
      <c r="Q236" s="192" t="e">
        <f>IFERROR(VLOOKUP(A236,[1]Energiindhold!$A$2:$C$11,3,FALSE),IFERROR(VLOOKUP(A236,[1]Biogasudbytte!$A$2:$B$18,2,FALSE)*[1]Energiindhold!$C$10,0))*O236</f>
        <v>#REF!</v>
      </c>
      <c r="R236" s="192" t="e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#REF!</v>
      </c>
      <c r="S236" s="192" t="e">
        <f>IFERROR(VLOOKUP(A236,[1]Biogasudbytte!$A$2:$B$18,2,FALSE)*[1]Energiindhold!$C$10,0)*J236*IFERROR(VLOOKUP(A236,Biogasanlæg!$F$3:$G$8,2,FALSE),1)</f>
        <v>#REF!</v>
      </c>
      <c r="T236" s="193" t="e">
        <f t="shared" si="64"/>
        <v>#REF!</v>
      </c>
      <c r="U236" s="191" t="e">
        <f>O236*IFERROR(VLOOKUP(A236,[1]Tørstofindhold!A$2:B$24,2,FALSE),0)</f>
        <v>#REF!</v>
      </c>
      <c r="V236" s="192" t="e">
        <f>IF(D236=År1,P236,SUM(O236,P236))*IFERROR(VLOOKUP(A236,[1]Tørstofindhold!A$2:B$24,2,FALSE),0)</f>
        <v>#REF!</v>
      </c>
      <c r="W236" s="192" t="e">
        <f>J236*IFERROR(VLOOKUP(A236,[1]Tørstofindhold!A$2:B$24,2,FALSE),0)</f>
        <v>#REF!</v>
      </c>
      <c r="X236" s="193" t="e">
        <f t="shared" si="65"/>
        <v>#REF!</v>
      </c>
      <c r="Y236" s="171" t="e">
        <f t="shared" si="60"/>
        <v>#REF!</v>
      </c>
      <c r="Z236" s="103" t="e">
        <f t="shared" si="61"/>
        <v>#REF!</v>
      </c>
    </row>
    <row r="237" spans="1:26" x14ac:dyDescent="0.25">
      <c r="A237" s="194" t="str">
        <f t="shared" si="72"/>
        <v>Svinegylle</v>
      </c>
      <c r="B237" s="194" t="str">
        <f t="shared" si="73"/>
        <v>Husdyrgødning</v>
      </c>
      <c r="C237" s="194">
        <f>IF(COUNTIFS('Resultater - Danmark'!$D$3:$D$482,'Resultat-Produktion &amp; forbrug'!A237,'Resultater - Danmark'!$A$3:$A$482,"Til energi")+COUNTIFS('Resultater - Danmark'!$D$3:$D$482,'Resultat-Produktion &amp; forbrug'!A237,'Resultater - Danmark'!$A$3:$A$482,"Biogasanlæg")&gt;0,1,0)</f>
        <v>1</v>
      </c>
      <c r="D237" s="194">
        <f t="shared" si="58"/>
        <v>2030</v>
      </c>
      <c r="E237" s="192" t="s">
        <v>24</v>
      </c>
      <c r="F237" s="195">
        <f>IF(E237="Vestdanmark",SUMIFS(IF(D237=År1,'Resultater - Vestdanmark'!H$3:H$482,IF(D237=År2,'Resultater - Vestdanmark'!I$3:I$482,'Resultater - Vestdanmark'!J$3:J$482)),'Resultater - Vestdanmark'!$F$3:$F$482,$A237,IF(D237=År1,'Resultater - Vestdanmark'!H$3:H$482,IF(D237=År2,'Resultater - Vestdanmark'!I$3:I$482,'Resultater - Vestdanmark'!J$3:J$482)),"&gt;0"),SUMIFS(IF(D237=År1,'Resultater - Østdanmark'!H$3:H$482,IF(D237=År2,'Resultater - Østdanmark'!I$3:I$482,'Resultater - Østdanmark'!J$3:J$482)),'Resultater - Østdanmark'!$F$3:$F$482,$A237,IF(D237=År1,'Resultater - Østdanmark'!H$3:H$482,IF(D237=År2,'Resultater - Østdanmark'!I$3:I$482,'Resultater - Østdanmark'!J$3:J$482)),"&gt;0"))</f>
        <v>0</v>
      </c>
      <c r="G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92">
        <f>IF(E237="Vestdanmark",-IF(A237="Halm",SUMIFS(IF(D237=År1,'Resultater - Vestdanmark'!H$3:H$482,IF(D237=År2,'Resultater - Vestdanmark'!I$3:I$482,'Resultater - Vestdanmark'!J$3:J$482)),'Resultater - Vestdanmark'!$F$3:$F$482,$A237,'Resultater - Vestdanmark'!H$3:H$482,"&lt;0"),0),-IF(A237="Halm",SUMIFS(IF(D237=År1,'Resultater - Østdanmark'!H$3:H$482,IF(D237=År2,'Resultater - Østdanmark'!I$3:I$482,'Resultater - Østdanmark'!J$3:J$482)),'Resultater - Østdanmark'!$F$3:$F$482,$A237,'Resultater - Østdanmark'!H$3:H$482,"&lt;0"),0))</f>
        <v>0</v>
      </c>
      <c r="I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5" t="e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#REF!</v>
      </c>
      <c r="K237" s="195" t="e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#REF!</v>
      </c>
      <c r="L237" s="195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7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204" t="e">
        <f t="shared" si="62"/>
        <v>#REF!</v>
      </c>
      <c r="O237" s="195" t="e">
        <f t="shared" si="59"/>
        <v>#REF!</v>
      </c>
      <c r="P237" s="205" t="e">
        <f t="shared" si="63"/>
        <v>#REF!</v>
      </c>
      <c r="Q237" s="192" t="e">
        <f>IFERROR(VLOOKUP(A237,[1]Energiindhold!$A$2:$C$11,3,FALSE),IFERROR(VLOOKUP(A237,[1]Biogasudbytte!$A$2:$B$18,2,FALSE)*[1]Energiindhold!$C$10,0))*O237</f>
        <v>#REF!</v>
      </c>
      <c r="R237" s="192" t="e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#REF!</v>
      </c>
      <c r="S237" s="192" t="e">
        <f>IFERROR(VLOOKUP(A237,[1]Biogasudbytte!$A$2:$B$18,2,FALSE)*[1]Energiindhold!$C$10,0)*J237*IFERROR(VLOOKUP(A237,Biogasanlæg!$F$3:$G$8,2,FALSE),1)</f>
        <v>#REF!</v>
      </c>
      <c r="T237" s="193" t="e">
        <f t="shared" si="64"/>
        <v>#REF!</v>
      </c>
      <c r="U237" s="191" t="e">
        <f>O237*IFERROR(VLOOKUP(A237,[1]Tørstofindhold!A$2:B$24,2,FALSE),0)</f>
        <v>#REF!</v>
      </c>
      <c r="V237" s="192" t="e">
        <f>IF(D237=År1,P237,SUM(O237,P237))*IFERROR(VLOOKUP(A237,[1]Tørstofindhold!A$2:B$24,2,FALSE),0)</f>
        <v>#REF!</v>
      </c>
      <c r="W237" s="192" t="e">
        <f>J237*IFERROR(VLOOKUP(A237,[1]Tørstofindhold!A$2:B$24,2,FALSE),0)</f>
        <v>#REF!</v>
      </c>
      <c r="X237" s="193" t="e">
        <f t="shared" si="65"/>
        <v>#REF!</v>
      </c>
      <c r="Y237" s="171" t="e">
        <f t="shared" si="60"/>
        <v>#REF!</v>
      </c>
      <c r="Z237" s="103" t="e">
        <f t="shared" si="61"/>
        <v>#REF!</v>
      </c>
    </row>
    <row r="238" spans="1:26" x14ac:dyDescent="0.25">
      <c r="A238" s="194" t="str">
        <f t="shared" si="72"/>
        <v>Svinekød</v>
      </c>
      <c r="B238" s="194" t="str">
        <f t="shared" si="73"/>
        <v/>
      </c>
      <c r="C238" s="194">
        <f>IF(COUNTIFS('Resultater - Danmark'!$D$3:$D$482,'Resultat-Produktion &amp; forbrug'!A238,'Resultater - Danmark'!$A$3:$A$482,"Til energi")+COUNTIFS('Resultater - Danmark'!$D$3:$D$482,'Resultat-Produktion &amp; forbrug'!A238,'Resultater - Danmark'!$A$3:$A$482,"Biogasanlæg")&gt;0,1,0)</f>
        <v>0</v>
      </c>
      <c r="D238" s="194">
        <f t="shared" si="58"/>
        <v>2030</v>
      </c>
      <c r="E238" s="192" t="s">
        <v>24</v>
      </c>
      <c r="F238" s="195">
        <f>IF(E238="Vestdanmark",SUMIFS(IF(D238=År1,'Resultater - Vestdanmark'!H$3:H$482,IF(D238=År2,'Resultater - Vestdanmark'!I$3:I$482,'Resultater - Vestdanmark'!J$3:J$482)),'Resultater - Vestdanmark'!$F$3:$F$482,$A238,IF(D238=År1,'Resultater - Vestdanmark'!H$3:H$482,IF(D238=År2,'Resultater - Vestdanmark'!I$3:I$482,'Resultater - Vestdanmark'!J$3:J$482)),"&gt;0"),SUMIFS(IF(D238=År1,'Resultater - Østdanmark'!H$3:H$482,IF(D238=År2,'Resultater - Østdanmark'!I$3:I$482,'Resultater - Østdanmark'!J$3:J$482)),'Resultater - Østdanmark'!$F$3:$F$482,$A238,IF(D238=År1,'Resultater - Østdanmark'!H$3:H$482,IF(D238=År2,'Resultater - Østdanmark'!I$3:I$482,'Resultater - Østdanmark'!J$3:J$482)),"&gt;0"))</f>
        <v>0</v>
      </c>
      <c r="G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92">
        <f>IF(E238="Vestdanmark",-IF(A238="Halm",SUMIFS(IF(D238=År1,'Resultater - Vestdanmark'!H$3:H$482,IF(D238=År2,'Resultater - Vestdanmark'!I$3:I$482,'Resultater - Vestdanmark'!J$3:J$482)),'Resultater - Vestdanmark'!$F$3:$F$482,$A238,'Resultater - Vestdanmark'!H$3:H$482,"&lt;0"),0),-IF(A238="Halm",SUMIFS(IF(D238=År1,'Resultater - Østdanmark'!H$3:H$482,IF(D238=År2,'Resultater - Østdanmark'!I$3:I$482,'Resultater - Østdanmark'!J$3:J$482)),'Resultater - Østdanmark'!$F$3:$F$482,$A238,'Resultater - Østdanmark'!H$3:H$482,"&lt;0"),0))</f>
        <v>0</v>
      </c>
      <c r="I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5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7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204">
        <f t="shared" si="62"/>
        <v>-105526.43984954793</v>
      </c>
      <c r="O238" s="195">
        <f t="shared" si="59"/>
        <v>0</v>
      </c>
      <c r="P238" s="205">
        <f t="shared" si="63"/>
        <v>0</v>
      </c>
      <c r="Q238" s="192">
        <f>IFERROR(VLOOKUP(A238,[1]Energiindhold!$A$2:$C$11,3,FALSE),IFERROR(VLOOKUP(A238,[1]Biogasudbytte!$A$2:$B$18,2,FALSE)*[1]Energiindhold!$C$10,0))*O238</f>
        <v>0</v>
      </c>
      <c r="R238" s="192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92">
        <f>IFERROR(VLOOKUP(A238,[1]Biogasudbytte!$A$2:$B$18,2,FALSE)*[1]Energiindhold!$C$10,0)*J238*IFERROR(VLOOKUP(A238,Biogasanlæg!$F$3:$G$8,2,FALSE),1)</f>
        <v>0</v>
      </c>
      <c r="T238" s="193">
        <f t="shared" si="64"/>
        <v>0</v>
      </c>
      <c r="U238" s="191">
        <f>O238*IFERROR(VLOOKUP(A238,[1]Tørstofindhold!A$2:B$24,2,FALSE),0)</f>
        <v>0</v>
      </c>
      <c r="V238" s="192">
        <f>IF(D238=År1,P238,SUM(O238,P238))*IFERROR(VLOOKUP(A238,[1]Tørstofindhold!A$2:B$24,2,FALSE),0)</f>
        <v>0</v>
      </c>
      <c r="W238" s="192">
        <f>J238*IFERROR(VLOOKUP(A238,[1]Tørstofindhold!A$2:B$24,2,FALSE),0)</f>
        <v>0</v>
      </c>
      <c r="X238" s="193">
        <f t="shared" si="65"/>
        <v>0</v>
      </c>
      <c r="Y238" s="171">
        <f t="shared" si="60"/>
        <v>1</v>
      </c>
      <c r="Z238" s="103">
        <f t="shared" si="61"/>
        <v>0</v>
      </c>
    </row>
    <row r="239" spans="1:26" x14ac:dyDescent="0.25">
      <c r="A239" s="194" t="str">
        <f t="shared" si="72"/>
        <v>Tang</v>
      </c>
      <c r="B239" s="194" t="str">
        <f t="shared" si="73"/>
        <v>Havbiomasse</v>
      </c>
      <c r="C239" s="194">
        <f>IF(COUNTIFS('Resultater - Danmark'!$D$3:$D$482,'Resultat-Produktion &amp; forbrug'!A239,'Resultater - Danmark'!$A$3:$A$482,"Til energi")+COUNTIFS('Resultater - Danmark'!$D$3:$D$482,'Resultat-Produktion &amp; forbrug'!A239,'Resultater - Danmark'!$A$3:$A$482,"Biogasanlæg")&gt;0,1,0)</f>
        <v>1</v>
      </c>
      <c r="D239" s="194">
        <f t="shared" si="58"/>
        <v>2030</v>
      </c>
      <c r="E239" s="192" t="s">
        <v>24</v>
      </c>
      <c r="F239" s="195">
        <f>IF(E239="Vestdanmark",SUMIFS(IF(D239=År1,'Resultater - Vestdanmark'!H$3:H$482,IF(D239=År2,'Resultater - Vestdanmark'!I$3:I$482,'Resultater - Vestdanmark'!J$3:J$482)),'Resultater - Vestdanmark'!$F$3:$F$482,$A239,IF(D239=År1,'Resultater - Vestdanmark'!H$3:H$482,IF(D239=År2,'Resultater - Vestdanmark'!I$3:I$482,'Resultater - Vestdanmark'!J$3:J$482)),"&gt;0"),SUMIFS(IF(D239=År1,'Resultater - Østdanmark'!H$3:H$482,IF(D239=År2,'Resultater - Østdanmark'!I$3:I$482,'Resultater - Østdanmark'!J$3:J$482)),'Resultater - Østdanmark'!$F$3:$F$482,$A239,IF(D239=År1,'Resultater - Østdanmark'!H$3:H$482,IF(D239=År2,'Resultater - Østdanmark'!I$3:I$482,'Resultater - Østdanmark'!J$3:J$482)),"&gt;0"))</f>
        <v>0</v>
      </c>
      <c r="G239" s="195" t="e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#REF!</v>
      </c>
      <c r="H239" s="192">
        <f>IF(E239="Vestdanmark",-IF(A239="Halm",SUMIFS(IF(D239=År1,'Resultater - Vestdanmark'!H$3:H$482,IF(D239=År2,'Resultater - Vestdanmark'!I$3:I$482,'Resultater - Vestdanmark'!J$3:J$482)),'Resultater - Vestdanmark'!$F$3:$F$482,$A239,'Resultater - Vestdanmark'!H$3:H$482,"&lt;0"),0),-IF(A239="Halm",SUMIFS(IF(D239=År1,'Resultater - Østdanmark'!H$3:H$482,IF(D239=År2,'Resultater - Østdanmark'!I$3:I$482,'Resultater - Østdanmark'!J$3:J$482)),'Resultater - Østdanmark'!$F$3:$F$482,$A239,'Resultater - Østdanmark'!H$3:H$482,"&lt;0"),0))</f>
        <v>0</v>
      </c>
      <c r="I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5" t="e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#REF!</v>
      </c>
      <c r="K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5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7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204" t="e">
        <f t="shared" si="62"/>
        <v>#REF!</v>
      </c>
      <c r="O239" s="195" t="e">
        <f t="shared" si="59"/>
        <v>#REF!</v>
      </c>
      <c r="P239" s="205" t="e">
        <f t="shared" si="63"/>
        <v>#REF!</v>
      </c>
      <c r="Q239" s="192" t="e">
        <f>IFERROR(VLOOKUP(A239,[1]Energiindhold!$A$2:$C$11,3,FALSE),IFERROR(VLOOKUP(A239,[1]Biogasudbytte!$A$2:$B$18,2,FALSE)*[1]Energiindhold!$C$10,0))*O239</f>
        <v>#REF!</v>
      </c>
      <c r="R239" s="192" t="e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#REF!</v>
      </c>
      <c r="S239" s="192" t="e">
        <f>IFERROR(VLOOKUP(A239,[1]Biogasudbytte!$A$2:$B$18,2,FALSE)*[1]Energiindhold!$C$10,0)*J239*IFERROR(VLOOKUP(A239,Biogasanlæg!$F$3:$G$8,2,FALSE),1)</f>
        <v>#REF!</v>
      </c>
      <c r="T239" s="193" t="e">
        <f t="shared" si="64"/>
        <v>#REF!</v>
      </c>
      <c r="U239" s="191" t="e">
        <f>O239*IFERROR(VLOOKUP(A239,[1]Tørstofindhold!A$2:B$24,2,FALSE),0)</f>
        <v>#REF!</v>
      </c>
      <c r="V239" s="192" t="e">
        <f>IF(D239=År1,P239,SUM(O239,P239))*IFERROR(VLOOKUP(A239,[1]Tørstofindhold!A$2:B$24,2,FALSE),0)</f>
        <v>#REF!</v>
      </c>
      <c r="W239" s="192" t="e">
        <f>J239*IFERROR(VLOOKUP(A239,[1]Tørstofindhold!A$2:B$24,2,FALSE),0)</f>
        <v>#REF!</v>
      </c>
      <c r="X239" s="193" t="e">
        <f t="shared" si="65"/>
        <v>#REF!</v>
      </c>
      <c r="Y239" s="171" t="e">
        <f t="shared" si="60"/>
        <v>#REF!</v>
      </c>
      <c r="Z239" s="103" t="e">
        <f t="shared" si="61"/>
        <v>#REF!</v>
      </c>
    </row>
    <row r="240" spans="1:26" x14ac:dyDescent="0.25">
      <c r="A240" s="194" t="str">
        <f t="shared" si="72"/>
        <v>Total til biogas</v>
      </c>
      <c r="B240" s="194" t="str">
        <f t="shared" si="73"/>
        <v/>
      </c>
      <c r="C240" s="194">
        <f>IF(COUNTIFS('Resultater - Danmark'!$D$3:$D$482,'Resultat-Produktion &amp; forbrug'!A240,'Resultater - Danmark'!$A$3:$A$482,"Til energi")+COUNTIFS('Resultater - Danmark'!$D$3:$D$482,'Resultat-Produktion &amp; forbrug'!A240,'Resultater - Danmark'!$A$3:$A$482,"Biogasanlæg")&gt;0,1,0)</f>
        <v>1</v>
      </c>
      <c r="D240" s="194">
        <f t="shared" si="58"/>
        <v>2030</v>
      </c>
      <c r="E240" s="192" t="s">
        <v>24</v>
      </c>
      <c r="F240" s="195">
        <f>IF(E240="Vestdanmark",SUMIFS(IF(D240=År1,'Resultater - Vestdanmark'!H$3:H$482,IF(D240=År2,'Resultater - Vestdanmark'!I$3:I$482,'Resultater - Vestdanmark'!J$3:J$482)),'Resultater - Vestdanmark'!$F$3:$F$482,$A240,IF(D240=År1,'Resultater - Vestdanmark'!H$3:H$482,IF(D240=År2,'Resultater - Vestdanmark'!I$3:I$482,'Resultater - Vestdanmark'!J$3:J$482)),"&gt;0"),SUMIFS(IF(D240=År1,'Resultater - Østdanmark'!H$3:H$482,IF(D240=År2,'Resultater - Østdanmark'!I$3:I$482,'Resultater - Østdanmark'!J$3:J$482)),'Resultater - Østdanmark'!$F$3:$F$482,$A240,IF(D240=År1,'Resultater - Østdanmark'!H$3:H$482,IF(D240=År2,'Resultater - Østdanmark'!I$3:I$482,'Resultater - Østdanmark'!J$3:J$482)),"&gt;0"))</f>
        <v>0</v>
      </c>
      <c r="G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92">
        <f>IF(E240="Vestdanmark",-IF(A240="Halm",SUMIFS(IF(D240=År1,'Resultater - Vestdanmark'!H$3:H$482,IF(D240=År2,'Resultater - Vestdanmark'!I$3:I$482,'Resultater - Vestdanmark'!J$3:J$482)),'Resultater - Vestdanmark'!$F$3:$F$482,$A240,'Resultater - Vestdanmark'!H$3:H$482,"&lt;0"),0),-IF(A240="Halm",SUMIFS(IF(D240=År1,'Resultater - Østdanmark'!H$3:H$482,IF(D240=År2,'Resultater - Østdanmark'!I$3:I$482,'Resultater - Østdanmark'!J$3:J$482)),'Resultater - Østdanmark'!$F$3:$F$482,$A240,'Resultater - Østdanmark'!H$3:H$482,"&lt;0"),0))</f>
        <v>0</v>
      </c>
      <c r="I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5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7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204">
        <f t="shared" si="62"/>
        <v>0</v>
      </c>
      <c r="O240" s="195">
        <f t="shared" si="59"/>
        <v>0</v>
      </c>
      <c r="P240" s="205">
        <f t="shared" si="63"/>
        <v>0</v>
      </c>
      <c r="Q240" s="192">
        <f>IFERROR(VLOOKUP(A240,[1]Energiindhold!$A$2:$C$11,3,FALSE),IFERROR(VLOOKUP(A240,[1]Biogasudbytte!$A$2:$B$18,2,FALSE)*[1]Energiindhold!$C$10,0))*O240</f>
        <v>0</v>
      </c>
      <c r="R240" s="192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92">
        <f>IFERROR(VLOOKUP(A240,[1]Biogasudbytte!$A$2:$B$18,2,FALSE)*[1]Energiindhold!$C$10,0)*J240*IFERROR(VLOOKUP(A240,Biogasanlæg!$F$3:$G$8,2,FALSE),1)</f>
        <v>0</v>
      </c>
      <c r="T240" s="193">
        <f t="shared" si="64"/>
        <v>0</v>
      </c>
      <c r="U240" s="191">
        <f>O240*IFERROR(VLOOKUP(A240,[1]Tørstofindhold!A$2:B$24,2,FALSE),0)</f>
        <v>0</v>
      </c>
      <c r="V240" s="192">
        <f>IF(D240=År1,P240,SUM(O240,P240))*IFERROR(VLOOKUP(A240,[1]Tørstofindhold!A$2:B$24,2,FALSE),0)</f>
        <v>0</v>
      </c>
      <c r="W240" s="192">
        <f>J240*IFERROR(VLOOKUP(A240,[1]Tørstofindhold!A$2:B$24,2,FALSE),0)</f>
        <v>0</v>
      </c>
      <c r="X240" s="193">
        <f t="shared" si="65"/>
        <v>0</v>
      </c>
      <c r="Y240" s="171">
        <f t="shared" si="60"/>
        <v>0</v>
      </c>
      <c r="Z240" s="103">
        <f t="shared" si="61"/>
        <v>0</v>
      </c>
    </row>
    <row r="241" spans="1:26" x14ac:dyDescent="0.25">
      <c r="A241" s="194" t="str">
        <f t="shared" si="72"/>
        <v>Træ til energi</v>
      </c>
      <c r="B241" s="194" t="str">
        <f t="shared" si="73"/>
        <v>Vedmasse</v>
      </c>
      <c r="C241" s="194">
        <f>IF(COUNTIFS('Resultater - Danmark'!$D$3:$D$482,'Resultat-Produktion &amp; forbrug'!A241,'Resultater - Danmark'!$A$3:$A$482,"Til energi")+COUNTIFS('Resultater - Danmark'!$D$3:$D$482,'Resultat-Produktion &amp; forbrug'!A241,'Resultater - Danmark'!$A$3:$A$482,"Biogasanlæg")&gt;0,1,0)</f>
        <v>1</v>
      </c>
      <c r="D241" s="194">
        <f t="shared" si="58"/>
        <v>2030</v>
      </c>
      <c r="E241" s="192" t="s">
        <v>24</v>
      </c>
      <c r="F241" s="195">
        <f>IF(E241="Vestdanmark",SUMIFS(IF(D241=År1,'Resultater - Vestdanmark'!H$3:H$482,IF(D241=År2,'Resultater - Vestdanmark'!I$3:I$482,'Resultater - Vestdanmark'!J$3:J$482)),'Resultater - Vestdanmark'!$F$3:$F$482,$A241,IF(D241=År1,'Resultater - Vestdanmark'!H$3:H$482,IF(D241=År2,'Resultater - Vestdanmark'!I$3:I$482,'Resultater - Vestdanmark'!J$3:J$482)),"&gt;0"),SUMIFS(IF(D241=År1,'Resultater - Østdanmark'!H$3:H$482,IF(D241=År2,'Resultater - Østdanmark'!I$3:I$482,'Resultater - Østdanmark'!J$3:J$482)),'Resultater - Østdanmark'!$F$3:$F$482,$A241,IF(D241=År1,'Resultater - Østdanmark'!H$3:H$482,IF(D241=År2,'Resultater - Østdanmark'!I$3:I$482,'Resultater - Østdanmark'!J$3:J$482)),"&gt;0"))</f>
        <v>0</v>
      </c>
      <c r="G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92">
        <f>IF(E241="Vestdanmark",-IF(A241="Halm",SUMIFS(IF(D241=År1,'Resultater - Vestdanmark'!H$3:H$482,IF(D241=År2,'Resultater - Vestdanmark'!I$3:I$482,'Resultater - Vestdanmark'!J$3:J$482)),'Resultater - Vestdanmark'!$F$3:$F$482,$A241,'Resultater - Vestdanmark'!H$3:H$482,"&lt;0"),0),-IF(A241="Halm",SUMIFS(IF(D241=År1,'Resultater - Østdanmark'!H$3:H$482,IF(D241=År2,'Resultater - Østdanmark'!I$3:I$482,'Resultater - Østdanmark'!J$3:J$482)),'Resultater - Østdanmark'!$F$3:$F$482,$A241,'Resultater - Østdanmark'!H$3:H$482,"&lt;0"),0))</f>
        <v>0</v>
      </c>
      <c r="I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5" t="e">
        <f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#REF!</v>
      </c>
      <c r="M241" s="157" t="e">
        <f>SUMIFS('Forbrug af biomasse'!E:E,'Forbrug af biomasse'!C:C,'Resultat-Produktion &amp; forbrug'!$A241,'Forbrug af biomasse'!D:D,'Resultat-Produktion &amp; forbrug'!$D241,'Forbrug af biomasse'!G:G,1,'Forbrug af biomasse'!B:B,$E241)</f>
        <v>#REF!</v>
      </c>
      <c r="N241" s="204" t="e">
        <f t="shared" si="62"/>
        <v>#REF!</v>
      </c>
      <c r="O241" s="195" t="e">
        <f t="shared" si="59"/>
        <v>#REF!</v>
      </c>
      <c r="P241" s="205" t="e">
        <f t="shared" si="63"/>
        <v>#REF!</v>
      </c>
      <c r="Q241" s="192" t="e">
        <f>IFERROR(VLOOKUP(A241,[1]Energiindhold!$A$2:$C$11,3,FALSE),IFERROR(VLOOKUP(A241,[1]Biogasudbytte!$A$2:$B$18,2,FALSE)*[1]Energiindhold!$C$10,0))*O241</f>
        <v>#REF!</v>
      </c>
      <c r="R241" s="192" t="e">
        <f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#REF!</v>
      </c>
      <c r="S241" s="192">
        <f>IFERROR(VLOOKUP(A241,[1]Biogasudbytte!$A$2:$B$18,2,FALSE)*[1]Energiindhold!$C$10,0)*J241*IFERROR(VLOOKUP(A241,Biogasanlæg!$F$3:$G$8,2,FALSE),1)</f>
        <v>0</v>
      </c>
      <c r="T241" s="193" t="e">
        <f t="shared" si="64"/>
        <v>#REF!</v>
      </c>
      <c r="U241" s="191" t="e">
        <f>O241*IFERROR(VLOOKUP(A241,[1]Tørstofindhold!A$2:B$24,2,FALSE),0)</f>
        <v>#REF!</v>
      </c>
      <c r="V241" s="192" t="e">
        <f>IF(D241=År1,P241,SUM(O241,P241))*IFERROR(VLOOKUP(A241,[1]Tørstofindhold!A$2:B$24,2,FALSE),0)</f>
        <v>#REF!</v>
      </c>
      <c r="W241" s="192">
        <f>J241*IFERROR(VLOOKUP(A241,[1]Tørstofindhold!A$2:B$24,2,FALSE),0)</f>
        <v>0</v>
      </c>
      <c r="X241" s="193" t="e">
        <f t="shared" si="65"/>
        <v>#REF!</v>
      </c>
      <c r="Y241" s="171" t="e">
        <f t="shared" si="60"/>
        <v>#REF!</v>
      </c>
      <c r="Z241" s="103" t="e">
        <f t="shared" si="61"/>
        <v>#REF!</v>
      </c>
    </row>
    <row r="242" spans="1:26" x14ac:dyDescent="0.25">
      <c r="A242" s="194" t="str">
        <f t="shared" si="72"/>
        <v>Træmaterialer</v>
      </c>
      <c r="B242" s="194" t="str">
        <f t="shared" si="73"/>
        <v/>
      </c>
      <c r="C242" s="194">
        <f>IF(COUNTIFS('Resultater - Danmark'!$D$3:$D$482,'Resultat-Produktion &amp; forbrug'!A242,'Resultater - Danmark'!$A$3:$A$482,"Til energi")+COUNTIFS('Resultater - Danmark'!$D$3:$D$482,'Resultat-Produktion &amp; forbrug'!A242,'Resultater - Danmark'!$A$3:$A$482,"Biogasanlæg")&gt;0,1,0)</f>
        <v>0</v>
      </c>
      <c r="D242" s="194">
        <f t="shared" si="58"/>
        <v>2030</v>
      </c>
      <c r="E242" s="192" t="s">
        <v>24</v>
      </c>
      <c r="F242" s="195">
        <f>IF(E242="Vestdanmark",SUMIFS(IF(D242=År1,'Resultater - Vestdanmark'!H$3:H$482,IF(D242=År2,'Resultater - Vestdanmark'!I$3:I$482,'Resultater - Vestdanmark'!J$3:J$482)),'Resultater - Vestdanmark'!$F$3:$F$482,$A242,IF(D242=År1,'Resultater - Vestdanmark'!H$3:H$482,IF(D242=År2,'Resultater - Vestdanmark'!I$3:I$482,'Resultater - Vestdanmark'!J$3:J$482)),"&gt;0"),SUMIFS(IF(D242=År1,'Resultater - Østdanmark'!H$3:H$482,IF(D242=År2,'Resultater - Østdanmark'!I$3:I$482,'Resultater - Østdanmark'!J$3:J$482)),'Resultater - Østdanmark'!$F$3:$F$482,$A242,IF(D242=År1,'Resultater - Østdanmark'!H$3:H$482,IF(D242=År2,'Resultater - Østdanmark'!I$3:I$482,'Resultater - Østdanmark'!J$3:J$482)),"&gt;0"))</f>
        <v>0</v>
      </c>
      <c r="G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92">
        <f>IF(E242="Vestdanmark",-IF(A242="Halm",SUMIFS(IF(D242=År1,'Resultater - Vestdanmark'!H$3:H$482,IF(D242=År2,'Resultater - Vestdanmark'!I$3:I$482,'Resultater - Vestdanmark'!J$3:J$482)),'Resultater - Vestdanmark'!$F$3:$F$482,$A242,'Resultater - Vestdanmark'!H$3:H$482,"&lt;0"),0),-IF(A242="Halm",SUMIFS(IF(D242=År1,'Resultater - Østdanmark'!H$3:H$482,IF(D242=År2,'Resultater - Østdanmark'!I$3:I$482,'Resultater - Østdanmark'!J$3:J$482)),'Resultater - Østdanmark'!$F$3:$F$482,$A242,'Resultater - Østdanmark'!H$3:H$482,"&lt;0"),0))</f>
        <v>0</v>
      </c>
      <c r="I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5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7">
        <f>SUMIFS('Forbrug af biomasse'!E:E,'Forbrug af biomasse'!C:C,'Resultat-Produktion &amp; forbrug'!$A242,'Forbrug af biomasse'!D:D,'Resultat-Produktion &amp; forbrug'!$D242,'Forbrug af biomasse'!G:G,1,'Forbrug af biomasse'!B:B,$E242)</f>
        <v>0</v>
      </c>
      <c r="N242" s="204">
        <f t="shared" si="62"/>
        <v>0</v>
      </c>
      <c r="O242" s="195">
        <f t="shared" si="59"/>
        <v>0</v>
      </c>
      <c r="P242" s="205">
        <f t="shared" si="63"/>
        <v>0</v>
      </c>
      <c r="Q242" s="192">
        <f>IFERROR(VLOOKUP(A242,[1]Energiindhold!$A$2:$C$11,3,FALSE),IFERROR(VLOOKUP(A242,[1]Biogasudbytte!$A$2:$B$18,2,FALSE)*[1]Energiindhold!$C$10,0))*O242</f>
        <v>0</v>
      </c>
      <c r="R242" s="192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92">
        <f>IFERROR(VLOOKUP(A242,[1]Biogasudbytte!$A$2:$B$18,2,FALSE)*[1]Energiindhold!$C$10,0)*J242*IFERROR(VLOOKUP(A242,Biogasanlæg!$F$3:$G$8,2,FALSE),1)</f>
        <v>0</v>
      </c>
      <c r="T242" s="193">
        <f t="shared" si="64"/>
        <v>0</v>
      </c>
      <c r="U242" s="191">
        <f>O242*IFERROR(VLOOKUP(A242,[1]Tørstofindhold!A$2:B$24,2,FALSE),0)</f>
        <v>0</v>
      </c>
      <c r="V242" s="192">
        <f>IF(D242=År1,P242,SUM(O242,P242))*IFERROR(VLOOKUP(A242,[1]Tørstofindhold!A$2:B$24,2,FALSE),0)</f>
        <v>0</v>
      </c>
      <c r="W242" s="192">
        <f>J242*IFERROR(VLOOKUP(A242,[1]Tørstofindhold!A$2:B$24,2,FALSE),0)</f>
        <v>0</v>
      </c>
      <c r="X242" s="193">
        <f t="shared" si="65"/>
        <v>0</v>
      </c>
      <c r="Y242" s="171">
        <f t="shared" si="60"/>
        <v>0</v>
      </c>
      <c r="Z242" s="103">
        <f t="shared" si="61"/>
        <v>0</v>
      </c>
    </row>
    <row r="243" spans="1:26" x14ac:dyDescent="0.25">
      <c r="A243" s="194" t="str">
        <f t="shared" si="72"/>
        <v>Æg</v>
      </c>
      <c r="B243" s="194" t="str">
        <f t="shared" si="73"/>
        <v/>
      </c>
      <c r="C243" s="194">
        <f>IF(COUNTIFS('Resultater - Danmark'!$D$3:$D$482,'Resultat-Produktion &amp; forbrug'!A243,'Resultater - Danmark'!$A$3:$A$482,"Til energi")+COUNTIFS('Resultater - Danmark'!$D$3:$D$482,'Resultat-Produktion &amp; forbrug'!A243,'Resultater - Danmark'!$A$3:$A$482,"Biogasanlæg")&gt;0,1,0)</f>
        <v>0</v>
      </c>
      <c r="D243" s="194">
        <f t="shared" ref="D243:D281" si="74">År3</f>
        <v>2050</v>
      </c>
      <c r="E243" s="192" t="s">
        <v>24</v>
      </c>
      <c r="F243" s="195">
        <f>IF(E243="Vestdanmark",SUMIFS(IF(D243=År1,'Resultater - Vestdanmark'!H$3:H$482,IF(D243=År2,'Resultater - Vestdanmark'!I$3:I$482,'Resultater - Vestdanmark'!J$3:J$482)),'Resultater - Vestdanmark'!$F$3:$F$482,$A243,IF(D243=År1,'Resultater - Vestdanmark'!H$3:H$482,IF(D243=År2,'Resultater - Vestdanmark'!I$3:I$482,'Resultater - Vestdanmark'!J$3:J$482)),"&gt;0"),SUMIFS(IF(D243=År1,'Resultater - Østdanmark'!H$3:H$482,IF(D243=År2,'Resultater - Østdanmark'!I$3:I$482,'Resultater - Østdanmark'!J$3:J$482)),'Resultater - Østdanmark'!$F$3:$F$482,$A243,IF(D243=År1,'Resultater - Østdanmark'!H$3:H$482,IF(D243=År2,'Resultater - Østdanmark'!I$3:I$482,'Resultater - Østdanmark'!J$3:J$482)),"&gt;0"))</f>
        <v>0</v>
      </c>
      <c r="G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92">
        <f>IF(E243="Vestdanmark",-IF(A243="Halm",SUMIFS(IF(D243=År1,'Resultater - Vestdanmark'!H$3:H$482,IF(D243=År2,'Resultater - Vestdanmark'!I$3:I$482,'Resultater - Vestdanmark'!J$3:J$482)),'Resultater - Vestdanmark'!$F$3:$F$482,$A243,'Resultater - Vestdanmark'!H$3:H$482,"&lt;0"),0),-IF(A243="Halm",SUMIFS(IF(D243=År1,'Resultater - Østdanmark'!H$3:H$482,IF(D243=År2,'Resultater - Østdanmark'!I$3:I$482,'Resultater - Østdanmark'!J$3:J$482)),'Resultater - Østdanmark'!$F$3:$F$482,$A243,'Resultater - Østdanmark'!H$3:H$482,"&lt;0"),0))</f>
        <v>0</v>
      </c>
      <c r="I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5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7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204">
        <f t="shared" si="62"/>
        <v>-29532.002020101954</v>
      </c>
      <c r="O243" s="195">
        <f t="shared" si="59"/>
        <v>0</v>
      </c>
      <c r="P243" s="205">
        <f t="shared" si="63"/>
        <v>0</v>
      </c>
      <c r="Q243" s="192">
        <f>IFERROR(VLOOKUP(A243,[1]Energiindhold!$A$2:$C$11,3,FALSE),IFERROR(VLOOKUP(A243,[1]Biogasudbytte!$A$2:$B$18,2,FALSE)*[1]Energiindhold!$C$10,0))*O243</f>
        <v>0</v>
      </c>
      <c r="R243" s="192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92">
        <f>IFERROR(VLOOKUP(A243,[1]Biogasudbytte!$A$2:$B$18,2,FALSE)*[1]Energiindhold!$C$10,0)*J243*IFERROR(VLOOKUP(A243,Biogasanlæg!$F$3:$G$8,2,FALSE),1)</f>
        <v>0</v>
      </c>
      <c r="T243" s="193">
        <f t="shared" si="64"/>
        <v>0</v>
      </c>
      <c r="U243" s="191">
        <f>O243*IFERROR(VLOOKUP(A243,[1]Tørstofindhold!A$2:B$24,2,FALSE),0)</f>
        <v>0</v>
      </c>
      <c r="V243" s="192">
        <f>IF(D243=År1,P243,SUM(O243,P243))*IFERROR(VLOOKUP(A243,[1]Tørstofindhold!A$2:B$24,2,FALSE),0)</f>
        <v>0</v>
      </c>
      <c r="W243" s="192">
        <f>J243*IFERROR(VLOOKUP(A243,[1]Tørstofindhold!A$2:B$24,2,FALSE),0)</f>
        <v>0</v>
      </c>
      <c r="X243" s="193">
        <f t="shared" si="65"/>
        <v>0</v>
      </c>
      <c r="Y243" s="171">
        <f t="shared" si="60"/>
        <v>1</v>
      </c>
      <c r="Z243" s="103">
        <f t="shared" si="61"/>
        <v>0</v>
      </c>
    </row>
    <row r="244" spans="1:26" x14ac:dyDescent="0.25">
      <c r="A244" s="194" t="str">
        <f t="shared" si="72"/>
        <v>Bælgsæd</v>
      </c>
      <c r="B244" s="194" t="str">
        <f t="shared" si="73"/>
        <v/>
      </c>
      <c r="C244" s="194">
        <f>IF(COUNTIFS('Resultater - Danmark'!$D$3:$D$482,'Resultat-Produktion &amp; forbrug'!A244,'Resultater - Danmark'!$A$3:$A$482,"Til energi")+COUNTIFS('Resultater - Danmark'!$D$3:$D$482,'Resultat-Produktion &amp; forbrug'!A244,'Resultater - Danmark'!$A$3:$A$482,"Biogasanlæg")&gt;0,1,0)</f>
        <v>0</v>
      </c>
      <c r="D244" s="194">
        <f t="shared" si="74"/>
        <v>2050</v>
      </c>
      <c r="E244" s="192" t="s">
        <v>24</v>
      </c>
      <c r="F244" s="195">
        <f>IF(E244="Vestdanmark",SUMIFS(IF(D244=År1,'Resultater - Vestdanmark'!H$3:H$482,IF(D244=År2,'Resultater - Vestdanmark'!I$3:I$482,'Resultater - Vestdanmark'!J$3:J$482)),'Resultater - Vestdanmark'!$F$3:$F$482,$A244,IF(D244=År1,'Resultater - Vestdanmark'!H$3:H$482,IF(D244=År2,'Resultater - Vestdanmark'!I$3:I$482,'Resultater - Vestdanmark'!J$3:J$482)),"&gt;0"),SUMIFS(IF(D244=År1,'Resultater - Østdanmark'!H$3:H$482,IF(D244=År2,'Resultater - Østdanmark'!I$3:I$482,'Resultater - Østdanmark'!J$3:J$482)),'Resultater - Østdanmark'!$F$3:$F$482,$A244,IF(D244=År1,'Resultater - Østdanmark'!H$3:H$482,IF(D244=År2,'Resultater - Østdanmark'!I$3:I$482,'Resultater - Østdanmark'!J$3:J$482)),"&gt;0"))</f>
        <v>0</v>
      </c>
      <c r="G244" s="195" t="e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#REF!</v>
      </c>
      <c r="H244" s="192">
        <f>IF(E244="Vestdanmark",-IF(A244="Halm",SUMIFS(IF(D244=År1,'Resultater - Vestdanmark'!H$3:H$482,IF(D244=År2,'Resultater - Vestdanmark'!I$3:I$482,'Resultater - Vestdanmark'!J$3:J$482)),'Resultater - Vestdanmark'!$F$3:$F$482,$A244,'Resultater - Vestdanmark'!H$3:H$482,"&lt;0"),0),-IF(A244="Halm",SUMIFS(IF(D244=År1,'Resultater - Østdanmark'!H$3:H$482,IF(D244=År2,'Resultater - Østdanmark'!I$3:I$482,'Resultater - Østdanmark'!J$3:J$482)),'Resultater - Østdanmark'!$F$3:$F$482,$A244,'Resultater - Østdanmark'!H$3:H$482,"&lt;0"),0))</f>
        <v>0</v>
      </c>
      <c r="I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5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7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204" t="e">
        <f t="shared" si="62"/>
        <v>#REF!</v>
      </c>
      <c r="O244" s="195">
        <f t="shared" si="59"/>
        <v>0</v>
      </c>
      <c r="P244" s="205">
        <f t="shared" si="63"/>
        <v>0</v>
      </c>
      <c r="Q244" s="192">
        <f>IFERROR(VLOOKUP(A244,[1]Energiindhold!$A$2:$C$11,3,FALSE),IFERROR(VLOOKUP(A244,[1]Biogasudbytte!$A$2:$B$18,2,FALSE)*[1]Energiindhold!$C$10,0))*O244</f>
        <v>0</v>
      </c>
      <c r="R244" s="192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92">
        <f>IFERROR(VLOOKUP(A244,[1]Biogasudbytte!$A$2:$B$18,2,FALSE)*[1]Energiindhold!$C$10,0)*J244*IFERROR(VLOOKUP(A244,Biogasanlæg!$F$3:$G$8,2,FALSE),1)</f>
        <v>0</v>
      </c>
      <c r="T244" s="193">
        <f t="shared" si="64"/>
        <v>0</v>
      </c>
      <c r="U244" s="191">
        <f>O244*IFERROR(VLOOKUP(A244,[1]Tørstofindhold!A$2:B$24,2,FALSE),0)</f>
        <v>0</v>
      </c>
      <c r="V244" s="192">
        <f>IF(D244=År1,P244,SUM(O244,P244))*IFERROR(VLOOKUP(A244,[1]Tørstofindhold!A$2:B$24,2,FALSE),0)</f>
        <v>0</v>
      </c>
      <c r="W244" s="192">
        <f>J244*IFERROR(VLOOKUP(A244,[1]Tørstofindhold!A$2:B$24,2,FALSE),0)</f>
        <v>0</v>
      </c>
      <c r="X244" s="193">
        <f t="shared" si="65"/>
        <v>0</v>
      </c>
      <c r="Y244" s="171" t="e">
        <f t="shared" si="60"/>
        <v>#REF!</v>
      </c>
      <c r="Z244" s="103" t="e">
        <f t="shared" si="61"/>
        <v>#REF!</v>
      </c>
    </row>
    <row r="245" spans="1:26" x14ac:dyDescent="0.25">
      <c r="A245" s="194" t="str">
        <f t="shared" si="72"/>
        <v>Bioaffald</v>
      </c>
      <c r="B245" s="194" t="str">
        <f t="shared" si="73"/>
        <v>Bionedbrydeligt affald</v>
      </c>
      <c r="C245" s="194">
        <f>IF(COUNTIFS('Resultater - Danmark'!$D$3:$D$482,'Resultat-Produktion &amp; forbrug'!A245,'Resultater - Danmark'!$A$3:$A$482,"Til energi")+COUNTIFS('Resultater - Danmark'!$D$3:$D$482,'Resultat-Produktion &amp; forbrug'!A245,'Resultater - Danmark'!$A$3:$A$482,"Biogasanlæg")&gt;0,1,0)</f>
        <v>1</v>
      </c>
      <c r="D245" s="194">
        <f t="shared" si="74"/>
        <v>2050</v>
      </c>
      <c r="E245" s="192" t="s">
        <v>24</v>
      </c>
      <c r="F245" s="195">
        <f>IF(E245="Vestdanmark",SUMIFS(IF(D245=År1,'Resultater - Vestdanmark'!H$3:H$482,IF(D245=År2,'Resultater - Vestdanmark'!I$3:I$482,'Resultater - Vestdanmark'!J$3:J$482)),'Resultater - Vestdanmark'!$F$3:$F$482,$A245,IF(D245=År1,'Resultater - Vestdanmark'!H$3:H$482,IF(D245=År2,'Resultater - Vestdanmark'!I$3:I$482,'Resultater - Vestdanmark'!J$3:J$482)),"&gt;0"),SUMIFS(IF(D245=År1,'Resultater - Østdanmark'!H$3:H$482,IF(D245=År2,'Resultater - Østdanmark'!I$3:I$482,'Resultater - Østdanmark'!J$3:J$482)),'Resultater - Østdanmark'!$F$3:$F$482,$A245,IF(D245=År1,'Resultater - Østdanmark'!H$3:H$482,IF(D245=År2,'Resultater - Østdanmark'!I$3:I$482,'Resultater - Østdanmark'!J$3:J$482)),"&gt;0"))</f>
        <v>0</v>
      </c>
      <c r="G245" s="195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92">
        <f>IF(E245="Vestdanmark",-IF(A245="Halm",SUMIFS(IF(D245=År1,'Resultater - Vestdanmark'!H$3:H$482,IF(D245=År2,'Resultater - Vestdanmark'!I$3:I$482,'Resultater - Vestdanmark'!J$3:J$482)),'Resultater - Vestdanmark'!$F$3:$F$482,$A245,'Resultater - Vestdanmark'!H$3:H$482,"&lt;0"),0),-IF(A245="Halm",SUMIFS(IF(D245=År1,'Resultater - Østdanmark'!H$3:H$482,IF(D245=År2,'Resultater - Østdanmark'!I$3:I$482,'Resultater - Østdanmark'!J$3:J$482)),'Resultater - Østdanmark'!$F$3:$F$482,$A245,'Resultater - Østdanmark'!H$3:H$482,"&lt;0"),0))</f>
        <v>0</v>
      </c>
      <c r="I245" s="195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5" t="e">
        <f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#REF!</v>
      </c>
      <c r="K245" s="195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5" t="e">
        <f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#REF!</v>
      </c>
      <c r="M245" s="157" t="e">
        <f>SUMIFS('Forbrug af biomasse'!E:E,'Forbrug af biomasse'!C:C,'Resultat-Produktion &amp; forbrug'!$A245,'Forbrug af biomasse'!D:D,'Resultat-Produktion &amp; forbrug'!$D245,'Forbrug af biomasse'!G:G,1,'Forbrug af biomasse'!B:B,$E245)</f>
        <v>#REF!</v>
      </c>
      <c r="N245" s="204" t="e">
        <f t="shared" si="62"/>
        <v>#REF!</v>
      </c>
      <c r="O245" s="195" t="e">
        <f t="shared" si="59"/>
        <v>#REF!</v>
      </c>
      <c r="P245" s="205" t="e">
        <f t="shared" si="63"/>
        <v>#REF!</v>
      </c>
      <c r="Q245" s="192" t="e">
        <f>IFERROR(VLOOKUP(A245,[1]Energiindhold!$A$2:$C$11,3,FALSE),IFERROR(VLOOKUP(A245,[1]Biogasudbytte!$A$2:$B$18,2,FALSE)*[1]Energiindhold!$C$10,0))*O245</f>
        <v>#REF!</v>
      </c>
      <c r="R245" s="192" t="e">
        <f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#REF!</v>
      </c>
      <c r="S245" s="192" t="e">
        <f>IFERROR(VLOOKUP(A245,[1]Biogasudbytte!$A$2:$B$18,2,FALSE)*[1]Energiindhold!$C$10,0)*J245*IFERROR(VLOOKUP(A245,Biogasanlæg!$F$3:$G$8,2,FALSE),1)</f>
        <v>#REF!</v>
      </c>
      <c r="T245" s="193" t="e">
        <f t="shared" si="64"/>
        <v>#REF!</v>
      </c>
      <c r="U245" s="191" t="e">
        <f>O245*IFERROR(VLOOKUP(A245,[1]Tørstofindhold!A$2:B$24,2,FALSE),0)</f>
        <v>#REF!</v>
      </c>
      <c r="V245" s="192" t="e">
        <f>IF(D245=År1,P245,SUM(O245,P245))*IFERROR(VLOOKUP(A245,[1]Tørstofindhold!A$2:B$24,2,FALSE),0)</f>
        <v>#REF!</v>
      </c>
      <c r="W245" s="192" t="e">
        <f>J245*IFERROR(VLOOKUP(A245,[1]Tørstofindhold!A$2:B$24,2,FALSE),0)</f>
        <v>#REF!</v>
      </c>
      <c r="X245" s="193" t="e">
        <f t="shared" si="65"/>
        <v>#REF!</v>
      </c>
      <c r="Y245" s="171" t="e">
        <f t="shared" si="60"/>
        <v>#REF!</v>
      </c>
      <c r="Z245" s="103" t="e">
        <f t="shared" si="61"/>
        <v>#REF!</v>
      </c>
    </row>
    <row r="246" spans="1:26" x14ac:dyDescent="0.25">
      <c r="A246" s="194" t="str">
        <f t="shared" si="72"/>
        <v>Biogas</v>
      </c>
      <c r="B246" s="194" t="str">
        <f t="shared" si="73"/>
        <v/>
      </c>
      <c r="C246" s="194">
        <f>IF(COUNTIFS('Resultater - Danmark'!$D$3:$D$482,'Resultat-Produktion &amp; forbrug'!A246,'Resultater - Danmark'!$A$3:$A$482,"Til energi")+COUNTIFS('Resultater - Danmark'!$D$3:$D$482,'Resultat-Produktion &amp; forbrug'!A246,'Resultater - Danmark'!$A$3:$A$482,"Biogasanlæg")&gt;0,1,0)</f>
        <v>1</v>
      </c>
      <c r="D246" s="194">
        <f t="shared" si="74"/>
        <v>2050</v>
      </c>
      <c r="E246" s="192" t="s">
        <v>24</v>
      </c>
      <c r="F246" s="195">
        <f>IF(E246="Vestdanmark",SUMIFS(IF(D246=År1,'Resultater - Vestdanmark'!H$3:H$482,IF(D246=År2,'Resultater - Vestdanmark'!I$3:I$482,'Resultater - Vestdanmark'!J$3:J$482)),'Resultater - Vestdanmark'!$F$3:$F$482,$A246,IF(D246=År1,'Resultater - Vestdanmark'!H$3:H$482,IF(D246=År2,'Resultater - Vestdanmark'!I$3:I$482,'Resultater - Vestdanmark'!J$3:J$482)),"&gt;0"),SUMIFS(IF(D246=År1,'Resultater - Østdanmark'!H$3:H$482,IF(D246=År2,'Resultater - Østdanmark'!I$3:I$482,'Resultater - Østdanmark'!J$3:J$482)),'Resultater - Østdanmark'!$F$3:$F$482,$A246,IF(D246=År1,'Resultater - Østdanmark'!H$3:H$482,IF(D246=År2,'Resultater - Østdanmark'!I$3:I$482,'Resultater - Østdanmark'!J$3:J$482)),"&gt;0"))</f>
        <v>12086250.624000002</v>
      </c>
      <c r="G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92">
        <f>IF(E246="Vestdanmark",-IF(A246="Halm",SUMIFS(IF(D246=År1,'Resultater - Vestdanmark'!H$3:H$482,IF(D246=År2,'Resultater - Vestdanmark'!I$3:I$482,'Resultater - Vestdanmark'!J$3:J$482)),'Resultater - Vestdanmark'!$F$3:$F$482,$A246,'Resultater - Vestdanmark'!H$3:H$482,"&lt;0"),0),-IF(A246="Halm",SUMIFS(IF(D246=År1,'Resultater - Østdanmark'!H$3:H$482,IF(D246=År2,'Resultater - Østdanmark'!I$3:I$482,'Resultater - Østdanmark'!J$3:J$482)),'Resultater - Østdanmark'!$F$3:$F$482,$A246,'Resultater - Østdanmark'!H$3:H$482,"&lt;0"),0))</f>
        <v>0</v>
      </c>
      <c r="I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5">
        <f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12086250.624000002</v>
      </c>
      <c r="M246" s="157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204">
        <f t="shared" si="62"/>
        <v>0</v>
      </c>
      <c r="O246" s="195">
        <f t="shared" si="59"/>
        <v>0</v>
      </c>
      <c r="P246" s="205">
        <f t="shared" si="63"/>
        <v>12086250.624000002</v>
      </c>
      <c r="Q246" s="192">
        <f>IFERROR(VLOOKUP(A246,[1]Energiindhold!$A$2:$C$11,3,FALSE),IFERROR(VLOOKUP(A246,[1]Biogasudbytte!$A$2:$B$18,2,FALSE)*[1]Energiindhold!$C$10,0))*O246</f>
        <v>0</v>
      </c>
      <c r="R246" s="192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92">
        <f>IFERROR(VLOOKUP(A246,[1]Biogasudbytte!$A$2:$B$18,2,FALSE)*[1]Energiindhold!$C$10,0)*J246*IFERROR(VLOOKUP(A246,Biogasanlæg!$F$3:$G$8,2,FALSE),1)</f>
        <v>0</v>
      </c>
      <c r="T246" s="193">
        <f t="shared" si="64"/>
        <v>0</v>
      </c>
      <c r="U246" s="191">
        <f>O246*IFERROR(VLOOKUP(A246,[1]Tørstofindhold!A$2:B$24,2,FALSE),0)</f>
        <v>0</v>
      </c>
      <c r="V246" s="192">
        <f>IF(D246=År1,P246,SUM(O246,P246))*IFERROR(VLOOKUP(A246,[1]Tørstofindhold!A$2:B$24,2,FALSE),0)</f>
        <v>0</v>
      </c>
      <c r="W246" s="192">
        <f>J246*IFERROR(VLOOKUP(A246,[1]Tørstofindhold!A$2:B$24,2,FALSE),0)</f>
        <v>0</v>
      </c>
      <c r="X246" s="193">
        <f t="shared" si="65"/>
        <v>0</v>
      </c>
      <c r="Y246" s="171">
        <f t="shared" si="60"/>
        <v>0</v>
      </c>
      <c r="Z246" s="103">
        <f t="shared" si="61"/>
        <v>0</v>
      </c>
    </row>
    <row r="247" spans="1:26" x14ac:dyDescent="0.25">
      <c r="A247" s="194" t="str">
        <f t="shared" si="72"/>
        <v>Biogasgylle</v>
      </c>
      <c r="B247" s="194" t="str">
        <f t="shared" si="73"/>
        <v/>
      </c>
      <c r="C247" s="194">
        <f>IF(COUNTIFS('Resultater - Danmark'!$D$3:$D$482,'Resultat-Produktion &amp; forbrug'!A247,'Resultater - Danmark'!$A$3:$A$482,"Til energi")+COUNTIFS('Resultater - Danmark'!$D$3:$D$482,'Resultat-Produktion &amp; forbrug'!A247,'Resultater - Danmark'!$A$3:$A$482,"Biogasanlæg")&gt;0,1,0)</f>
        <v>0</v>
      </c>
      <c r="D247" s="194">
        <f t="shared" si="74"/>
        <v>2050</v>
      </c>
      <c r="E247" s="192" t="s">
        <v>24</v>
      </c>
      <c r="F247" s="195">
        <f>IF(E247="Vestdanmark",SUMIFS(IF(D247=År1,'Resultater - Vestdanmark'!H$3:H$482,IF(D247=År2,'Resultater - Vestdanmark'!I$3:I$482,'Resultater - Vestdanmark'!J$3:J$482)),'Resultater - Vestdanmark'!$F$3:$F$482,$A247,IF(D247=År1,'Resultater - Vestdanmark'!H$3:H$482,IF(D247=År2,'Resultater - Vestdanmark'!I$3:I$482,'Resultater - Vestdanmark'!J$3:J$482)),"&gt;0"),SUMIFS(IF(D247=År1,'Resultater - Østdanmark'!H$3:H$482,IF(D247=År2,'Resultater - Østdanmark'!I$3:I$482,'Resultater - Østdanmark'!J$3:J$482)),'Resultater - Østdanmark'!$F$3:$F$482,$A247,IF(D247=År1,'Resultater - Østdanmark'!H$3:H$482,IF(D247=År2,'Resultater - Østdanmark'!I$3:I$482,'Resultater - Østdanmark'!J$3:J$482)),"&gt;0"))</f>
        <v>0</v>
      </c>
      <c r="G247" s="195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92">
        <f>IF(E247="Vestdanmark",-IF(A247="Halm",SUMIFS(IF(D247=År1,'Resultater - Vestdanmark'!H$3:H$482,IF(D247=År2,'Resultater - Vestdanmark'!I$3:I$482,'Resultater - Vestdanmark'!J$3:J$482)),'Resultater - Vestdanmark'!$F$3:$F$482,$A247,'Resultater - Vestdanmark'!H$3:H$482,"&lt;0"),0),-IF(A247="Halm",SUMIFS(IF(D247=År1,'Resultater - Østdanmark'!H$3:H$482,IF(D247=År2,'Resultater - Østdanmark'!I$3:I$482,'Resultater - Østdanmark'!J$3:J$482)),'Resultater - Østdanmark'!$F$3:$F$482,$A247,'Resultater - Østdanmark'!H$3:H$482,"&lt;0"),0))</f>
        <v>0</v>
      </c>
      <c r="I247" s="195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5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5" t="e">
        <f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#REF!</v>
      </c>
      <c r="L247" s="195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7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204" t="e">
        <f t="shared" si="62"/>
        <v>#REF!</v>
      </c>
      <c r="O247" s="195">
        <f t="shared" si="59"/>
        <v>0</v>
      </c>
      <c r="P247" s="205">
        <f t="shared" si="63"/>
        <v>0</v>
      </c>
      <c r="Q247" s="192">
        <f>IFERROR(VLOOKUP(A247,[1]Energiindhold!$A$2:$C$11,3,FALSE),IFERROR(VLOOKUP(A247,[1]Biogasudbytte!$A$2:$B$18,2,FALSE)*[1]Energiindhold!$C$10,0))*O247</f>
        <v>0</v>
      </c>
      <c r="R247" s="192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92">
        <f>IFERROR(VLOOKUP(A247,[1]Biogasudbytte!$A$2:$B$18,2,FALSE)*[1]Energiindhold!$C$10,0)*J247*IFERROR(VLOOKUP(A247,Biogasanlæg!$F$3:$G$8,2,FALSE),1)</f>
        <v>0</v>
      </c>
      <c r="T247" s="193">
        <f t="shared" si="64"/>
        <v>0</v>
      </c>
      <c r="U247" s="191">
        <f>O247*IFERROR(VLOOKUP(A247,[1]Tørstofindhold!A$2:B$24,2,FALSE),0)</f>
        <v>0</v>
      </c>
      <c r="V247" s="192">
        <f>IF(D247=År1,P247,SUM(O247,P247))*IFERROR(VLOOKUP(A247,[1]Tørstofindhold!A$2:B$24,2,FALSE),0)</f>
        <v>0</v>
      </c>
      <c r="W247" s="192">
        <f>J247*IFERROR(VLOOKUP(A247,[1]Tørstofindhold!A$2:B$24,2,FALSE),0)</f>
        <v>0</v>
      </c>
      <c r="X247" s="193">
        <f t="shared" si="65"/>
        <v>0</v>
      </c>
      <c r="Y247" s="171" t="e">
        <f t="shared" si="60"/>
        <v>#REF!</v>
      </c>
      <c r="Z247" s="103" t="e">
        <f t="shared" si="61"/>
        <v>#REF!</v>
      </c>
    </row>
    <row r="248" spans="1:26" x14ac:dyDescent="0.25">
      <c r="A248" s="194" t="str">
        <f t="shared" si="72"/>
        <v>Brun saft</v>
      </c>
      <c r="B248" s="194" t="str">
        <f t="shared" si="73"/>
        <v>Bionedbrydeligt affald</v>
      </c>
      <c r="C248" s="194">
        <f>IF(COUNTIFS('Resultater - Danmark'!$D$3:$D$482,'Resultat-Produktion &amp; forbrug'!A248,'Resultater - Danmark'!$A$3:$A$482,"Til energi")+COUNTIFS('Resultater - Danmark'!$D$3:$D$482,'Resultat-Produktion &amp; forbrug'!A248,'Resultater - Danmark'!$A$3:$A$482,"Biogasanlæg")&gt;0,1,0)</f>
        <v>1</v>
      </c>
      <c r="D248" s="194">
        <f t="shared" si="74"/>
        <v>2050</v>
      </c>
      <c r="E248" s="192" t="s">
        <v>24</v>
      </c>
      <c r="F248" s="195">
        <f>IF(E248="Vestdanmark",SUMIFS(IF(D248=År1,'Resultater - Vestdanmark'!H$3:H$482,IF(D248=År2,'Resultater - Vestdanmark'!I$3:I$482,'Resultater - Vestdanmark'!J$3:J$482)),'Resultater - Vestdanmark'!$F$3:$F$482,$A248,IF(D248=År1,'Resultater - Vestdanmark'!H$3:H$482,IF(D248=År2,'Resultater - Vestdanmark'!I$3:I$482,'Resultater - Vestdanmark'!J$3:J$482)),"&gt;0"),SUMIFS(IF(D248=År1,'Resultater - Østdanmark'!H$3:H$482,IF(D248=År2,'Resultater - Østdanmark'!I$3:I$482,'Resultater - Østdanmark'!J$3:J$482)),'Resultater - Østdanmark'!$F$3:$F$482,$A248,IF(D248=År1,'Resultater - Østdanmark'!H$3:H$482,IF(D248=År2,'Resultater - Østdanmark'!I$3:I$482,'Resultater - Østdanmark'!J$3:J$482)),"&gt;0"))</f>
        <v>0</v>
      </c>
      <c r="G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92">
        <f>IF(E248="Vestdanmark",-IF(A248="Halm",SUMIFS(IF(D248=År1,'Resultater - Vestdanmark'!H$3:H$482,IF(D248=År2,'Resultater - Vestdanmark'!I$3:I$482,'Resultater - Vestdanmark'!J$3:J$482)),'Resultater - Vestdanmark'!$F$3:$F$482,$A248,'Resultater - Vestdanmark'!H$3:H$482,"&lt;0"),0),-IF(A248="Halm",SUMIFS(IF(D248=År1,'Resultater - Østdanmark'!H$3:H$482,IF(D248=År2,'Resultater - Østdanmark'!I$3:I$482,'Resultater - Østdanmark'!J$3:J$482)),'Resultater - Østdanmark'!$F$3:$F$482,$A248,'Resultater - Østdanmark'!H$3:H$482,"&lt;0"),0))</f>
        <v>0</v>
      </c>
      <c r="I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5" t="e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#REF!</v>
      </c>
      <c r="K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5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7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204" t="e">
        <f t="shared" si="62"/>
        <v>#REF!</v>
      </c>
      <c r="O248" s="195" t="e">
        <f t="shared" si="59"/>
        <v>#REF!</v>
      </c>
      <c r="P248" s="205" t="e">
        <f t="shared" si="63"/>
        <v>#REF!</v>
      </c>
      <c r="Q248" s="192" t="e">
        <f>IFERROR(VLOOKUP(A248,[1]Energiindhold!$A$2:$C$11,3,FALSE),IFERROR(VLOOKUP(A248,[1]Biogasudbytte!$A$2:$B$18,2,FALSE)*[1]Energiindhold!$C$10,0))*O248</f>
        <v>#REF!</v>
      </c>
      <c r="R248" s="192" t="e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#REF!</v>
      </c>
      <c r="S248" s="192" t="e">
        <f>IFERROR(VLOOKUP(A248,[1]Biogasudbytte!$A$2:$B$18,2,FALSE)*[1]Energiindhold!$C$10,0)*J248*IFERROR(VLOOKUP(A248,Biogasanlæg!$F$3:$G$8,2,FALSE),1)</f>
        <v>#REF!</v>
      </c>
      <c r="T248" s="193" t="e">
        <f t="shared" si="64"/>
        <v>#REF!</v>
      </c>
      <c r="U248" s="191" t="e">
        <f>O248*IFERROR(VLOOKUP(A248,[1]Tørstofindhold!A$2:B$24,2,FALSE),0)</f>
        <v>#REF!</v>
      </c>
      <c r="V248" s="192" t="e">
        <f>IF(D248=År1,P248,SUM(O248,P248))*IFERROR(VLOOKUP(A248,[1]Tørstofindhold!A$2:B$24,2,FALSE),0)</f>
        <v>#REF!</v>
      </c>
      <c r="W248" s="192" t="e">
        <f>J248*IFERROR(VLOOKUP(A248,[1]Tørstofindhold!A$2:B$24,2,FALSE),0)</f>
        <v>#REF!</v>
      </c>
      <c r="X248" s="193" t="e">
        <f t="shared" si="65"/>
        <v>#REF!</v>
      </c>
      <c r="Y248" s="171" t="e">
        <f t="shared" si="60"/>
        <v>#REF!</v>
      </c>
      <c r="Z248" s="103" t="e">
        <f t="shared" si="61"/>
        <v>#REF!</v>
      </c>
    </row>
    <row r="249" spans="1:26" x14ac:dyDescent="0.25">
      <c r="A249" s="194" t="str">
        <f t="shared" si="72"/>
        <v>Dybstrøelse</v>
      </c>
      <c r="B249" s="194" t="str">
        <f t="shared" si="73"/>
        <v>Husdyrgødning</v>
      </c>
      <c r="C249" s="194">
        <f>IF(COUNTIFS('Resultater - Danmark'!$D$3:$D$482,'Resultat-Produktion &amp; forbrug'!A249,'Resultater - Danmark'!$A$3:$A$482,"Til energi")+COUNTIFS('Resultater - Danmark'!$D$3:$D$482,'Resultat-Produktion &amp; forbrug'!A249,'Resultater - Danmark'!$A$3:$A$482,"Biogasanlæg")&gt;0,1,0)</f>
        <v>1</v>
      </c>
      <c r="D249" s="194">
        <f t="shared" si="74"/>
        <v>2050</v>
      </c>
      <c r="E249" s="192" t="s">
        <v>24</v>
      </c>
      <c r="F249" s="195">
        <f>IF(E249="Vestdanmark",SUMIFS(IF(D249=År1,'Resultater - Vestdanmark'!H$3:H$482,IF(D249=År2,'Resultater - Vestdanmark'!I$3:I$482,'Resultater - Vestdanmark'!J$3:J$482)),'Resultater - Vestdanmark'!$F$3:$F$482,$A249,IF(D249=År1,'Resultater - Vestdanmark'!H$3:H$482,IF(D249=År2,'Resultater - Vestdanmark'!I$3:I$482,'Resultater - Vestdanmark'!J$3:J$482)),"&gt;0"),SUMIFS(IF(D249=År1,'Resultater - Østdanmark'!H$3:H$482,IF(D249=År2,'Resultater - Østdanmark'!I$3:I$482,'Resultater - Østdanmark'!J$3:J$482)),'Resultater - Østdanmark'!$F$3:$F$482,$A249,IF(D249=År1,'Resultater - Østdanmark'!H$3:H$482,IF(D249=År2,'Resultater - Østdanmark'!I$3:I$482,'Resultater - Østdanmark'!J$3:J$482)),"&gt;0"))</f>
        <v>0</v>
      </c>
      <c r="G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92">
        <f>IF(E249="Vestdanmark",-IF(A249="Halm",SUMIFS(IF(D249=År1,'Resultater - Vestdanmark'!H$3:H$482,IF(D249=År2,'Resultater - Vestdanmark'!I$3:I$482,'Resultater - Vestdanmark'!J$3:J$482)),'Resultater - Vestdanmark'!$F$3:$F$482,$A249,'Resultater - Vestdanmark'!H$3:H$482,"&lt;0"),0),-IF(A249="Halm",SUMIFS(IF(D249=År1,'Resultater - Østdanmark'!H$3:H$482,IF(D249=År2,'Resultater - Østdanmark'!I$3:I$482,'Resultater - Østdanmark'!J$3:J$482)),'Resultater - Østdanmark'!$F$3:$F$482,$A249,'Resultater - Østdanmark'!H$3:H$482,"&lt;0"),0))</f>
        <v>0</v>
      </c>
      <c r="I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5" t="e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#REF!</v>
      </c>
      <c r="K249" s="195" t="e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#REF!</v>
      </c>
      <c r="L249" s="195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7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204" t="e">
        <f t="shared" si="62"/>
        <v>#REF!</v>
      </c>
      <c r="O249" s="195" t="e">
        <f t="shared" si="59"/>
        <v>#REF!</v>
      </c>
      <c r="P249" s="205" t="e">
        <f t="shared" si="63"/>
        <v>#REF!</v>
      </c>
      <c r="Q249" s="192" t="e">
        <f>IFERROR(VLOOKUP(A249,[1]Energiindhold!$A$2:$C$11,3,FALSE),IFERROR(VLOOKUP(A249,[1]Biogasudbytte!$A$2:$B$18,2,FALSE)*[1]Energiindhold!$C$10,0))*O249</f>
        <v>#REF!</v>
      </c>
      <c r="R249" s="192" t="e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#REF!</v>
      </c>
      <c r="S249" s="192" t="e">
        <f>IFERROR(VLOOKUP(A249,[1]Biogasudbytte!$A$2:$B$18,2,FALSE)*[1]Energiindhold!$C$10,0)*J249*IFERROR(VLOOKUP(A249,Biogasanlæg!$F$3:$G$8,2,FALSE),1)</f>
        <v>#REF!</v>
      </c>
      <c r="T249" s="193" t="e">
        <f t="shared" si="64"/>
        <v>#REF!</v>
      </c>
      <c r="U249" s="191" t="e">
        <f>O249*IFERROR(VLOOKUP(A249,[1]Tørstofindhold!A$2:B$24,2,FALSE),0)</f>
        <v>#REF!</v>
      </c>
      <c r="V249" s="192" t="e">
        <f>IF(D249=År1,P249,SUM(O249,P249))*IFERROR(VLOOKUP(A249,[1]Tørstofindhold!A$2:B$24,2,FALSE),0)</f>
        <v>#REF!</v>
      </c>
      <c r="W249" s="192" t="e">
        <f>J249*IFERROR(VLOOKUP(A249,[1]Tørstofindhold!A$2:B$24,2,FALSE),0)</f>
        <v>#REF!</v>
      </c>
      <c r="X249" s="193" t="e">
        <f t="shared" si="65"/>
        <v>#REF!</v>
      </c>
      <c r="Y249" s="171" t="e">
        <f t="shared" si="60"/>
        <v>#REF!</v>
      </c>
      <c r="Z249" s="103" t="e">
        <f t="shared" si="61"/>
        <v>#REF!</v>
      </c>
    </row>
    <row r="250" spans="1:26" x14ac:dyDescent="0.25">
      <c r="A250" s="194" t="str">
        <f t="shared" si="72"/>
        <v>Fiberfraktion</v>
      </c>
      <c r="B250" s="194" t="str">
        <f t="shared" si="73"/>
        <v/>
      </c>
      <c r="C250" s="194">
        <f>IF(COUNTIFS('Resultater - Danmark'!$D$3:$D$482,'Resultat-Produktion &amp; forbrug'!A250,'Resultater - Danmark'!$A$3:$A$482,"Til energi")+COUNTIFS('Resultater - Danmark'!$D$3:$D$482,'Resultat-Produktion &amp; forbrug'!A250,'Resultater - Danmark'!$A$3:$A$482,"Biogasanlæg")&gt;0,1,0)</f>
        <v>0</v>
      </c>
      <c r="D250" s="194">
        <f t="shared" si="74"/>
        <v>2050</v>
      </c>
      <c r="E250" s="192" t="s">
        <v>24</v>
      </c>
      <c r="F250" s="195">
        <f>IF(E250="Vestdanmark",SUMIFS(IF(D250=År1,'Resultater - Vestdanmark'!H$3:H$482,IF(D250=År2,'Resultater - Vestdanmark'!I$3:I$482,'Resultater - Vestdanmark'!J$3:J$482)),'Resultater - Vestdanmark'!$F$3:$F$482,$A250,IF(D250=År1,'Resultater - Vestdanmark'!H$3:H$482,IF(D250=År2,'Resultater - Vestdanmark'!I$3:I$482,'Resultater - Vestdanmark'!J$3:J$482)),"&gt;0"),SUMIFS(IF(D250=År1,'Resultater - Østdanmark'!H$3:H$482,IF(D250=År2,'Resultater - Østdanmark'!I$3:I$482,'Resultater - Østdanmark'!J$3:J$482)),'Resultater - Østdanmark'!$F$3:$F$482,$A250,IF(D250=År1,'Resultater - Østdanmark'!H$3:H$482,IF(D250=År2,'Resultater - Østdanmark'!I$3:I$482,'Resultater - Østdanmark'!J$3:J$482)),"&gt;0"))</f>
        <v>0</v>
      </c>
      <c r="G250" s="195" t="e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#REF!</v>
      </c>
      <c r="H250" s="192">
        <f>IF(E250="Vestdanmark",-IF(A250="Halm",SUMIFS(IF(D250=År1,'Resultater - Vestdanmark'!H$3:H$482,IF(D250=År2,'Resultater - Vestdanmark'!I$3:I$482,'Resultater - Vestdanmark'!J$3:J$482)),'Resultater - Vestdanmark'!$F$3:$F$482,$A250,'Resultater - Vestdanmark'!H$3:H$482,"&lt;0"),0),-IF(A250="Halm",SUMIFS(IF(D250=År1,'Resultater - Østdanmark'!H$3:H$482,IF(D250=År2,'Resultater - Østdanmark'!I$3:I$482,'Resultater - Østdanmark'!J$3:J$482)),'Resultater - Østdanmark'!$F$3:$F$482,$A250,'Resultater - Østdanmark'!H$3:H$482,"&lt;0"),0))</f>
        <v>0</v>
      </c>
      <c r="I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5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7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204" t="e">
        <f t="shared" si="62"/>
        <v>#REF!</v>
      </c>
      <c r="O250" s="195">
        <f t="shared" si="59"/>
        <v>0</v>
      </c>
      <c r="P250" s="205">
        <f t="shared" si="63"/>
        <v>0</v>
      </c>
      <c r="Q250" s="192">
        <f>IFERROR(VLOOKUP(A250,[1]Energiindhold!$A$2:$C$11,3,FALSE),IFERROR(VLOOKUP(A250,[1]Biogasudbytte!$A$2:$B$18,2,FALSE)*[1]Energiindhold!$C$10,0))*O250</f>
        <v>0</v>
      </c>
      <c r="R250" s="192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92">
        <f>IFERROR(VLOOKUP(A250,[1]Biogasudbytte!$A$2:$B$18,2,FALSE)*[1]Energiindhold!$C$10,0)*J250*IFERROR(VLOOKUP(A250,Biogasanlæg!$F$3:$G$8,2,FALSE),1)</f>
        <v>0</v>
      </c>
      <c r="T250" s="193">
        <f t="shared" si="64"/>
        <v>0</v>
      </c>
      <c r="U250" s="191">
        <f>O250*IFERROR(VLOOKUP(A250,[1]Tørstofindhold!A$2:B$24,2,FALSE),0)</f>
        <v>0</v>
      </c>
      <c r="V250" s="192">
        <f>IF(D250=År1,P250,SUM(O250,P250))*IFERROR(VLOOKUP(A250,[1]Tørstofindhold!A$2:B$24,2,FALSE),0)</f>
        <v>0</v>
      </c>
      <c r="W250" s="192">
        <f>J250*IFERROR(VLOOKUP(A250,[1]Tørstofindhold!A$2:B$24,2,FALSE),0)</f>
        <v>0</v>
      </c>
      <c r="X250" s="193">
        <f t="shared" si="65"/>
        <v>0</v>
      </c>
      <c r="Y250" s="171" t="e">
        <f t="shared" si="60"/>
        <v>#REF!</v>
      </c>
      <c r="Z250" s="103" t="e">
        <f t="shared" si="61"/>
        <v>#REF!</v>
      </c>
    </row>
    <row r="251" spans="1:26" x14ac:dyDescent="0.25">
      <c r="A251" s="194" t="str">
        <f t="shared" si="72"/>
        <v>Fjerkrægylle</v>
      </c>
      <c r="B251" s="194" t="str">
        <f t="shared" si="73"/>
        <v>Husdyrgødning</v>
      </c>
      <c r="C251" s="194">
        <f>IF(COUNTIFS('Resultater - Danmark'!$D$3:$D$482,'Resultat-Produktion &amp; forbrug'!A251,'Resultater - Danmark'!$A$3:$A$482,"Til energi")+COUNTIFS('Resultater - Danmark'!$D$3:$D$482,'Resultat-Produktion &amp; forbrug'!A251,'Resultater - Danmark'!$A$3:$A$482,"Biogasanlæg")&gt;0,1,0)</f>
        <v>1</v>
      </c>
      <c r="D251" s="194">
        <f t="shared" si="74"/>
        <v>2050</v>
      </c>
      <c r="E251" s="192" t="s">
        <v>24</v>
      </c>
      <c r="F251" s="195">
        <f>IF(E251="Vestdanmark",SUMIFS(IF(D251=År1,'Resultater - Vestdanmark'!H$3:H$482,IF(D251=År2,'Resultater - Vestdanmark'!I$3:I$482,'Resultater - Vestdanmark'!J$3:J$482)),'Resultater - Vestdanmark'!$F$3:$F$482,$A251,IF(D251=År1,'Resultater - Vestdanmark'!H$3:H$482,IF(D251=År2,'Resultater - Vestdanmark'!I$3:I$482,'Resultater - Vestdanmark'!J$3:J$482)),"&gt;0"),SUMIFS(IF(D251=År1,'Resultater - Østdanmark'!H$3:H$482,IF(D251=År2,'Resultater - Østdanmark'!I$3:I$482,'Resultater - Østdanmark'!J$3:J$482)),'Resultater - Østdanmark'!$F$3:$F$482,$A251,IF(D251=År1,'Resultater - Østdanmark'!H$3:H$482,IF(D251=År2,'Resultater - Østdanmark'!I$3:I$482,'Resultater - Østdanmark'!J$3:J$482)),"&gt;0"))</f>
        <v>0</v>
      </c>
      <c r="G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92">
        <f>IF(E251="Vestdanmark",-IF(A251="Halm",SUMIFS(IF(D251=År1,'Resultater - Vestdanmark'!H$3:H$482,IF(D251=År2,'Resultater - Vestdanmark'!I$3:I$482,'Resultater - Vestdanmark'!J$3:J$482)),'Resultater - Vestdanmark'!$F$3:$F$482,$A251,'Resultater - Vestdanmark'!H$3:H$482,"&lt;0"),0),-IF(A251="Halm",SUMIFS(IF(D251=År1,'Resultater - Østdanmark'!H$3:H$482,IF(D251=År2,'Resultater - Østdanmark'!I$3:I$482,'Resultater - Østdanmark'!J$3:J$482)),'Resultater - Østdanmark'!$F$3:$F$482,$A251,'Resultater - Østdanmark'!H$3:H$482,"&lt;0"),0))</f>
        <v>0</v>
      </c>
      <c r="I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5" t="e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#REF!</v>
      </c>
      <c r="K251" s="195" t="e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#REF!</v>
      </c>
      <c r="L251" s="195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7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204" t="e">
        <f t="shared" si="62"/>
        <v>#REF!</v>
      </c>
      <c r="O251" s="195" t="e">
        <f t="shared" si="59"/>
        <v>#REF!</v>
      </c>
      <c r="P251" s="205" t="e">
        <f t="shared" si="63"/>
        <v>#REF!</v>
      </c>
      <c r="Q251" s="192" t="e">
        <f>IFERROR(VLOOKUP(A251,[1]Energiindhold!$A$2:$C$11,3,FALSE),IFERROR(VLOOKUP(A251,[1]Biogasudbytte!$A$2:$B$18,2,FALSE)*[1]Energiindhold!$C$10,0))*O251</f>
        <v>#REF!</v>
      </c>
      <c r="R251" s="192" t="e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#REF!</v>
      </c>
      <c r="S251" s="192" t="e">
        <f>IFERROR(VLOOKUP(A251,[1]Biogasudbytte!$A$2:$B$18,2,FALSE)*[1]Energiindhold!$C$10,0)*J251*IFERROR(VLOOKUP(A251,Biogasanlæg!$F$3:$G$8,2,FALSE),1)</f>
        <v>#REF!</v>
      </c>
      <c r="T251" s="193" t="e">
        <f t="shared" si="64"/>
        <v>#REF!</v>
      </c>
      <c r="U251" s="191" t="e">
        <f>O251*IFERROR(VLOOKUP(A251,[1]Tørstofindhold!A$2:B$24,2,FALSE),0)</f>
        <v>#REF!</v>
      </c>
      <c r="V251" s="192" t="e">
        <f>IF(D251=År1,P251,SUM(O251,P251))*IFERROR(VLOOKUP(A251,[1]Tørstofindhold!A$2:B$24,2,FALSE),0)</f>
        <v>#REF!</v>
      </c>
      <c r="W251" s="192" t="e">
        <f>J251*IFERROR(VLOOKUP(A251,[1]Tørstofindhold!A$2:B$24,2,FALSE),0)</f>
        <v>#REF!</v>
      </c>
      <c r="X251" s="193" t="e">
        <f t="shared" si="65"/>
        <v>#REF!</v>
      </c>
      <c r="Y251" s="171" t="e">
        <f t="shared" si="60"/>
        <v>#REF!</v>
      </c>
      <c r="Z251" s="103" t="e">
        <f t="shared" si="61"/>
        <v>#REF!</v>
      </c>
    </row>
    <row r="252" spans="1:26" x14ac:dyDescent="0.25">
      <c r="A252" s="194" t="str">
        <f t="shared" si="72"/>
        <v>Fjerkrækød</v>
      </c>
      <c r="B252" s="194" t="str">
        <f t="shared" si="73"/>
        <v/>
      </c>
      <c r="C252" s="194">
        <f>IF(COUNTIFS('Resultater - Danmark'!$D$3:$D$482,'Resultat-Produktion &amp; forbrug'!A252,'Resultater - Danmark'!$A$3:$A$482,"Til energi")+COUNTIFS('Resultater - Danmark'!$D$3:$D$482,'Resultat-Produktion &amp; forbrug'!A252,'Resultater - Danmark'!$A$3:$A$482,"Biogasanlæg")&gt;0,1,0)</f>
        <v>0</v>
      </c>
      <c r="D252" s="194">
        <f t="shared" si="74"/>
        <v>2050</v>
      </c>
      <c r="E252" s="192" t="s">
        <v>24</v>
      </c>
      <c r="F252" s="195">
        <f>IF(E252="Vestdanmark",SUMIFS(IF(D252=År1,'Resultater - Vestdanmark'!H$3:H$482,IF(D252=År2,'Resultater - Vestdanmark'!I$3:I$482,'Resultater - Vestdanmark'!J$3:J$482)),'Resultater - Vestdanmark'!$F$3:$F$482,$A252,IF(D252=År1,'Resultater - Vestdanmark'!H$3:H$482,IF(D252=År2,'Resultater - Vestdanmark'!I$3:I$482,'Resultater - Vestdanmark'!J$3:J$482)),"&gt;0"),SUMIFS(IF(D252=År1,'Resultater - Østdanmark'!H$3:H$482,IF(D252=År2,'Resultater - Østdanmark'!I$3:I$482,'Resultater - Østdanmark'!J$3:J$482)),'Resultater - Østdanmark'!$F$3:$F$482,$A252,IF(D252=År1,'Resultater - Østdanmark'!H$3:H$482,IF(D252=År2,'Resultater - Østdanmark'!I$3:I$482,'Resultater - Østdanmark'!J$3:J$482)),"&gt;0"))</f>
        <v>0</v>
      </c>
      <c r="G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92">
        <f>IF(E252="Vestdanmark",-IF(A252="Halm",SUMIFS(IF(D252=År1,'Resultater - Vestdanmark'!H$3:H$482,IF(D252=År2,'Resultater - Vestdanmark'!I$3:I$482,'Resultater - Vestdanmark'!J$3:J$482)),'Resultater - Vestdanmark'!$F$3:$F$482,$A252,'Resultater - Vestdanmark'!H$3:H$482,"&lt;0"),0),-IF(A252="Halm",SUMIFS(IF(D252=År1,'Resultater - Østdanmark'!H$3:H$482,IF(D252=År2,'Resultater - Østdanmark'!I$3:I$482,'Resultater - Østdanmark'!J$3:J$482)),'Resultater - Østdanmark'!$F$3:$F$482,$A252,'Resultater - Østdanmark'!H$3:H$482,"&lt;0"),0))</f>
        <v>0</v>
      </c>
      <c r="I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5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7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204">
        <f t="shared" si="62"/>
        <v>-31993.002188443785</v>
      </c>
      <c r="O252" s="195">
        <f t="shared" si="59"/>
        <v>0</v>
      </c>
      <c r="P252" s="205">
        <f t="shared" si="63"/>
        <v>0</v>
      </c>
      <c r="Q252" s="192">
        <f>IFERROR(VLOOKUP(A252,[1]Energiindhold!$A$2:$C$11,3,FALSE),IFERROR(VLOOKUP(A252,[1]Biogasudbytte!$A$2:$B$18,2,FALSE)*[1]Energiindhold!$C$10,0))*O252</f>
        <v>0</v>
      </c>
      <c r="R252" s="192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92">
        <f>IFERROR(VLOOKUP(A252,[1]Biogasudbytte!$A$2:$B$18,2,FALSE)*[1]Energiindhold!$C$10,0)*J252*IFERROR(VLOOKUP(A252,Biogasanlæg!$F$3:$G$8,2,FALSE),1)</f>
        <v>0</v>
      </c>
      <c r="T252" s="193">
        <f t="shared" si="64"/>
        <v>0</v>
      </c>
      <c r="U252" s="191">
        <f>O252*IFERROR(VLOOKUP(A252,[1]Tørstofindhold!A$2:B$24,2,FALSE),0)</f>
        <v>0</v>
      </c>
      <c r="V252" s="192">
        <f>IF(D252=År1,P252,SUM(O252,P252))*IFERROR(VLOOKUP(A252,[1]Tørstofindhold!A$2:B$24,2,FALSE),0)</f>
        <v>0</v>
      </c>
      <c r="W252" s="192">
        <f>J252*IFERROR(VLOOKUP(A252,[1]Tørstofindhold!A$2:B$24,2,FALSE),0)</f>
        <v>0</v>
      </c>
      <c r="X252" s="193">
        <f t="shared" si="65"/>
        <v>0</v>
      </c>
      <c r="Y252" s="171">
        <f t="shared" si="60"/>
        <v>1</v>
      </c>
      <c r="Z252" s="103">
        <f t="shared" si="61"/>
        <v>0</v>
      </c>
    </row>
    <row r="253" spans="1:26" x14ac:dyDescent="0.25">
      <c r="A253" s="194" t="str">
        <f t="shared" si="72"/>
        <v>Frø</v>
      </c>
      <c r="B253" s="194" t="str">
        <f t="shared" si="73"/>
        <v/>
      </c>
      <c r="C253" s="194">
        <f>IF(COUNTIFS('Resultater - Danmark'!$D$3:$D$482,'Resultat-Produktion &amp; forbrug'!A253,'Resultater - Danmark'!$A$3:$A$482,"Til energi")+COUNTIFS('Resultater - Danmark'!$D$3:$D$482,'Resultat-Produktion &amp; forbrug'!A253,'Resultater - Danmark'!$A$3:$A$482,"Biogasanlæg")&gt;0,1,0)</f>
        <v>0</v>
      </c>
      <c r="D253" s="194">
        <f t="shared" si="74"/>
        <v>2050</v>
      </c>
      <c r="E253" s="192" t="s">
        <v>24</v>
      </c>
      <c r="F253" s="195">
        <f>IF(E253="Vestdanmark",SUMIFS(IF(D253=År1,'Resultater - Vestdanmark'!H$3:H$482,IF(D253=År2,'Resultater - Vestdanmark'!I$3:I$482,'Resultater - Vestdanmark'!J$3:J$482)),'Resultater - Vestdanmark'!$F$3:$F$482,$A253,IF(D253=År1,'Resultater - Vestdanmark'!H$3:H$482,IF(D253=År2,'Resultater - Vestdanmark'!I$3:I$482,'Resultater - Vestdanmark'!J$3:J$482)),"&gt;0"),SUMIFS(IF(D253=År1,'Resultater - Østdanmark'!H$3:H$482,IF(D253=År2,'Resultater - Østdanmark'!I$3:I$482,'Resultater - Østdanmark'!J$3:J$482)),'Resultater - Østdanmark'!$F$3:$F$482,$A253,IF(D253=År1,'Resultater - Østdanmark'!H$3:H$482,IF(D253=År2,'Resultater - Østdanmark'!I$3:I$482,'Resultater - Østdanmark'!J$3:J$482)),"&gt;0"))</f>
        <v>0</v>
      </c>
      <c r="G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92">
        <f>IF(E253="Vestdanmark",-IF(A253="Halm",SUMIFS(IF(D253=År1,'Resultater - Vestdanmark'!H$3:H$482,IF(D253=År2,'Resultater - Vestdanmark'!I$3:I$482,'Resultater - Vestdanmark'!J$3:J$482)),'Resultater - Vestdanmark'!$F$3:$F$482,$A253,'Resultater - Vestdanmark'!H$3:H$482,"&lt;0"),0),-IF(A253="Halm",SUMIFS(IF(D253=År1,'Resultater - Østdanmark'!H$3:H$482,IF(D253=År2,'Resultater - Østdanmark'!I$3:I$482,'Resultater - Østdanmark'!J$3:J$482)),'Resultater - Østdanmark'!$F$3:$F$482,$A253,'Resultater - Østdanmark'!H$3:H$482,"&lt;0"),0))</f>
        <v>0</v>
      </c>
      <c r="I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5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7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204">
        <f t="shared" si="62"/>
        <v>0</v>
      </c>
      <c r="O253" s="195">
        <f t="shared" si="59"/>
        <v>0</v>
      </c>
      <c r="P253" s="205">
        <f t="shared" si="63"/>
        <v>0</v>
      </c>
      <c r="Q253" s="192">
        <f>IFERROR(VLOOKUP(A253,[1]Energiindhold!$A$2:$C$11,3,FALSE),IFERROR(VLOOKUP(A253,[1]Biogasudbytte!$A$2:$B$18,2,FALSE)*[1]Energiindhold!$C$10,0))*O253</f>
        <v>0</v>
      </c>
      <c r="R253" s="192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92">
        <f>IFERROR(VLOOKUP(A253,[1]Biogasudbytte!$A$2:$B$18,2,FALSE)*[1]Energiindhold!$C$10,0)*J253*IFERROR(VLOOKUP(A253,Biogasanlæg!$F$3:$G$8,2,FALSE),1)</f>
        <v>0</v>
      </c>
      <c r="T253" s="193">
        <f t="shared" si="64"/>
        <v>0</v>
      </c>
      <c r="U253" s="191">
        <f>O253*IFERROR(VLOOKUP(A253,[1]Tørstofindhold!A$2:B$24,2,FALSE),0)</f>
        <v>0</v>
      </c>
      <c r="V253" s="192">
        <f>IF(D253=År1,P253,SUM(O253,P253))*IFERROR(VLOOKUP(A253,[1]Tørstofindhold!A$2:B$24,2,FALSE),0)</f>
        <v>0</v>
      </c>
      <c r="W253" s="192">
        <f>J253*IFERROR(VLOOKUP(A253,[1]Tørstofindhold!A$2:B$24,2,FALSE),0)</f>
        <v>0</v>
      </c>
      <c r="X253" s="193">
        <f t="shared" si="65"/>
        <v>0</v>
      </c>
      <c r="Y253" s="171">
        <f t="shared" si="60"/>
        <v>0</v>
      </c>
      <c r="Z253" s="103">
        <f t="shared" si="61"/>
        <v>0</v>
      </c>
    </row>
    <row r="254" spans="1:26" x14ac:dyDescent="0.25">
      <c r="A254" s="194" t="str">
        <f t="shared" si="72"/>
        <v>Frugt</v>
      </c>
      <c r="B254" s="194" t="str">
        <f t="shared" si="73"/>
        <v/>
      </c>
      <c r="C254" s="194">
        <f>IF(COUNTIFS('Resultater - Danmark'!$D$3:$D$482,'Resultat-Produktion &amp; forbrug'!A254,'Resultater - Danmark'!$A$3:$A$482,"Til energi")+COUNTIFS('Resultater - Danmark'!$D$3:$D$482,'Resultat-Produktion &amp; forbrug'!A254,'Resultater - Danmark'!$A$3:$A$482,"Biogasanlæg")&gt;0,1,0)</f>
        <v>0</v>
      </c>
      <c r="D254" s="194">
        <f t="shared" si="74"/>
        <v>2050</v>
      </c>
      <c r="E254" s="192" t="s">
        <v>24</v>
      </c>
      <c r="F254" s="195">
        <f>IF(E254="Vestdanmark",SUMIFS(IF(D254=År1,'Resultater - Vestdanmark'!H$3:H$482,IF(D254=År2,'Resultater - Vestdanmark'!I$3:I$482,'Resultater - Vestdanmark'!J$3:J$482)),'Resultater - Vestdanmark'!$F$3:$F$482,$A254,IF(D254=År1,'Resultater - Vestdanmark'!H$3:H$482,IF(D254=År2,'Resultater - Vestdanmark'!I$3:I$482,'Resultater - Vestdanmark'!J$3:J$482)),"&gt;0"),SUMIFS(IF(D254=År1,'Resultater - Østdanmark'!H$3:H$482,IF(D254=År2,'Resultater - Østdanmark'!I$3:I$482,'Resultater - Østdanmark'!J$3:J$482)),'Resultater - Østdanmark'!$F$3:$F$482,$A254,IF(D254=År1,'Resultater - Østdanmark'!H$3:H$482,IF(D254=År2,'Resultater - Østdanmark'!I$3:I$482,'Resultater - Østdanmark'!J$3:J$482)),"&gt;0"))</f>
        <v>0</v>
      </c>
      <c r="G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92">
        <f>IF(E254="Vestdanmark",-IF(A254="Halm",SUMIFS(IF(D254=År1,'Resultater - Vestdanmark'!H$3:H$482,IF(D254=År2,'Resultater - Vestdanmark'!I$3:I$482,'Resultater - Vestdanmark'!J$3:J$482)),'Resultater - Vestdanmark'!$F$3:$F$482,$A254,'Resultater - Vestdanmark'!H$3:H$482,"&lt;0"),0),-IF(A254="Halm",SUMIFS(IF(D254=År1,'Resultater - Østdanmark'!H$3:H$482,IF(D254=År2,'Resultater - Østdanmark'!I$3:I$482,'Resultater - Østdanmark'!J$3:J$482)),'Resultater - Østdanmark'!$F$3:$F$482,$A254,'Resultater - Østdanmark'!H$3:H$482,"&lt;0"),0))</f>
        <v>0</v>
      </c>
      <c r="I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5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7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204">
        <f t="shared" si="62"/>
        <v>-233795.01599247381</v>
      </c>
      <c r="O254" s="195">
        <f t="shared" si="59"/>
        <v>0</v>
      </c>
      <c r="P254" s="205">
        <f t="shared" si="63"/>
        <v>0</v>
      </c>
      <c r="Q254" s="192">
        <f>IFERROR(VLOOKUP(A254,[1]Energiindhold!$A$2:$C$11,3,FALSE),IFERROR(VLOOKUP(A254,[1]Biogasudbytte!$A$2:$B$18,2,FALSE)*[1]Energiindhold!$C$10,0))*O254</f>
        <v>0</v>
      </c>
      <c r="R254" s="192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92">
        <f>IFERROR(VLOOKUP(A254,[1]Biogasudbytte!$A$2:$B$18,2,FALSE)*[1]Energiindhold!$C$10,0)*J254*IFERROR(VLOOKUP(A254,Biogasanlæg!$F$3:$G$8,2,FALSE),1)</f>
        <v>0</v>
      </c>
      <c r="T254" s="193">
        <f t="shared" si="64"/>
        <v>0</v>
      </c>
      <c r="U254" s="191">
        <f>O254*IFERROR(VLOOKUP(A254,[1]Tørstofindhold!A$2:B$24,2,FALSE),0)</f>
        <v>0</v>
      </c>
      <c r="V254" s="192">
        <f>IF(D254=År1,P254,SUM(O254,P254))*IFERROR(VLOOKUP(A254,[1]Tørstofindhold!A$2:B$24,2,FALSE),0)</f>
        <v>0</v>
      </c>
      <c r="W254" s="192">
        <f>J254*IFERROR(VLOOKUP(A254,[1]Tørstofindhold!A$2:B$24,2,FALSE),0)</f>
        <v>0</v>
      </c>
      <c r="X254" s="193">
        <f t="shared" si="65"/>
        <v>0</v>
      </c>
      <c r="Y254" s="171">
        <f t="shared" si="60"/>
        <v>1</v>
      </c>
      <c r="Z254" s="103">
        <f t="shared" si="61"/>
        <v>0</v>
      </c>
    </row>
    <row r="255" spans="1:26" x14ac:dyDescent="0.25">
      <c r="A255" s="194" t="str">
        <f t="shared" si="72"/>
        <v>Glycerin</v>
      </c>
      <c r="B255" s="194" t="str">
        <f t="shared" si="73"/>
        <v>Glycerin</v>
      </c>
      <c r="C255" s="194">
        <f>IF(COUNTIFS('Resultater - Danmark'!$D$3:$D$482,'Resultat-Produktion &amp; forbrug'!A255,'Resultater - Danmark'!$A$3:$A$482,"Til energi")+COUNTIFS('Resultater - Danmark'!$D$3:$D$482,'Resultat-Produktion &amp; forbrug'!A255,'Resultater - Danmark'!$A$3:$A$482,"Biogasanlæg")&gt;0,1,0)</f>
        <v>1</v>
      </c>
      <c r="D255" s="194">
        <f t="shared" si="74"/>
        <v>2050</v>
      </c>
      <c r="E255" s="192" t="s">
        <v>24</v>
      </c>
      <c r="F255" s="195">
        <f>IF(E255="Vestdanmark",SUMIFS(IF(D255=År1,'Resultater - Vestdanmark'!H$3:H$482,IF(D255=År2,'Resultater - Vestdanmark'!I$3:I$482,'Resultater - Vestdanmark'!J$3:J$482)),'Resultater - Vestdanmark'!$F$3:$F$482,$A255,IF(D255=År1,'Resultater - Vestdanmark'!H$3:H$482,IF(D255=År2,'Resultater - Vestdanmark'!I$3:I$482,'Resultater - Vestdanmark'!J$3:J$482)),"&gt;0"),SUMIFS(IF(D255=År1,'Resultater - Østdanmark'!H$3:H$482,IF(D255=År2,'Resultater - Østdanmark'!I$3:I$482,'Resultater - Østdanmark'!J$3:J$482)),'Resultater - Østdanmark'!$F$3:$F$482,$A255,IF(D255=År1,'Resultater - Østdanmark'!H$3:H$482,IF(D255=År2,'Resultater - Østdanmark'!I$3:I$482,'Resultater - Østdanmark'!J$3:J$482)),"&gt;0"))</f>
        <v>0</v>
      </c>
      <c r="G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92">
        <f>IF(E255="Vestdanmark",-IF(A255="Halm",SUMIFS(IF(D255=År1,'Resultater - Vestdanmark'!H$3:H$482,IF(D255=År2,'Resultater - Vestdanmark'!I$3:I$482,'Resultater - Vestdanmark'!J$3:J$482)),'Resultater - Vestdanmark'!$F$3:$F$482,$A255,'Resultater - Vestdanmark'!H$3:H$482,"&lt;0"),0),-IF(A255="Halm",SUMIFS(IF(D255=År1,'Resultater - Østdanmark'!H$3:H$482,IF(D255=År2,'Resultater - Østdanmark'!I$3:I$482,'Resultater - Østdanmark'!J$3:J$482)),'Resultater - Østdanmark'!$F$3:$F$482,$A255,'Resultater - Østdanmark'!H$3:H$482,"&lt;0"),0))</f>
        <v>0</v>
      </c>
      <c r="I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5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7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204">
        <f t="shared" si="62"/>
        <v>-28548.400000000001</v>
      </c>
      <c r="O255" s="195">
        <f t="shared" si="59"/>
        <v>0</v>
      </c>
      <c r="P255" s="205">
        <f t="shared" si="63"/>
        <v>28548.400000000001</v>
      </c>
      <c r="Q255" s="192">
        <f>IFERROR(VLOOKUP(A255,[1]Energiindhold!$A$2:$C$11,3,FALSE),IFERROR(VLOOKUP(A255,[1]Biogasudbytte!$A$2:$B$18,2,FALSE)*[1]Energiindhold!$C$10,0))*O255</f>
        <v>0</v>
      </c>
      <c r="R255" s="192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92">
        <f>IFERROR(VLOOKUP(A255,[1]Biogasudbytte!$A$2:$B$18,2,FALSE)*[1]Energiindhold!$C$10,0)*J255*IFERROR(VLOOKUP(A255,Biogasanlæg!$F$3:$G$8,2,FALSE),1)</f>
        <v>0.43389639740160008</v>
      </c>
      <c r="T255" s="193">
        <f t="shared" si="64"/>
        <v>0</v>
      </c>
      <c r="U255" s="191">
        <f>O255*IFERROR(VLOOKUP(A255,[1]Tørstofindhold!A$2:B$24,2,FALSE),0)</f>
        <v>0</v>
      </c>
      <c r="V255" s="192">
        <f>IF(D255=År1,P255,SUM(O255,P255))*IFERROR(VLOOKUP(A255,[1]Tørstofindhold!A$2:B$24,2,FALSE),0)</f>
        <v>25693.56</v>
      </c>
      <c r="W255" s="192">
        <f>J255*IFERROR(VLOOKUP(A255,[1]Tørstofindhold!A$2:B$24,2,FALSE),0)</f>
        <v>25693.56</v>
      </c>
      <c r="X255" s="193">
        <f t="shared" si="65"/>
        <v>0</v>
      </c>
      <c r="Y255" s="171">
        <f t="shared" si="60"/>
        <v>1</v>
      </c>
      <c r="Z255" s="103">
        <f t="shared" si="61"/>
        <v>0</v>
      </c>
    </row>
    <row r="256" spans="1:26" x14ac:dyDescent="0.25">
      <c r="A256" s="194" t="str">
        <f t="shared" si="72"/>
        <v>Græs</v>
      </c>
      <c r="B256" s="194" t="str">
        <f t="shared" si="73"/>
        <v>Græs og urter</v>
      </c>
      <c r="C256" s="194">
        <f>IF(COUNTIFS('Resultater - Danmark'!$D$3:$D$482,'Resultat-Produktion &amp; forbrug'!A256,'Resultater - Danmark'!$A$3:$A$482,"Til energi")+COUNTIFS('Resultater - Danmark'!$D$3:$D$482,'Resultat-Produktion &amp; forbrug'!A256,'Resultater - Danmark'!$A$3:$A$482,"Biogasanlæg")&gt;0,1,0)</f>
        <v>1</v>
      </c>
      <c r="D256" s="194">
        <f t="shared" si="74"/>
        <v>2050</v>
      </c>
      <c r="E256" s="192" t="s">
        <v>24</v>
      </c>
      <c r="F256" s="195">
        <f>IF(E256="Vestdanmark",SUMIFS(IF(D256=År1,'Resultater - Vestdanmark'!H$3:H$482,IF(D256=År2,'Resultater - Vestdanmark'!I$3:I$482,'Resultater - Vestdanmark'!J$3:J$482)),'Resultater - Vestdanmark'!$F$3:$F$482,$A256,IF(D256=År1,'Resultater - Vestdanmark'!H$3:H$482,IF(D256=År2,'Resultater - Vestdanmark'!I$3:I$482,'Resultater - Vestdanmark'!J$3:J$482)),"&gt;0"),SUMIFS(IF(D256=År1,'Resultater - Østdanmark'!H$3:H$482,IF(D256=År2,'Resultater - Østdanmark'!I$3:I$482,'Resultater - Østdanmark'!J$3:J$482)),'Resultater - Østdanmark'!$F$3:$F$482,$A256,IF(D256=År1,'Resultater - Østdanmark'!H$3:H$482,IF(D256=År2,'Resultater - Østdanmark'!I$3:I$482,'Resultater - Østdanmark'!J$3:J$482)),"&gt;0"))</f>
        <v>0</v>
      </c>
      <c r="G256" s="195" t="e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#REF!</v>
      </c>
      <c r="H256" s="192">
        <f>IF(E256="Vestdanmark",-IF(A256="Halm",SUMIFS(IF(D256=År1,'Resultater - Vestdanmark'!H$3:H$482,IF(D256=År2,'Resultater - Vestdanmark'!I$3:I$482,'Resultater - Vestdanmark'!J$3:J$482)),'Resultater - Vestdanmark'!$F$3:$F$482,$A256,'Resultater - Vestdanmark'!H$3:H$482,"&lt;0"),0),-IF(A256="Halm",SUMIFS(IF(D256=År1,'Resultater - Østdanmark'!H$3:H$482,IF(D256=År2,'Resultater - Østdanmark'!I$3:I$482,'Resultater - Østdanmark'!J$3:J$482)),'Resultater - Østdanmark'!$F$3:$F$482,$A256,'Resultater - Østdanmark'!H$3:H$482,"&lt;0"),0))</f>
        <v>0</v>
      </c>
      <c r="I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5" t="e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#REF!</v>
      </c>
      <c r="K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5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7" t="e">
        <f>SUMIFS('Forbrug af biomasse'!E:E,'Forbrug af biomasse'!C:C,'Resultat-Produktion &amp; forbrug'!$A256,'Forbrug af biomasse'!D:D,'Resultat-Produktion &amp; forbrug'!$D256,'Forbrug af biomasse'!G:G,1,'Forbrug af biomasse'!B:B,$E256)</f>
        <v>#REF!</v>
      </c>
      <c r="N256" s="204" t="e">
        <f t="shared" si="62"/>
        <v>#REF!</v>
      </c>
      <c r="O256" s="195" t="e">
        <f t="shared" si="59"/>
        <v>#REF!</v>
      </c>
      <c r="P256" s="205" t="e">
        <f t="shared" si="63"/>
        <v>#REF!</v>
      </c>
      <c r="Q256" s="192" t="e">
        <f>IFERROR(VLOOKUP(A256,[1]Energiindhold!$A$2:$C$11,3,FALSE),IFERROR(VLOOKUP(A256,[1]Biogasudbytte!$A$2:$B$18,2,FALSE)*[1]Energiindhold!$C$10,0))*O256</f>
        <v>#REF!</v>
      </c>
      <c r="R256" s="192" t="e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#REF!</v>
      </c>
      <c r="S256" s="192" t="e">
        <f>IFERROR(VLOOKUP(A256,[1]Biogasudbytte!$A$2:$B$18,2,FALSE)*[1]Energiindhold!$C$10,0)*J256*IFERROR(VLOOKUP(A256,Biogasanlæg!$F$3:$G$8,2,FALSE),1)</f>
        <v>#REF!</v>
      </c>
      <c r="T256" s="193" t="e">
        <f t="shared" si="64"/>
        <v>#REF!</v>
      </c>
      <c r="U256" s="191" t="e">
        <f>O256*IFERROR(VLOOKUP(A256,[1]Tørstofindhold!A$2:B$24,2,FALSE),0)</f>
        <v>#REF!</v>
      </c>
      <c r="V256" s="192" t="e">
        <f>IF(D256=År1,P256,SUM(O256,P256))*IFERROR(VLOOKUP(A256,[1]Tørstofindhold!A$2:B$24,2,FALSE),0)</f>
        <v>#REF!</v>
      </c>
      <c r="W256" s="192" t="e">
        <f>J256*IFERROR(VLOOKUP(A256,[1]Tørstofindhold!A$2:B$24,2,FALSE),0)</f>
        <v>#REF!</v>
      </c>
      <c r="X256" s="193" t="e">
        <f t="shared" si="65"/>
        <v>#REF!</v>
      </c>
      <c r="Y256" s="171" t="e">
        <f t="shared" si="60"/>
        <v>#REF!</v>
      </c>
      <c r="Z256" s="103" t="e">
        <f t="shared" si="61"/>
        <v>#REF!</v>
      </c>
    </row>
    <row r="257" spans="1:26" x14ac:dyDescent="0.25">
      <c r="A257" s="194" t="str">
        <f t="shared" si="72"/>
        <v>Græsprotein</v>
      </c>
      <c r="B257" s="194" t="str">
        <f t="shared" si="73"/>
        <v/>
      </c>
      <c r="C257" s="194">
        <f>IF(COUNTIFS('Resultater - Danmark'!$D$3:$D$482,'Resultat-Produktion &amp; forbrug'!A257,'Resultater - Danmark'!$A$3:$A$482,"Til energi")+COUNTIFS('Resultater - Danmark'!$D$3:$D$482,'Resultat-Produktion &amp; forbrug'!A257,'Resultater - Danmark'!$A$3:$A$482,"Biogasanlæg")&gt;0,1,0)</f>
        <v>0</v>
      </c>
      <c r="D257" s="194">
        <f t="shared" si="74"/>
        <v>2050</v>
      </c>
      <c r="E257" s="192" t="s">
        <v>24</v>
      </c>
      <c r="F257" s="195">
        <f>IF(E257="Vestdanmark",SUMIFS(IF(D257=År1,'Resultater - Vestdanmark'!H$3:H$482,IF(D257=År2,'Resultater - Vestdanmark'!I$3:I$482,'Resultater - Vestdanmark'!J$3:J$482)),'Resultater - Vestdanmark'!$F$3:$F$482,$A257,IF(D257=År1,'Resultater - Vestdanmark'!H$3:H$482,IF(D257=År2,'Resultater - Vestdanmark'!I$3:I$482,'Resultater - Vestdanmark'!J$3:J$482)),"&gt;0"),SUMIFS(IF(D257=År1,'Resultater - Østdanmark'!H$3:H$482,IF(D257=År2,'Resultater - Østdanmark'!I$3:I$482,'Resultater - Østdanmark'!J$3:J$482)),'Resultater - Østdanmark'!$F$3:$F$482,$A257,IF(D257=År1,'Resultater - Østdanmark'!H$3:H$482,IF(D257=År2,'Resultater - Østdanmark'!I$3:I$482,'Resultater - Østdanmark'!J$3:J$482)),"&gt;0"))</f>
        <v>0</v>
      </c>
      <c r="G257" s="195" t="e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#REF!</v>
      </c>
      <c r="H257" s="192">
        <f>IF(E257="Vestdanmark",-IF(A257="Halm",SUMIFS(IF(D257=År1,'Resultater - Vestdanmark'!H$3:H$482,IF(D257=År2,'Resultater - Vestdanmark'!I$3:I$482,'Resultater - Vestdanmark'!J$3:J$482)),'Resultater - Vestdanmark'!$F$3:$F$482,$A257,'Resultater - Vestdanmark'!H$3:H$482,"&lt;0"),0),-IF(A257="Halm",SUMIFS(IF(D257=År1,'Resultater - Østdanmark'!H$3:H$482,IF(D257=År2,'Resultater - Østdanmark'!I$3:I$482,'Resultater - Østdanmark'!J$3:J$482)),'Resultater - Østdanmark'!$F$3:$F$482,$A257,'Resultater - Østdanmark'!H$3:H$482,"&lt;0"),0))</f>
        <v>0</v>
      </c>
      <c r="I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5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7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204" t="e">
        <f t="shared" si="62"/>
        <v>#REF!</v>
      </c>
      <c r="O257" s="195">
        <f t="shared" si="59"/>
        <v>0</v>
      </c>
      <c r="P257" s="205">
        <f t="shared" si="63"/>
        <v>0</v>
      </c>
      <c r="Q257" s="192">
        <f>IFERROR(VLOOKUP(A257,[1]Energiindhold!$A$2:$C$11,3,FALSE),IFERROR(VLOOKUP(A257,[1]Biogasudbytte!$A$2:$B$18,2,FALSE)*[1]Energiindhold!$C$10,0))*O257</f>
        <v>0</v>
      </c>
      <c r="R257" s="192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92">
        <f>IFERROR(VLOOKUP(A257,[1]Biogasudbytte!$A$2:$B$18,2,FALSE)*[1]Energiindhold!$C$10,0)*J257*IFERROR(VLOOKUP(A257,Biogasanlæg!$F$3:$G$8,2,FALSE),1)</f>
        <v>0</v>
      </c>
      <c r="T257" s="193">
        <f t="shared" si="64"/>
        <v>0</v>
      </c>
      <c r="U257" s="191">
        <f>O257*IFERROR(VLOOKUP(A257,[1]Tørstofindhold!A$2:B$24,2,FALSE),0)</f>
        <v>0</v>
      </c>
      <c r="V257" s="192">
        <f>IF(D257=År1,P257,SUM(O257,P257))*IFERROR(VLOOKUP(A257,[1]Tørstofindhold!A$2:B$24,2,FALSE),0)</f>
        <v>0</v>
      </c>
      <c r="W257" s="192">
        <f>J257*IFERROR(VLOOKUP(A257,[1]Tørstofindhold!A$2:B$24,2,FALSE),0)</f>
        <v>0</v>
      </c>
      <c r="X257" s="193">
        <f t="shared" si="65"/>
        <v>0</v>
      </c>
      <c r="Y257" s="171" t="e">
        <f t="shared" si="60"/>
        <v>#REF!</v>
      </c>
      <c r="Z257" s="103" t="e">
        <f t="shared" si="61"/>
        <v>#REF!</v>
      </c>
    </row>
    <row r="258" spans="1:26" x14ac:dyDescent="0.25">
      <c r="A258" s="194" t="str">
        <f t="shared" si="72"/>
        <v>Grøntsager</v>
      </c>
      <c r="B258" s="194" t="str">
        <f t="shared" si="73"/>
        <v/>
      </c>
      <c r="C258" s="194">
        <f>IF(COUNTIFS('Resultater - Danmark'!$D$3:$D$482,'Resultat-Produktion &amp; forbrug'!A258,'Resultater - Danmark'!$A$3:$A$482,"Til energi")+COUNTIFS('Resultater - Danmark'!$D$3:$D$482,'Resultat-Produktion &amp; forbrug'!A258,'Resultater - Danmark'!$A$3:$A$482,"Biogasanlæg")&gt;0,1,0)</f>
        <v>0</v>
      </c>
      <c r="D258" s="194">
        <f t="shared" si="74"/>
        <v>2050</v>
      </c>
      <c r="E258" s="192" t="s">
        <v>24</v>
      </c>
      <c r="F258" s="195">
        <f>IF(E258="Vestdanmark",SUMIFS(IF(D258=År1,'Resultater - Vestdanmark'!H$3:H$482,IF(D258=År2,'Resultater - Vestdanmark'!I$3:I$482,'Resultater - Vestdanmark'!J$3:J$482)),'Resultater - Vestdanmark'!$F$3:$F$482,$A258,IF(D258=År1,'Resultater - Vestdanmark'!H$3:H$482,IF(D258=År2,'Resultater - Vestdanmark'!I$3:I$482,'Resultater - Vestdanmark'!J$3:J$482)),"&gt;0"),SUMIFS(IF(D258=År1,'Resultater - Østdanmark'!H$3:H$482,IF(D258=År2,'Resultater - Østdanmark'!I$3:I$482,'Resultater - Østdanmark'!J$3:J$482)),'Resultater - Østdanmark'!$F$3:$F$482,$A258,IF(D258=År1,'Resultater - Østdanmark'!H$3:H$482,IF(D258=År2,'Resultater - Østdanmark'!I$3:I$482,'Resultater - Østdanmark'!J$3:J$482)),"&gt;0"))</f>
        <v>0</v>
      </c>
      <c r="G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92">
        <f>IF(E258="Vestdanmark",-IF(A258="Halm",SUMIFS(IF(D258=År1,'Resultater - Vestdanmark'!H$3:H$482,IF(D258=År2,'Resultater - Vestdanmark'!I$3:I$482,'Resultater - Vestdanmark'!J$3:J$482)),'Resultater - Vestdanmark'!$F$3:$F$482,$A258,'Resultater - Vestdanmark'!H$3:H$482,"&lt;0"),0),-IF(A258="Halm",SUMIFS(IF(D258=År1,'Resultater - Østdanmark'!H$3:H$482,IF(D258=År2,'Resultater - Østdanmark'!I$3:I$482,'Resultater - Østdanmark'!J$3:J$482)),'Resultater - Østdanmark'!$F$3:$F$482,$A258,'Resultater - Østdanmark'!H$3:H$482,"&lt;0"),0))</f>
        <v>0</v>
      </c>
      <c r="I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5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7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204">
        <f t="shared" si="62"/>
        <v>-244869.51675001203</v>
      </c>
      <c r="O258" s="195">
        <f t="shared" si="59"/>
        <v>0</v>
      </c>
      <c r="P258" s="205">
        <f t="shared" si="63"/>
        <v>0</v>
      </c>
      <c r="Q258" s="192">
        <f>IFERROR(VLOOKUP(A258,[1]Energiindhold!$A$2:$C$11,3,FALSE),IFERROR(VLOOKUP(A258,[1]Biogasudbytte!$A$2:$B$18,2,FALSE)*[1]Energiindhold!$C$10,0))*O258</f>
        <v>0</v>
      </c>
      <c r="R258" s="192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92">
        <f>IFERROR(VLOOKUP(A258,[1]Biogasudbytte!$A$2:$B$18,2,FALSE)*[1]Energiindhold!$C$10,0)*J258*IFERROR(VLOOKUP(A258,Biogasanlæg!$F$3:$G$8,2,FALSE),1)</f>
        <v>0</v>
      </c>
      <c r="T258" s="193">
        <f t="shared" si="64"/>
        <v>0</v>
      </c>
      <c r="U258" s="191">
        <f>O258*IFERROR(VLOOKUP(A258,[1]Tørstofindhold!A$2:B$24,2,FALSE),0)</f>
        <v>0</v>
      </c>
      <c r="V258" s="192">
        <f>IF(D258=År1,P258,SUM(O258,P258))*IFERROR(VLOOKUP(A258,[1]Tørstofindhold!A$2:B$24,2,FALSE),0)</f>
        <v>0</v>
      </c>
      <c r="W258" s="192">
        <f>J258*IFERROR(VLOOKUP(A258,[1]Tørstofindhold!A$2:B$24,2,FALSE),0)</f>
        <v>0</v>
      </c>
      <c r="X258" s="193">
        <f t="shared" si="65"/>
        <v>0</v>
      </c>
      <c r="Y258" s="171">
        <f t="shared" si="60"/>
        <v>1</v>
      </c>
      <c r="Z258" s="103">
        <f t="shared" si="61"/>
        <v>0</v>
      </c>
    </row>
    <row r="259" spans="1:26" x14ac:dyDescent="0.25">
      <c r="A259" s="194" t="str">
        <f t="shared" si="72"/>
        <v>Halm</v>
      </c>
      <c r="B259" s="194" t="str">
        <f t="shared" si="73"/>
        <v>Halm og strå</v>
      </c>
      <c r="C259" s="194">
        <f>IF(COUNTIFS('Resultater - Danmark'!$D$3:$D$482,'Resultat-Produktion &amp; forbrug'!A259,'Resultater - Danmark'!$A$3:$A$482,"Til energi")+COUNTIFS('Resultater - Danmark'!$D$3:$D$482,'Resultat-Produktion &amp; forbrug'!A259,'Resultater - Danmark'!$A$3:$A$482,"Biogasanlæg")&gt;0,1,0)</f>
        <v>1</v>
      </c>
      <c r="D259" s="194">
        <f t="shared" si="74"/>
        <v>2050</v>
      </c>
      <c r="E259" s="192" t="s">
        <v>24</v>
      </c>
      <c r="F259" s="195">
        <f>IF(E259="Vestdanmark",SUMIFS(IF(D259=År1,'Resultater - Vestdanmark'!H$3:H$482,IF(D259=År2,'Resultater - Vestdanmark'!I$3:I$482,'Resultater - Vestdanmark'!J$3:J$482)),'Resultater - Vestdanmark'!$F$3:$F$482,$A259,IF(D259=År1,'Resultater - Vestdanmark'!H$3:H$482,IF(D259=År2,'Resultater - Vestdanmark'!I$3:I$482,'Resultater - Vestdanmark'!J$3:J$482)),"&gt;0"),SUMIFS(IF(D259=År1,'Resultater - Østdanmark'!H$3:H$482,IF(D259=År2,'Resultater - Østdanmark'!I$3:I$482,'Resultater - Østdanmark'!J$3:J$482)),'Resultater - Østdanmark'!$F$3:$F$482,$A259,IF(D259=År1,'Resultater - Østdanmark'!H$3:H$482,IF(D259=År2,'Resultater - Østdanmark'!I$3:I$482,'Resultater - Østdanmark'!J$3:J$482)),"&gt;0"))</f>
        <v>0</v>
      </c>
      <c r="G259" s="195" t="e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#REF!</v>
      </c>
      <c r="H259" s="192">
        <f>IF(E259="Vestdanmark",-IF(A259="Halm",SUMIFS(IF(D259=År1,'Resultater - Vestdanmark'!H$3:H$482,IF(D259=År2,'Resultater - Vestdanmark'!I$3:I$482,'Resultater - Vestdanmark'!J$3:J$482)),'Resultater - Vestdanmark'!$F$3:$F$482,$A259,'Resultater - Vestdanmark'!H$3:H$482,"&lt;0"),0),-IF(A259="Halm",SUMIFS(IF(D259=År1,'Resultater - Østdanmark'!H$3:H$482,IF(D259=År2,'Resultater - Østdanmark'!I$3:I$482,'Resultater - Østdanmark'!J$3:J$482)),'Resultater - Østdanmark'!$F$3:$F$482,$A259,'Resultater - Østdanmark'!H$3:H$482,"&lt;0"),0))</f>
        <v>0</v>
      </c>
      <c r="I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5" t="e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#REF!</v>
      </c>
      <c r="K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5" t="e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#REF!</v>
      </c>
      <c r="M259" s="157" t="e">
        <f>SUMIFS('Forbrug af biomasse'!E:E,'Forbrug af biomasse'!C:C,'Resultat-Produktion &amp; forbrug'!$A259,'Forbrug af biomasse'!D:D,'Resultat-Produktion &amp; forbrug'!$D259,'Forbrug af biomasse'!G:G,1,'Forbrug af biomasse'!B:B,$E259)</f>
        <v>#REF!</v>
      </c>
      <c r="N259" s="204" t="e">
        <f t="shared" si="62"/>
        <v>#REF!</v>
      </c>
      <c r="O259" s="195" t="e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#REF!</v>
      </c>
      <c r="P259" s="205" t="e">
        <f t="shared" si="63"/>
        <v>#REF!</v>
      </c>
      <c r="Q259" s="192" t="e">
        <f>IFERROR(VLOOKUP(A259,[1]Energiindhold!$A$2:$C$11,3,FALSE),IFERROR(VLOOKUP(A259,[1]Biogasudbytte!$A$2:$B$18,2,FALSE)*[1]Energiindhold!$C$10,0))*O259</f>
        <v>#REF!</v>
      </c>
      <c r="R259" s="192" t="e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#REF!</v>
      </c>
      <c r="S259" s="192" t="e">
        <f>IFERROR(VLOOKUP(A259,[1]Biogasudbytte!$A$2:$B$18,2,FALSE)*[1]Energiindhold!$C$10,0)*J259*IFERROR(VLOOKUP(A259,Biogasanlæg!$F$3:$G$8,2,FALSE),1)</f>
        <v>#REF!</v>
      </c>
      <c r="T259" s="193" t="e">
        <f t="shared" si="64"/>
        <v>#REF!</v>
      </c>
      <c r="U259" s="191" t="e">
        <f>O259*IFERROR(VLOOKUP(A259,[1]Tørstofindhold!A$2:B$24,2,FALSE),0)</f>
        <v>#REF!</v>
      </c>
      <c r="V259" s="192" t="e">
        <f>IF(D259=År1,P259,SUM(O259,P259))*IFERROR(VLOOKUP(A259,[1]Tørstofindhold!A$2:B$24,2,FALSE),0)</f>
        <v>#REF!</v>
      </c>
      <c r="W259" s="192" t="e">
        <f>J259*IFERROR(VLOOKUP(A259,[1]Tørstofindhold!A$2:B$24,2,FALSE),0)</f>
        <v>#REF!</v>
      </c>
      <c r="X259" s="193" t="e">
        <f t="shared" si="65"/>
        <v>#REF!</v>
      </c>
      <c r="Y259" s="171" t="e">
        <f t="shared" ref="Y259:Y274" si="76">IF(SUMIFS($N$3:$N$290,$A$3:$A$290,A259,$D$3:$D$290,D259)&lt;0,1,0)</f>
        <v>#REF!</v>
      </c>
      <c r="Z259" s="103" t="e">
        <f t="shared" ref="Z259:Z274" si="77">IF(SUMIFS($N$3:$N$290,$A$3:$A$290,A259,$D$3:$D$290,D259)&gt;0,1,0)</f>
        <v>#REF!</v>
      </c>
    </row>
    <row r="260" spans="1:26" x14ac:dyDescent="0.25">
      <c r="A260" s="194" t="str">
        <f t="shared" si="72"/>
        <v>Have/parkaffald</v>
      </c>
      <c r="B260" s="194" t="str">
        <f t="shared" si="73"/>
        <v>Bionedbrydeligt affald</v>
      </c>
      <c r="C260" s="194">
        <f>IF(COUNTIFS('Resultater - Danmark'!$D$3:$D$482,'Resultat-Produktion &amp; forbrug'!A260,'Resultater - Danmark'!$A$3:$A$482,"Til energi")+COUNTIFS('Resultater - Danmark'!$D$3:$D$482,'Resultat-Produktion &amp; forbrug'!A260,'Resultater - Danmark'!$A$3:$A$482,"Biogasanlæg")&gt;0,1,0)</f>
        <v>1</v>
      </c>
      <c r="D260" s="194">
        <f t="shared" si="74"/>
        <v>2050</v>
      </c>
      <c r="E260" s="192" t="s">
        <v>24</v>
      </c>
      <c r="F260" s="195">
        <f>IF(E260="Vestdanmark",SUMIFS(IF(D260=År1,'Resultater - Vestdanmark'!H$3:H$482,IF(D260=År2,'Resultater - Vestdanmark'!I$3:I$482,'Resultater - Vestdanmark'!J$3:J$482)),'Resultater - Vestdanmark'!$F$3:$F$482,$A260,IF(D260=År1,'Resultater - Vestdanmark'!H$3:H$482,IF(D260=År2,'Resultater - Vestdanmark'!I$3:I$482,'Resultater - Vestdanmark'!J$3:J$482)),"&gt;0"),SUMIFS(IF(D260=År1,'Resultater - Østdanmark'!H$3:H$482,IF(D260=År2,'Resultater - Østdanmark'!I$3:I$482,'Resultater - Østdanmark'!J$3:J$482)),'Resultater - Østdanmark'!$F$3:$F$482,$A260,IF(D260=År1,'Resultater - Østdanmark'!H$3:H$482,IF(D260=År2,'Resultater - Østdanmark'!I$3:I$482,'Resultater - Østdanmark'!J$3:J$482)),"&gt;0"))</f>
        <v>0</v>
      </c>
      <c r="G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92">
        <f>IF(E260="Vestdanmark",-IF(A260="Halm",SUMIFS(IF(D260=År1,'Resultater - Vestdanmark'!H$3:H$482,IF(D260=År2,'Resultater - Vestdanmark'!I$3:I$482,'Resultater - Vestdanmark'!J$3:J$482)),'Resultater - Vestdanmark'!$F$3:$F$482,$A260,'Resultater - Vestdanmark'!H$3:H$482,"&lt;0"),0),-IF(A260="Halm",SUMIFS(IF(D260=År1,'Resultater - Østdanmark'!H$3:H$482,IF(D260=År2,'Resultater - Østdanmark'!I$3:I$482,'Resultater - Østdanmark'!J$3:J$482)),'Resultater - Østdanmark'!$F$3:$F$482,$A260,'Resultater - Østdanmark'!H$3:H$482,"&lt;0"),0))</f>
        <v>0</v>
      </c>
      <c r="I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5" t="e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#REF!</v>
      </c>
      <c r="K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5" t="e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#REF!</v>
      </c>
      <c r="M260" s="157" t="e">
        <f>SUMIFS('Forbrug af biomasse'!E:E,'Forbrug af biomasse'!C:C,'Resultat-Produktion &amp; forbrug'!$A260,'Forbrug af biomasse'!D:D,'Resultat-Produktion &amp; forbrug'!$D260,'Forbrug af biomasse'!G:G,1,'Forbrug af biomasse'!B:B,$E260)</f>
        <v>#REF!</v>
      </c>
      <c r="N260" s="204" t="e">
        <f t="shared" si="62"/>
        <v>#REF!</v>
      </c>
      <c r="O260" s="195" t="e">
        <f t="shared" si="75"/>
        <v>#REF!</v>
      </c>
      <c r="P260" s="205" t="e">
        <f t="shared" si="63"/>
        <v>#REF!</v>
      </c>
      <c r="Q260" s="192" t="e">
        <f>IFERROR(VLOOKUP(A260,[1]Energiindhold!$A$2:$C$11,3,FALSE),IFERROR(VLOOKUP(A260,[1]Biogasudbytte!$A$2:$B$18,2,FALSE)*[1]Energiindhold!$C$10,0))*O260</f>
        <v>#REF!</v>
      </c>
      <c r="R260" s="192" t="e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#REF!</v>
      </c>
      <c r="S260" s="192" t="e">
        <f>IFERROR(VLOOKUP(A260,[1]Biogasudbytte!$A$2:$B$18,2,FALSE)*[1]Energiindhold!$C$10,0)*J260*IFERROR(VLOOKUP(A260,Biogasanlæg!$F$3:$G$8,2,FALSE),1)</f>
        <v>#REF!</v>
      </c>
      <c r="T260" s="193" t="e">
        <f t="shared" si="64"/>
        <v>#REF!</v>
      </c>
      <c r="U260" s="191" t="e">
        <f>O260*IFERROR(VLOOKUP(A260,[1]Tørstofindhold!A$2:B$24,2,FALSE),0)</f>
        <v>#REF!</v>
      </c>
      <c r="V260" s="192" t="e">
        <f>IF(D260=År1,P260,SUM(O260,P260))*IFERROR(VLOOKUP(A260,[1]Tørstofindhold!A$2:B$24,2,FALSE),0)</f>
        <v>#REF!</v>
      </c>
      <c r="W260" s="192" t="e">
        <f>J260*IFERROR(VLOOKUP(A260,[1]Tørstofindhold!A$2:B$24,2,FALSE),0)</f>
        <v>#REF!</v>
      </c>
      <c r="X260" s="193" t="e">
        <f t="shared" si="65"/>
        <v>#REF!</v>
      </c>
      <c r="Y260" s="171" t="e">
        <f t="shared" si="76"/>
        <v>#REF!</v>
      </c>
      <c r="Z260" s="103" t="e">
        <f t="shared" si="77"/>
        <v>#REF!</v>
      </c>
    </row>
    <row r="261" spans="1:26" x14ac:dyDescent="0.25">
      <c r="A261" s="194" t="str">
        <f t="shared" si="72"/>
        <v>Import af foder</v>
      </c>
      <c r="B261" s="194" t="str">
        <f t="shared" si="73"/>
        <v/>
      </c>
      <c r="C261" s="194">
        <f>IF(COUNTIFS('Resultater - Danmark'!$D$3:$D$482,'Resultat-Produktion &amp; forbrug'!A261,'Resultater - Danmark'!$A$3:$A$482,"Til energi")+COUNTIFS('Resultater - Danmark'!$D$3:$D$482,'Resultat-Produktion &amp; forbrug'!A261,'Resultater - Danmark'!$A$3:$A$482,"Biogasanlæg")&gt;0,1,0)</f>
        <v>0</v>
      </c>
      <c r="D261" s="194">
        <f t="shared" si="74"/>
        <v>2050</v>
      </c>
      <c r="E261" s="192" t="s">
        <v>24</v>
      </c>
      <c r="F261" s="195">
        <f>IF(E261="Vestdanmark",SUMIFS(IF(D261=År1,'Resultater - Vestdanmark'!H$3:H$482,IF(D261=År2,'Resultater - Vestdanmark'!I$3:I$482,'Resultater - Vestdanmark'!J$3:J$482)),'Resultater - Vestdanmark'!$F$3:$F$482,$A261,IF(D261=År1,'Resultater - Vestdanmark'!H$3:H$482,IF(D261=År2,'Resultater - Vestdanmark'!I$3:I$482,'Resultater - Vestdanmark'!J$3:J$482)),"&gt;0"),SUMIFS(IF(D261=År1,'Resultater - Østdanmark'!H$3:H$482,IF(D261=År2,'Resultater - Østdanmark'!I$3:I$482,'Resultater - Østdanmark'!J$3:J$482)),'Resultater - Østdanmark'!$F$3:$F$482,$A261,IF(D261=År1,'Resultater - Østdanmark'!H$3:H$482,IF(D261=År2,'Resultater - Østdanmark'!I$3:I$482,'Resultater - Østdanmark'!J$3:J$482)),"&gt;0"))</f>
        <v>0</v>
      </c>
      <c r="G261" s="195" t="e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#REF!</v>
      </c>
      <c r="H261" s="192">
        <f>IF(E261="Vestdanmark",-IF(A261="Halm",SUMIFS(IF(D261=År1,'Resultater - Vestdanmark'!H$3:H$482,IF(D261=År2,'Resultater - Vestdanmark'!I$3:I$482,'Resultater - Vestdanmark'!J$3:J$482)),'Resultater - Vestdanmark'!$F$3:$F$482,$A261,'Resultater - Vestdanmark'!H$3:H$482,"&lt;0"),0),-IF(A261="Halm",SUMIFS(IF(D261=År1,'Resultater - Østdanmark'!H$3:H$482,IF(D261=År2,'Resultater - Østdanmark'!I$3:I$482,'Resultater - Østdanmark'!J$3:J$482)),'Resultater - Østdanmark'!$F$3:$F$482,$A261,'Resultater - Østdanmark'!H$3:H$482,"&lt;0"),0))</f>
        <v>0</v>
      </c>
      <c r="I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5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7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204" t="e">
        <f t="shared" si="62"/>
        <v>#REF!</v>
      </c>
      <c r="O261" s="195">
        <f t="shared" si="75"/>
        <v>0</v>
      </c>
      <c r="P261" s="205">
        <f t="shared" si="63"/>
        <v>0</v>
      </c>
      <c r="Q261" s="192">
        <f>IFERROR(VLOOKUP(A261,[1]Energiindhold!$A$2:$C$11,3,FALSE),IFERROR(VLOOKUP(A261,[1]Biogasudbytte!$A$2:$B$18,2,FALSE)*[1]Energiindhold!$C$10,0))*O261</f>
        <v>0</v>
      </c>
      <c r="R261" s="192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92">
        <f>IFERROR(VLOOKUP(A261,[1]Biogasudbytte!$A$2:$B$18,2,FALSE)*[1]Energiindhold!$C$10,0)*J261*IFERROR(VLOOKUP(A261,Biogasanlæg!$F$3:$G$8,2,FALSE),1)</f>
        <v>0</v>
      </c>
      <c r="T261" s="193">
        <f t="shared" si="64"/>
        <v>0</v>
      </c>
      <c r="U261" s="191">
        <f>O261*IFERROR(VLOOKUP(A261,[1]Tørstofindhold!A$2:B$24,2,FALSE),0)</f>
        <v>0</v>
      </c>
      <c r="V261" s="192">
        <f>IF(D261=År1,P261,SUM(O261,P261))*IFERROR(VLOOKUP(A261,[1]Tørstofindhold!A$2:B$24,2,FALSE),0)</f>
        <v>0</v>
      </c>
      <c r="W261" s="192">
        <f>J261*IFERROR(VLOOKUP(A261,[1]Tørstofindhold!A$2:B$24,2,FALSE),0)</f>
        <v>0</v>
      </c>
      <c r="X261" s="193">
        <f t="shared" si="65"/>
        <v>0</v>
      </c>
      <c r="Y261" s="171" t="e">
        <f t="shared" si="76"/>
        <v>#REF!</v>
      </c>
      <c r="Z261" s="103" t="e">
        <f t="shared" si="77"/>
        <v>#REF!</v>
      </c>
    </row>
    <row r="262" spans="1:26" x14ac:dyDescent="0.25">
      <c r="A262" s="194" t="str">
        <f t="shared" si="72"/>
        <v>Industriaffald</v>
      </c>
      <c r="B262" s="194" t="str">
        <f t="shared" si="73"/>
        <v>Bionedbrydeligt affald</v>
      </c>
      <c r="C262" s="194">
        <f>IF(COUNTIFS('Resultater - Danmark'!$D$3:$D$482,'Resultat-Produktion &amp; forbrug'!A262,'Resultater - Danmark'!$A$3:$A$482,"Til energi")+COUNTIFS('Resultater - Danmark'!$D$3:$D$482,'Resultat-Produktion &amp; forbrug'!A262,'Resultater - Danmark'!$A$3:$A$482,"Biogasanlæg")&gt;0,1,0)</f>
        <v>1</v>
      </c>
      <c r="D262" s="194">
        <f t="shared" si="74"/>
        <v>2050</v>
      </c>
      <c r="E262" s="192" t="s">
        <v>24</v>
      </c>
      <c r="F262" s="195">
        <f>IF(E262="Vestdanmark",SUMIFS(IF(D262=År1,'Resultater - Vestdanmark'!H$3:H$482,IF(D262=År2,'Resultater - Vestdanmark'!I$3:I$482,'Resultater - Vestdanmark'!J$3:J$482)),'Resultater - Vestdanmark'!$F$3:$F$482,$A262,IF(D262=År1,'Resultater - Vestdanmark'!H$3:H$482,IF(D262=År2,'Resultater - Vestdanmark'!I$3:I$482,'Resultater - Vestdanmark'!J$3:J$482)),"&gt;0"),SUMIFS(IF(D262=År1,'Resultater - Østdanmark'!H$3:H$482,IF(D262=År2,'Resultater - Østdanmark'!I$3:I$482,'Resultater - Østdanmark'!J$3:J$482)),'Resultater - Østdanmark'!$F$3:$F$482,$A262,IF(D262=År1,'Resultater - Østdanmark'!H$3:H$482,IF(D262=År2,'Resultater - Østdanmark'!I$3:I$482,'Resultater - Østdanmark'!J$3:J$482)),"&gt;0"))</f>
        <v>0</v>
      </c>
      <c r="G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92">
        <f>IF(E262="Vestdanmark",-IF(A262="Halm",SUMIFS(IF(D262=År1,'Resultater - Vestdanmark'!H$3:H$482,IF(D262=År2,'Resultater - Vestdanmark'!I$3:I$482,'Resultater - Vestdanmark'!J$3:J$482)),'Resultater - Vestdanmark'!$F$3:$F$482,$A262,'Resultater - Vestdanmark'!H$3:H$482,"&lt;0"),0),-IF(A262="Halm",SUMIFS(IF(D262=År1,'Resultater - Østdanmark'!H$3:H$482,IF(D262=År2,'Resultater - Østdanmark'!I$3:I$482,'Resultater - Østdanmark'!J$3:J$482)),'Resultater - Østdanmark'!$F$3:$F$482,$A262,'Resultater - Østdanmark'!H$3:H$482,"&lt;0"),0))</f>
        <v>0</v>
      </c>
      <c r="I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5" t="e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#REF!</v>
      </c>
      <c r="K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5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7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204" t="e">
        <f t="shared" si="62"/>
        <v>#REF!</v>
      </c>
      <c r="O262" s="195" t="e">
        <f t="shared" si="75"/>
        <v>#REF!</v>
      </c>
      <c r="P262" s="205" t="e">
        <f t="shared" si="63"/>
        <v>#REF!</v>
      </c>
      <c r="Q262" s="192" t="e">
        <f>IFERROR(VLOOKUP(A262,[1]Energiindhold!$A$2:$C$11,3,FALSE),IFERROR(VLOOKUP(A262,[1]Biogasudbytte!$A$2:$B$18,2,FALSE)*[1]Energiindhold!$C$10,0))*O262</f>
        <v>#REF!</v>
      </c>
      <c r="R262" s="192" t="e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#REF!</v>
      </c>
      <c r="S262" s="192" t="e">
        <f>IFERROR(VLOOKUP(A262,[1]Biogasudbytte!$A$2:$B$18,2,FALSE)*[1]Energiindhold!$C$10,0)*J262*IFERROR(VLOOKUP(A262,Biogasanlæg!$F$3:$G$8,2,FALSE),1)</f>
        <v>#REF!</v>
      </c>
      <c r="T262" s="193" t="e">
        <f t="shared" si="64"/>
        <v>#REF!</v>
      </c>
      <c r="U262" s="191" t="e">
        <f>O262*IFERROR(VLOOKUP(A262,[1]Tørstofindhold!A$2:B$24,2,FALSE),0)</f>
        <v>#REF!</v>
      </c>
      <c r="V262" s="192" t="e">
        <f>IF(D262=År1,P262,SUM(O262,P262))*IFERROR(VLOOKUP(A262,[1]Tørstofindhold!A$2:B$24,2,FALSE),0)</f>
        <v>#REF!</v>
      </c>
      <c r="W262" s="192" t="e">
        <f>J262*IFERROR(VLOOKUP(A262,[1]Tørstofindhold!A$2:B$24,2,FALSE),0)</f>
        <v>#REF!</v>
      </c>
      <c r="X262" s="193" t="e">
        <f t="shared" si="65"/>
        <v>#REF!</v>
      </c>
      <c r="Y262" s="171" t="e">
        <f t="shared" si="76"/>
        <v>#REF!</v>
      </c>
      <c r="Z262" s="103" t="e">
        <f t="shared" si="77"/>
        <v>#REF!</v>
      </c>
    </row>
    <row r="263" spans="1:26" x14ac:dyDescent="0.25">
      <c r="A263" s="194" t="str">
        <f t="shared" si="72"/>
        <v>Juletræer</v>
      </c>
      <c r="B263" s="194" t="str">
        <f t="shared" si="73"/>
        <v/>
      </c>
      <c r="C263" s="194">
        <f>IF(COUNTIFS('Resultater - Danmark'!$D$3:$D$482,'Resultat-Produktion &amp; forbrug'!A263,'Resultater - Danmark'!$A$3:$A$482,"Til energi")+COUNTIFS('Resultater - Danmark'!$D$3:$D$482,'Resultat-Produktion &amp; forbrug'!A263,'Resultater - Danmark'!$A$3:$A$482,"Biogasanlæg")&gt;0,1,0)</f>
        <v>0</v>
      </c>
      <c r="D263" s="194">
        <f t="shared" si="74"/>
        <v>2050</v>
      </c>
      <c r="E263" s="192" t="s">
        <v>24</v>
      </c>
      <c r="F263" s="195">
        <f>IF(E263="Vestdanmark",SUMIFS(IF(D263=År1,'Resultater - Vestdanmark'!H$3:H$482,IF(D263=År2,'Resultater - Vestdanmark'!I$3:I$482,'Resultater - Vestdanmark'!J$3:J$482)),'Resultater - Vestdanmark'!$F$3:$F$482,$A263,IF(D263=År1,'Resultater - Vestdanmark'!H$3:H$482,IF(D263=År2,'Resultater - Vestdanmark'!I$3:I$482,'Resultater - Vestdanmark'!J$3:J$482)),"&gt;0"),SUMIFS(IF(D263=År1,'Resultater - Østdanmark'!H$3:H$482,IF(D263=År2,'Resultater - Østdanmark'!I$3:I$482,'Resultater - Østdanmark'!J$3:J$482)),'Resultater - Østdanmark'!$F$3:$F$482,$A263,IF(D263=År1,'Resultater - Østdanmark'!H$3:H$482,IF(D263=År2,'Resultater - Østdanmark'!I$3:I$482,'Resultater - Østdanmark'!J$3:J$482)),"&gt;0"))</f>
        <v>0</v>
      </c>
      <c r="G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92">
        <f>IF(E263="Vestdanmark",-IF(A263="Halm",SUMIFS(IF(D263=År1,'Resultater - Vestdanmark'!H$3:H$482,IF(D263=År2,'Resultater - Vestdanmark'!I$3:I$482,'Resultater - Vestdanmark'!J$3:J$482)),'Resultater - Vestdanmark'!$F$3:$F$482,$A263,'Resultater - Vestdanmark'!H$3:H$482,"&lt;0"),0),-IF(A263="Halm",SUMIFS(IF(D263=År1,'Resultater - Østdanmark'!H$3:H$482,IF(D263=År2,'Resultater - Østdanmark'!I$3:I$482,'Resultater - Østdanmark'!J$3:J$482)),'Resultater - Østdanmark'!$F$3:$F$482,$A263,'Resultater - Østdanmark'!H$3:H$482,"&lt;0"),0))</f>
        <v>0</v>
      </c>
      <c r="I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5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7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204">
        <f t="shared" si="62"/>
        <v>0</v>
      </c>
      <c r="O263" s="195">
        <f t="shared" si="75"/>
        <v>0</v>
      </c>
      <c r="P263" s="205">
        <f t="shared" si="63"/>
        <v>0</v>
      </c>
      <c r="Q263" s="192">
        <f>IFERROR(VLOOKUP(A263,[1]Energiindhold!$A$2:$C$11,3,FALSE),IFERROR(VLOOKUP(A263,[1]Biogasudbytte!$A$2:$B$18,2,FALSE)*[1]Energiindhold!$C$10,0))*O263</f>
        <v>0</v>
      </c>
      <c r="R263" s="192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92">
        <f>IFERROR(VLOOKUP(A263,[1]Biogasudbytte!$A$2:$B$18,2,FALSE)*[1]Energiindhold!$C$10,0)*J263*IFERROR(VLOOKUP(A263,Biogasanlæg!$F$3:$G$8,2,FALSE),1)</f>
        <v>0</v>
      </c>
      <c r="T263" s="193">
        <f t="shared" si="64"/>
        <v>0</v>
      </c>
      <c r="U263" s="191">
        <f>O263*IFERROR(VLOOKUP(A263,[1]Tørstofindhold!A$2:B$24,2,FALSE),0)</f>
        <v>0</v>
      </c>
      <c r="V263" s="192">
        <f>IF(D263=År1,P263,SUM(O263,P263))*IFERROR(VLOOKUP(A263,[1]Tørstofindhold!A$2:B$24,2,FALSE),0)</f>
        <v>0</v>
      </c>
      <c r="W263" s="192">
        <f>J263*IFERROR(VLOOKUP(A263,[1]Tørstofindhold!A$2:B$24,2,FALSE),0)</f>
        <v>0</v>
      </c>
      <c r="X263" s="193">
        <f t="shared" si="65"/>
        <v>0</v>
      </c>
      <c r="Y263" s="171">
        <f t="shared" si="76"/>
        <v>0</v>
      </c>
      <c r="Z263" s="103">
        <f t="shared" si="77"/>
        <v>0</v>
      </c>
    </row>
    <row r="264" spans="1:26" x14ac:dyDescent="0.25">
      <c r="A264" s="194" t="str">
        <f t="shared" si="72"/>
        <v>Kartofler</v>
      </c>
      <c r="B264" s="194" t="str">
        <f t="shared" si="73"/>
        <v/>
      </c>
      <c r="C264" s="194">
        <f>IF(COUNTIFS('Resultater - Danmark'!$D$3:$D$482,'Resultat-Produktion &amp; forbrug'!A264,'Resultater - Danmark'!$A$3:$A$482,"Til energi")+COUNTIFS('Resultater - Danmark'!$D$3:$D$482,'Resultat-Produktion &amp; forbrug'!A264,'Resultater - Danmark'!$A$3:$A$482,"Biogasanlæg")&gt;0,1,0)</f>
        <v>0</v>
      </c>
      <c r="D264" s="194">
        <f t="shared" si="74"/>
        <v>2050</v>
      </c>
      <c r="E264" s="192" t="s">
        <v>24</v>
      </c>
      <c r="F264" s="195">
        <f>IF(E264="Vestdanmark",SUMIFS(IF(D264=År1,'Resultater - Vestdanmark'!H$3:H$482,IF(D264=År2,'Resultater - Vestdanmark'!I$3:I$482,'Resultater - Vestdanmark'!J$3:J$482)),'Resultater - Vestdanmark'!$F$3:$F$482,$A264,IF(D264=År1,'Resultater - Vestdanmark'!H$3:H$482,IF(D264=År2,'Resultater - Vestdanmark'!I$3:I$482,'Resultater - Vestdanmark'!J$3:J$482)),"&gt;0"),SUMIFS(IF(D264=År1,'Resultater - Østdanmark'!H$3:H$482,IF(D264=År2,'Resultater - Østdanmark'!I$3:I$482,'Resultater - Østdanmark'!J$3:J$482)),'Resultater - Østdanmark'!$F$3:$F$482,$A264,IF(D264=År1,'Resultater - Østdanmark'!H$3:H$482,IF(D264=År2,'Resultater - Østdanmark'!I$3:I$482,'Resultater - Østdanmark'!J$3:J$482)),"&gt;0"))</f>
        <v>0</v>
      </c>
      <c r="G264" s="195" t="e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#REF!</v>
      </c>
      <c r="H264" s="192">
        <f>IF(E264="Vestdanmark",-IF(A264="Halm",SUMIFS(IF(D264=År1,'Resultater - Vestdanmark'!H$3:H$482,IF(D264=År2,'Resultater - Vestdanmark'!I$3:I$482,'Resultater - Vestdanmark'!J$3:J$482)),'Resultater - Vestdanmark'!$F$3:$F$482,$A264,'Resultater - Vestdanmark'!H$3:H$482,"&lt;0"),0),-IF(A264="Halm",SUMIFS(IF(D264=År1,'Resultater - Østdanmark'!H$3:H$482,IF(D264=År2,'Resultater - Østdanmark'!I$3:I$482,'Resultater - Østdanmark'!J$3:J$482)),'Resultater - Østdanmark'!$F$3:$F$482,$A264,'Resultater - Østdanmark'!H$3:H$482,"&lt;0"),0))</f>
        <v>0</v>
      </c>
      <c r="I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5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7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204" t="e">
        <f t="shared" si="62"/>
        <v>#REF!</v>
      </c>
      <c r="O264" s="195">
        <f t="shared" si="75"/>
        <v>0</v>
      </c>
      <c r="P264" s="205">
        <f t="shared" si="63"/>
        <v>0</v>
      </c>
      <c r="Q264" s="192">
        <f>IFERROR(VLOOKUP(A264,[1]Energiindhold!$A$2:$C$11,3,FALSE),IFERROR(VLOOKUP(A264,[1]Biogasudbytte!$A$2:$B$18,2,FALSE)*[1]Energiindhold!$C$10,0))*O264</f>
        <v>0</v>
      </c>
      <c r="R264" s="192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92">
        <f>IFERROR(VLOOKUP(A264,[1]Biogasudbytte!$A$2:$B$18,2,FALSE)*[1]Energiindhold!$C$10,0)*J264*IFERROR(VLOOKUP(A264,Biogasanlæg!$F$3:$G$8,2,FALSE),1)</f>
        <v>0</v>
      </c>
      <c r="T264" s="193">
        <f t="shared" si="64"/>
        <v>0</v>
      </c>
      <c r="U264" s="191">
        <f>O264*IFERROR(VLOOKUP(A264,[1]Tørstofindhold!A$2:B$24,2,FALSE),0)</f>
        <v>0</v>
      </c>
      <c r="V264" s="192">
        <f>IF(D264=År1,P264,SUM(O264,P264))*IFERROR(VLOOKUP(A264,[1]Tørstofindhold!A$2:B$24,2,FALSE),0)</f>
        <v>0</v>
      </c>
      <c r="W264" s="192">
        <f>J264*IFERROR(VLOOKUP(A264,[1]Tørstofindhold!A$2:B$24,2,FALSE),0)</f>
        <v>0</v>
      </c>
      <c r="X264" s="193">
        <f t="shared" si="65"/>
        <v>0</v>
      </c>
      <c r="Y264" s="171" t="e">
        <f t="shared" si="76"/>
        <v>#REF!</v>
      </c>
      <c r="Z264" s="103" t="e">
        <f t="shared" si="77"/>
        <v>#REF!</v>
      </c>
    </row>
    <row r="265" spans="1:26" x14ac:dyDescent="0.25">
      <c r="A265" s="194" t="str">
        <f t="shared" si="72"/>
        <v>Korn</v>
      </c>
      <c r="B265" s="194" t="str">
        <f t="shared" si="73"/>
        <v>Halm og strå</v>
      </c>
      <c r="C265" s="194">
        <f>IF(COUNTIFS('Resultater - Danmark'!$D$3:$D$482,'Resultat-Produktion &amp; forbrug'!A265,'Resultater - Danmark'!$A$3:$A$482,"Til energi")+COUNTIFS('Resultater - Danmark'!$D$3:$D$482,'Resultat-Produktion &amp; forbrug'!A265,'Resultater - Danmark'!$A$3:$A$482,"Biogasanlæg")&gt;0,1,0)</f>
        <v>1</v>
      </c>
      <c r="D265" s="194">
        <f t="shared" si="74"/>
        <v>2050</v>
      </c>
      <c r="E265" s="192" t="s">
        <v>24</v>
      </c>
      <c r="F265" s="195">
        <f>IF(E265="Vestdanmark",SUMIFS(IF(D265=År1,'Resultater - Vestdanmark'!H$3:H$482,IF(D265=År2,'Resultater - Vestdanmark'!I$3:I$482,'Resultater - Vestdanmark'!J$3:J$482)),'Resultater - Vestdanmark'!$F$3:$F$482,$A265,IF(D265=År1,'Resultater - Vestdanmark'!H$3:H$482,IF(D265=År2,'Resultater - Vestdanmark'!I$3:I$482,'Resultater - Vestdanmark'!J$3:J$482)),"&gt;0"),SUMIFS(IF(D265=År1,'Resultater - Østdanmark'!H$3:H$482,IF(D265=År2,'Resultater - Østdanmark'!I$3:I$482,'Resultater - Østdanmark'!J$3:J$482)),'Resultater - Østdanmark'!$F$3:$F$482,$A265,IF(D265=År1,'Resultater - Østdanmark'!H$3:H$482,IF(D265=År2,'Resultater - Østdanmark'!I$3:I$482,'Resultater - Østdanmark'!J$3:J$482)),"&gt;0"))</f>
        <v>0</v>
      </c>
      <c r="G265" s="195" t="e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#REF!</v>
      </c>
      <c r="H265" s="192">
        <f>IF(E265="Vestdanmark",-IF(A265="Halm",SUMIFS(IF(D265=År1,'Resultater - Vestdanmark'!H$3:H$482,IF(D265=År2,'Resultater - Vestdanmark'!I$3:I$482,'Resultater - Vestdanmark'!J$3:J$482)),'Resultater - Vestdanmark'!$F$3:$F$482,$A265,'Resultater - Vestdanmark'!H$3:H$482,"&lt;0"),0),-IF(A265="Halm",SUMIFS(IF(D265=År1,'Resultater - Østdanmark'!H$3:H$482,IF(D265=År2,'Resultater - Østdanmark'!I$3:I$482,'Resultater - Østdanmark'!J$3:J$482)),'Resultater - Østdanmark'!$F$3:$F$482,$A265,'Resultater - Østdanmark'!H$3:H$482,"&lt;0"),0))</f>
        <v>0</v>
      </c>
      <c r="I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5" t="e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#REF!</v>
      </c>
      <c r="K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5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7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204" t="e">
        <f t="shared" si="62"/>
        <v>#REF!</v>
      </c>
      <c r="O265" s="195" t="e">
        <f t="shared" si="75"/>
        <v>#REF!</v>
      </c>
      <c r="P265" s="205" t="e">
        <f t="shared" si="63"/>
        <v>#REF!</v>
      </c>
      <c r="Q265" s="192" t="e">
        <f>IFERROR(VLOOKUP(A265,[1]Energiindhold!$A$2:$C$11,3,FALSE),IFERROR(VLOOKUP(A265,[1]Biogasudbytte!$A$2:$B$18,2,FALSE)*[1]Energiindhold!$C$10,0))*O265</f>
        <v>#REF!</v>
      </c>
      <c r="R265" s="192" t="e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#REF!</v>
      </c>
      <c r="S265" s="192" t="e">
        <f>IFERROR(VLOOKUP(A265,[1]Biogasudbytte!$A$2:$B$18,2,FALSE)*[1]Energiindhold!$C$10,0)*J265*IFERROR(VLOOKUP(A265,Biogasanlæg!$F$3:$G$8,2,FALSE),1)</f>
        <v>#REF!</v>
      </c>
      <c r="T265" s="193" t="e">
        <f t="shared" si="64"/>
        <v>#REF!</v>
      </c>
      <c r="U265" s="191" t="e">
        <f>O265*IFERROR(VLOOKUP(A265,[1]Tørstofindhold!A$2:B$24,2,FALSE),0)</f>
        <v>#REF!</v>
      </c>
      <c r="V265" s="192" t="e">
        <f>IF(D265=År1,P265,SUM(O265,P265))*IFERROR(VLOOKUP(A265,[1]Tørstofindhold!A$2:B$24,2,FALSE),0)</f>
        <v>#REF!</v>
      </c>
      <c r="W265" s="192" t="e">
        <f>J265*IFERROR(VLOOKUP(A265,[1]Tørstofindhold!A$2:B$24,2,FALSE),0)</f>
        <v>#REF!</v>
      </c>
      <c r="X265" s="193" t="e">
        <f t="shared" si="65"/>
        <v>#REF!</v>
      </c>
      <c r="Y265" s="171" t="e">
        <f t="shared" si="76"/>
        <v>#REF!</v>
      </c>
      <c r="Z265" s="103" t="e">
        <f t="shared" si="77"/>
        <v>#REF!</v>
      </c>
    </row>
    <row r="266" spans="1:26" x14ac:dyDescent="0.25">
      <c r="A266" s="194" t="str">
        <f t="shared" si="72"/>
        <v>Kunstgødning</v>
      </c>
      <c r="B266" s="194" t="str">
        <f t="shared" si="73"/>
        <v/>
      </c>
      <c r="C266" s="194">
        <f>IF(COUNTIFS('Resultater - Danmark'!$D$3:$D$482,'Resultat-Produktion &amp; forbrug'!A266,'Resultater - Danmark'!$A$3:$A$482,"Til energi")+COUNTIFS('Resultater - Danmark'!$D$3:$D$482,'Resultat-Produktion &amp; forbrug'!A266,'Resultater - Danmark'!$A$3:$A$482,"Biogasanlæg")&gt;0,1,0)</f>
        <v>0</v>
      </c>
      <c r="D266" s="194">
        <f t="shared" si="74"/>
        <v>2050</v>
      </c>
      <c r="E266" s="192" t="s">
        <v>24</v>
      </c>
      <c r="F266" s="195">
        <f>IF(E266="Vestdanmark",SUMIFS(IF(D266=År1,'Resultater - Vestdanmark'!H$3:H$482,IF(D266=År2,'Resultater - Vestdanmark'!I$3:I$482,'Resultater - Vestdanmark'!J$3:J$482)),'Resultater - Vestdanmark'!$F$3:$F$482,$A266,IF(D266=År1,'Resultater - Vestdanmark'!H$3:H$482,IF(D266=År2,'Resultater - Vestdanmark'!I$3:I$482,'Resultater - Vestdanmark'!J$3:J$482)),"&gt;0"),SUMIFS(IF(D266=År1,'Resultater - Østdanmark'!H$3:H$482,IF(D266=År2,'Resultater - Østdanmark'!I$3:I$482,'Resultater - Østdanmark'!J$3:J$482)),'Resultater - Østdanmark'!$F$3:$F$482,$A266,IF(D266=År1,'Resultater - Østdanmark'!H$3:H$482,IF(D266=År2,'Resultater - Østdanmark'!I$3:I$482,'Resultater - Østdanmark'!J$3:J$482)),"&gt;0"))</f>
        <v>0</v>
      </c>
      <c r="G266" s="195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92">
        <f>IF(E266="Vestdanmark",-IF(A266="Halm",SUMIFS(IF(D266=År1,'Resultater - Vestdanmark'!H$3:H$482,IF(D266=År2,'Resultater - Vestdanmark'!I$3:I$482,'Resultater - Vestdanmark'!J$3:J$482)),'Resultater - Vestdanmark'!$F$3:$F$482,$A266,'Resultater - Vestdanmark'!H$3:H$482,"&lt;0"),0),-IF(A266="Halm",SUMIFS(IF(D266=År1,'Resultater - Østdanmark'!H$3:H$482,IF(D266=År2,'Resultater - Østdanmark'!I$3:I$482,'Resultater - Østdanmark'!J$3:J$482)),'Resultater - Østdanmark'!$F$3:$F$482,$A266,'Resultater - Østdanmark'!H$3:H$482,"&lt;0"),0))</f>
        <v>0</v>
      </c>
      <c r="I266" s="195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5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5" t="e">
        <f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#REF!</v>
      </c>
      <c r="L266" s="195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7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204" t="e">
        <f t="shared" si="62"/>
        <v>#REF!</v>
      </c>
      <c r="O266" s="195">
        <f t="shared" si="75"/>
        <v>0</v>
      </c>
      <c r="P266" s="205">
        <f t="shared" si="63"/>
        <v>0</v>
      </c>
      <c r="Q266" s="192">
        <f>IFERROR(VLOOKUP(A266,[1]Energiindhold!$A$2:$C$11,3,FALSE),IFERROR(VLOOKUP(A266,[1]Biogasudbytte!$A$2:$B$18,2,FALSE)*[1]Energiindhold!$C$10,0))*O266</f>
        <v>0</v>
      </c>
      <c r="R266" s="192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92">
        <f>IFERROR(VLOOKUP(A266,[1]Biogasudbytte!$A$2:$B$18,2,FALSE)*[1]Energiindhold!$C$10,0)*J266*IFERROR(VLOOKUP(A266,Biogasanlæg!$F$3:$G$8,2,FALSE),1)</f>
        <v>0</v>
      </c>
      <c r="T266" s="193">
        <f t="shared" si="64"/>
        <v>0</v>
      </c>
      <c r="U266" s="191">
        <f>O266*IFERROR(VLOOKUP(A266,[1]Tørstofindhold!A$2:B$24,2,FALSE),0)</f>
        <v>0</v>
      </c>
      <c r="V266" s="192">
        <f>IF(D266=År1,P266,SUM(O266,P266))*IFERROR(VLOOKUP(A266,[1]Tørstofindhold!A$2:B$24,2,FALSE),0)</f>
        <v>0</v>
      </c>
      <c r="W266" s="192">
        <f>J266*IFERROR(VLOOKUP(A266,[1]Tørstofindhold!A$2:B$24,2,FALSE),0)</f>
        <v>0</v>
      </c>
      <c r="X266" s="193">
        <f t="shared" si="65"/>
        <v>0</v>
      </c>
      <c r="Y266" s="171" t="e">
        <f t="shared" si="76"/>
        <v>#REF!</v>
      </c>
      <c r="Z266" s="103" t="e">
        <f t="shared" si="77"/>
        <v>#REF!</v>
      </c>
    </row>
    <row r="267" spans="1:26" x14ac:dyDescent="0.25">
      <c r="A267" s="194" t="str">
        <f t="shared" si="72"/>
        <v>Kvæggylle</v>
      </c>
      <c r="B267" s="194" t="str">
        <f t="shared" si="73"/>
        <v>Husdyrgødning</v>
      </c>
      <c r="C267" s="194">
        <f>IF(COUNTIFS('Resultater - Danmark'!$D$3:$D$482,'Resultat-Produktion &amp; forbrug'!A267,'Resultater - Danmark'!$A$3:$A$482,"Til energi")+COUNTIFS('Resultater - Danmark'!$D$3:$D$482,'Resultat-Produktion &amp; forbrug'!A267,'Resultater - Danmark'!$A$3:$A$482,"Biogasanlæg")&gt;0,1,0)</f>
        <v>1</v>
      </c>
      <c r="D267" s="194">
        <f t="shared" si="74"/>
        <v>2050</v>
      </c>
      <c r="E267" s="192" t="s">
        <v>24</v>
      </c>
      <c r="F267" s="195">
        <f>IF(E267="Vestdanmark",SUMIFS(IF(D267=År1,'Resultater - Vestdanmark'!H$3:H$482,IF(D267=År2,'Resultater - Vestdanmark'!I$3:I$482,'Resultater - Vestdanmark'!J$3:J$482)),'Resultater - Vestdanmark'!$F$3:$F$482,$A267,IF(D267=År1,'Resultater - Vestdanmark'!H$3:H$482,IF(D267=År2,'Resultater - Vestdanmark'!I$3:I$482,'Resultater - Vestdanmark'!J$3:J$482)),"&gt;0"),SUMIFS(IF(D267=År1,'Resultater - Østdanmark'!H$3:H$482,IF(D267=År2,'Resultater - Østdanmark'!I$3:I$482,'Resultater - Østdanmark'!J$3:J$482)),'Resultater - Østdanmark'!$F$3:$F$482,$A267,IF(D267=År1,'Resultater - Østdanmark'!H$3:H$482,IF(D267=År2,'Resultater - Østdanmark'!I$3:I$482,'Resultater - Østdanmark'!J$3:J$482)),"&gt;0"))</f>
        <v>0</v>
      </c>
      <c r="G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92">
        <f>IF(E267="Vestdanmark",-IF(A267="Halm",SUMIFS(IF(D267=År1,'Resultater - Vestdanmark'!H$3:H$482,IF(D267=År2,'Resultater - Vestdanmark'!I$3:I$482,'Resultater - Vestdanmark'!J$3:J$482)),'Resultater - Vestdanmark'!$F$3:$F$482,$A267,'Resultater - Vestdanmark'!H$3:H$482,"&lt;0"),0),-IF(A267="Halm",SUMIFS(IF(D267=År1,'Resultater - Østdanmark'!H$3:H$482,IF(D267=År2,'Resultater - Østdanmark'!I$3:I$482,'Resultater - Østdanmark'!J$3:J$482)),'Resultater - Østdanmark'!$F$3:$F$482,$A267,'Resultater - Østdanmark'!H$3:H$482,"&lt;0"),0))</f>
        <v>0</v>
      </c>
      <c r="I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5" t="e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#REF!</v>
      </c>
      <c r="K267" s="195" t="e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#REF!</v>
      </c>
      <c r="L267" s="195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7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204" t="e">
        <f t="shared" si="62"/>
        <v>#REF!</v>
      </c>
      <c r="O267" s="195" t="e">
        <f t="shared" si="75"/>
        <v>#REF!</v>
      </c>
      <c r="P267" s="205" t="e">
        <f t="shared" si="63"/>
        <v>#REF!</v>
      </c>
      <c r="Q267" s="192" t="e">
        <f>IFERROR(VLOOKUP(A267,[1]Energiindhold!$A$2:$C$11,3,FALSE),IFERROR(VLOOKUP(A267,[1]Biogasudbytte!$A$2:$B$18,2,FALSE)*[1]Energiindhold!$C$10,0))*O267</f>
        <v>#REF!</v>
      </c>
      <c r="R267" s="192" t="e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#REF!</v>
      </c>
      <c r="S267" s="192" t="e">
        <f>IFERROR(VLOOKUP(A267,[1]Biogasudbytte!$A$2:$B$18,2,FALSE)*[1]Energiindhold!$C$10,0)*J267*IFERROR(VLOOKUP(A267,Biogasanlæg!$F$3:$G$8,2,FALSE),1)</f>
        <v>#REF!</v>
      </c>
      <c r="T267" s="193" t="e">
        <f t="shared" si="64"/>
        <v>#REF!</v>
      </c>
      <c r="U267" s="191" t="e">
        <f>O267*IFERROR(VLOOKUP(A267,[1]Tørstofindhold!A$2:B$24,2,FALSE),0)</f>
        <v>#REF!</v>
      </c>
      <c r="V267" s="192" t="e">
        <f>IF(D267=År1,P267,SUM(O267,P267))*IFERROR(VLOOKUP(A267,[1]Tørstofindhold!A$2:B$24,2,FALSE),0)</f>
        <v>#REF!</v>
      </c>
      <c r="W267" s="192" t="e">
        <f>J267*IFERROR(VLOOKUP(A267,[1]Tørstofindhold!A$2:B$24,2,FALSE),0)</f>
        <v>#REF!</v>
      </c>
      <c r="X267" s="193" t="e">
        <f t="shared" si="65"/>
        <v>#REF!</v>
      </c>
      <c r="Y267" s="171" t="e">
        <f t="shared" si="76"/>
        <v>#REF!</v>
      </c>
      <c r="Z267" s="103" t="e">
        <f t="shared" si="77"/>
        <v>#REF!</v>
      </c>
    </row>
    <row r="268" spans="1:26" x14ac:dyDescent="0.25">
      <c r="A268" s="194" t="str">
        <f t="shared" si="72"/>
        <v>Mælk til foder</v>
      </c>
      <c r="B268" s="194" t="str">
        <f t="shared" si="73"/>
        <v/>
      </c>
      <c r="C268" s="194">
        <f>IF(COUNTIFS('Resultater - Danmark'!$D$3:$D$482,'Resultat-Produktion &amp; forbrug'!A268,'Resultater - Danmark'!$A$3:$A$482,"Til energi")+COUNTIFS('Resultater - Danmark'!$D$3:$D$482,'Resultat-Produktion &amp; forbrug'!A268,'Resultater - Danmark'!$A$3:$A$482,"Biogasanlæg")&gt;0,1,0)</f>
        <v>0</v>
      </c>
      <c r="D268" s="194">
        <f t="shared" si="74"/>
        <v>2050</v>
      </c>
      <c r="E268" s="192" t="s">
        <v>24</v>
      </c>
      <c r="F268" s="195">
        <f>IF(E268="Vestdanmark",SUMIFS(IF(D268=År1,'Resultater - Vestdanmark'!H$3:H$482,IF(D268=År2,'Resultater - Vestdanmark'!I$3:I$482,'Resultater - Vestdanmark'!J$3:J$482)),'Resultater - Vestdanmark'!$F$3:$F$482,$A268,IF(D268=År1,'Resultater - Vestdanmark'!H$3:H$482,IF(D268=År2,'Resultater - Vestdanmark'!I$3:I$482,'Resultater - Vestdanmark'!J$3:J$482)),"&gt;0"),SUMIFS(IF(D268=År1,'Resultater - Østdanmark'!H$3:H$482,IF(D268=År2,'Resultater - Østdanmark'!I$3:I$482,'Resultater - Østdanmark'!J$3:J$482)),'Resultater - Østdanmark'!$F$3:$F$482,$A268,IF(D268=År1,'Resultater - Østdanmark'!H$3:H$482,IF(D268=År2,'Resultater - Østdanmark'!I$3:I$482,'Resultater - Østdanmark'!J$3:J$482)),"&gt;0"))</f>
        <v>0</v>
      </c>
      <c r="G268" s="195" t="e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#REF!</v>
      </c>
      <c r="H268" s="192">
        <f>IF(E268="Vestdanmark",-IF(A268="Halm",SUMIFS(IF(D268=År1,'Resultater - Vestdanmark'!H$3:H$482,IF(D268=År2,'Resultater - Vestdanmark'!I$3:I$482,'Resultater - Vestdanmark'!J$3:J$482)),'Resultater - Vestdanmark'!$F$3:$F$482,$A268,'Resultater - Vestdanmark'!H$3:H$482,"&lt;0"),0),-IF(A268="Halm",SUMIFS(IF(D268=År1,'Resultater - Østdanmark'!H$3:H$482,IF(D268=År2,'Resultater - Østdanmark'!I$3:I$482,'Resultater - Østdanmark'!J$3:J$482)),'Resultater - Østdanmark'!$F$3:$F$482,$A268,'Resultater - Østdanmark'!H$3:H$482,"&lt;0"),0))</f>
        <v>0</v>
      </c>
      <c r="I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5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7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204" t="e">
        <f t="shared" si="62"/>
        <v>#REF!</v>
      </c>
      <c r="O268" s="195">
        <f t="shared" si="75"/>
        <v>0</v>
      </c>
      <c r="P268" s="205">
        <f t="shared" si="63"/>
        <v>0</v>
      </c>
      <c r="Q268" s="192">
        <f>IFERROR(VLOOKUP(A268,[1]Energiindhold!$A$2:$C$11,3,FALSE),IFERROR(VLOOKUP(A268,[1]Biogasudbytte!$A$2:$B$18,2,FALSE)*[1]Energiindhold!$C$10,0))*O268</f>
        <v>0</v>
      </c>
      <c r="R268" s="192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92">
        <f>IFERROR(VLOOKUP(A268,[1]Biogasudbytte!$A$2:$B$18,2,FALSE)*[1]Energiindhold!$C$10,0)*J268*IFERROR(VLOOKUP(A268,Biogasanlæg!$F$3:$G$8,2,FALSE),1)</f>
        <v>0</v>
      </c>
      <c r="T268" s="193">
        <f t="shared" si="64"/>
        <v>0</v>
      </c>
      <c r="U268" s="191">
        <f>O268*IFERROR(VLOOKUP(A268,[1]Tørstofindhold!A$2:B$24,2,FALSE),0)</f>
        <v>0</v>
      </c>
      <c r="V268" s="192">
        <f>IF(D268=År1,P268,SUM(O268,P268))*IFERROR(VLOOKUP(A268,[1]Tørstofindhold!A$2:B$24,2,FALSE),0)</f>
        <v>0</v>
      </c>
      <c r="W268" s="192">
        <f>J268*IFERROR(VLOOKUP(A268,[1]Tørstofindhold!A$2:B$24,2,FALSE),0)</f>
        <v>0</v>
      </c>
      <c r="X268" s="193">
        <f t="shared" si="65"/>
        <v>0</v>
      </c>
      <c r="Y268" s="171" t="e">
        <f t="shared" si="76"/>
        <v>#REF!</v>
      </c>
      <c r="Z268" s="103" t="e">
        <f t="shared" si="77"/>
        <v>#REF!</v>
      </c>
    </row>
    <row r="269" spans="1:26" x14ac:dyDescent="0.25">
      <c r="A269" s="194" t="str">
        <f t="shared" si="72"/>
        <v>Majs</v>
      </c>
      <c r="B269" s="194" t="str">
        <f t="shared" si="73"/>
        <v>Græs og urter</v>
      </c>
      <c r="C269" s="194">
        <f>IF(COUNTIFS('Resultater - Danmark'!$D$3:$D$482,'Resultat-Produktion &amp; forbrug'!A269,'Resultater - Danmark'!$A$3:$A$482,"Til energi")+COUNTIFS('Resultater - Danmark'!$D$3:$D$482,'Resultat-Produktion &amp; forbrug'!A269,'Resultater - Danmark'!$A$3:$A$482,"Biogasanlæg")&gt;0,1,0)</f>
        <v>1</v>
      </c>
      <c r="D269" s="194">
        <f t="shared" si="74"/>
        <v>2050</v>
      </c>
      <c r="E269" s="192" t="s">
        <v>24</v>
      </c>
      <c r="F269" s="195">
        <f>IF(E269="Vestdanmark",SUMIFS(IF(D269=År1,'Resultater - Vestdanmark'!H$3:H$482,IF(D269=År2,'Resultater - Vestdanmark'!I$3:I$482,'Resultater - Vestdanmark'!J$3:J$482)),'Resultater - Vestdanmark'!$F$3:$F$482,$A269,IF(D269=År1,'Resultater - Vestdanmark'!H$3:H$482,IF(D269=År2,'Resultater - Vestdanmark'!I$3:I$482,'Resultater - Vestdanmark'!J$3:J$482)),"&gt;0"),SUMIFS(IF(D269=År1,'Resultater - Østdanmark'!H$3:H$482,IF(D269=År2,'Resultater - Østdanmark'!I$3:I$482,'Resultater - Østdanmark'!J$3:J$482)),'Resultater - Østdanmark'!$F$3:$F$482,$A269,IF(D269=År1,'Resultater - Østdanmark'!H$3:H$482,IF(D269=År2,'Resultater - Østdanmark'!I$3:I$482,'Resultater - Østdanmark'!J$3:J$482)),"&gt;0"))</f>
        <v>0</v>
      </c>
      <c r="G269" s="195" t="e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#REF!</v>
      </c>
      <c r="H269" s="192">
        <f>IF(E269="Vestdanmark",-IF(A269="Halm",SUMIFS(IF(D269=År1,'Resultater - Vestdanmark'!H$3:H$482,IF(D269=År2,'Resultater - Vestdanmark'!I$3:I$482,'Resultater - Vestdanmark'!J$3:J$482)),'Resultater - Vestdanmark'!$F$3:$F$482,$A269,'Resultater - Vestdanmark'!H$3:H$482,"&lt;0"),0),-IF(A269="Halm",SUMIFS(IF(D269=År1,'Resultater - Østdanmark'!H$3:H$482,IF(D269=År2,'Resultater - Østdanmark'!I$3:I$482,'Resultater - Østdanmark'!J$3:J$482)),'Resultater - Østdanmark'!$F$3:$F$482,$A269,'Resultater - Østdanmark'!H$3:H$482,"&lt;0"),0))</f>
        <v>0</v>
      </c>
      <c r="I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5" t="e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#REF!</v>
      </c>
      <c r="K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5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7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204" t="e">
        <f t="shared" si="62"/>
        <v>#REF!</v>
      </c>
      <c r="O269" s="195" t="e">
        <f t="shared" si="75"/>
        <v>#REF!</v>
      </c>
      <c r="P269" s="205" t="e">
        <f t="shared" si="63"/>
        <v>#REF!</v>
      </c>
      <c r="Q269" s="192" t="e">
        <f>IFERROR(VLOOKUP(A269,[1]Energiindhold!$A$2:$C$11,3,FALSE),IFERROR(VLOOKUP(A269,[1]Biogasudbytte!$A$2:$B$18,2,FALSE)*[1]Energiindhold!$C$10,0))*O269</f>
        <v>#REF!</v>
      </c>
      <c r="R269" s="192" t="e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#REF!</v>
      </c>
      <c r="S269" s="192" t="e">
        <f>IFERROR(VLOOKUP(A269,[1]Biogasudbytte!$A$2:$B$18,2,FALSE)*[1]Energiindhold!$C$10,0)*J269*IFERROR(VLOOKUP(A269,Biogasanlæg!$F$3:$G$8,2,FALSE),1)</f>
        <v>#REF!</v>
      </c>
      <c r="T269" s="193" t="e">
        <f t="shared" si="64"/>
        <v>#REF!</v>
      </c>
      <c r="U269" s="191" t="e">
        <f>O269*IFERROR(VLOOKUP(A269,[1]Tørstofindhold!A$2:B$24,2,FALSE),0)</f>
        <v>#REF!</v>
      </c>
      <c r="V269" s="192" t="e">
        <f>IF(D269=År1,P269,SUM(O269,P269))*IFERROR(VLOOKUP(A269,[1]Tørstofindhold!A$2:B$24,2,FALSE),0)</f>
        <v>#REF!</v>
      </c>
      <c r="W269" s="192" t="e">
        <f>J269*IFERROR(VLOOKUP(A269,[1]Tørstofindhold!A$2:B$24,2,FALSE),0)</f>
        <v>#REF!</v>
      </c>
      <c r="X269" s="193" t="e">
        <f t="shared" si="65"/>
        <v>#REF!</v>
      </c>
      <c r="Y269" s="171" t="e">
        <f t="shared" si="76"/>
        <v>#REF!</v>
      </c>
      <c r="Z269" s="103" t="e">
        <f t="shared" si="77"/>
        <v>#REF!</v>
      </c>
    </row>
    <row r="270" spans="1:26" x14ac:dyDescent="0.25">
      <c r="A270" s="194" t="str">
        <f t="shared" si="72"/>
        <v>Mejeriprodukter</v>
      </c>
      <c r="B270" s="194" t="str">
        <f t="shared" si="73"/>
        <v/>
      </c>
      <c r="C270" s="194">
        <f>IF(COUNTIFS('Resultater - Danmark'!$D$3:$D$482,'Resultat-Produktion &amp; forbrug'!A270,'Resultater - Danmark'!$A$3:$A$482,"Til energi")+COUNTIFS('Resultater - Danmark'!$D$3:$D$482,'Resultat-Produktion &amp; forbrug'!A270,'Resultater - Danmark'!$A$3:$A$482,"Biogasanlæg")&gt;0,1,0)</f>
        <v>0</v>
      </c>
      <c r="D270" s="194">
        <f t="shared" si="74"/>
        <v>2050</v>
      </c>
      <c r="E270" s="192" t="s">
        <v>24</v>
      </c>
      <c r="F270" s="195">
        <f>IF(E270="Vestdanmark",SUMIFS(IF(D270=År1,'Resultater - Vestdanmark'!H$3:H$482,IF(D270=År2,'Resultater - Vestdanmark'!I$3:I$482,'Resultater - Vestdanmark'!J$3:J$482)),'Resultater - Vestdanmark'!$F$3:$F$482,$A270,IF(D270=År1,'Resultater - Vestdanmark'!H$3:H$482,IF(D270=År2,'Resultater - Vestdanmark'!I$3:I$482,'Resultater - Vestdanmark'!J$3:J$482)),"&gt;0"),SUMIFS(IF(D270=År1,'Resultater - Østdanmark'!H$3:H$482,IF(D270=År2,'Resultater - Østdanmark'!I$3:I$482,'Resultater - Østdanmark'!J$3:J$482)),'Resultater - Østdanmark'!$F$3:$F$482,$A270,IF(D270=År1,'Resultater - Østdanmark'!H$3:H$482,IF(D270=År2,'Resultater - Østdanmark'!I$3:I$482,'Resultater - Østdanmark'!J$3:J$482)),"&gt;0"))</f>
        <v>0</v>
      </c>
      <c r="G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92">
        <f>IF(E270="Vestdanmark",-IF(A270="Halm",SUMIFS(IF(D270=År1,'Resultater - Vestdanmark'!H$3:H$482,IF(D270=År2,'Resultater - Vestdanmark'!I$3:I$482,'Resultater - Vestdanmark'!J$3:J$482)),'Resultater - Vestdanmark'!$F$3:$F$482,$A270,'Resultater - Vestdanmark'!H$3:H$482,"&lt;0"),0),-IF(A270="Halm",SUMIFS(IF(D270=År1,'Resultater - Østdanmark'!H$3:H$482,IF(D270=År2,'Resultater - Østdanmark'!I$3:I$482,'Resultater - Østdanmark'!J$3:J$482)),'Resultater - Østdanmark'!$F$3:$F$482,$A270,'Resultater - Østdanmark'!H$3:H$482,"&lt;0"),0))</f>
        <v>0</v>
      </c>
      <c r="I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5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7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204">
        <f t="shared" si="62"/>
        <v>-428214.02929147833</v>
      </c>
      <c r="O270" s="195">
        <f t="shared" si="75"/>
        <v>0</v>
      </c>
      <c r="P270" s="205">
        <f t="shared" si="63"/>
        <v>0</v>
      </c>
      <c r="Q270" s="192">
        <f>IFERROR(VLOOKUP(A270,[1]Energiindhold!$A$2:$C$11,3,FALSE),IFERROR(VLOOKUP(A270,[1]Biogasudbytte!$A$2:$B$18,2,FALSE)*[1]Energiindhold!$C$10,0))*O270</f>
        <v>0</v>
      </c>
      <c r="R270" s="192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92">
        <f>IFERROR(VLOOKUP(A270,[1]Biogasudbytte!$A$2:$B$18,2,FALSE)*[1]Energiindhold!$C$10,0)*J270*IFERROR(VLOOKUP(A270,Biogasanlæg!$F$3:$G$8,2,FALSE),1)</f>
        <v>0</v>
      </c>
      <c r="T270" s="193">
        <f t="shared" si="64"/>
        <v>0</v>
      </c>
      <c r="U270" s="191">
        <f>O270*IFERROR(VLOOKUP(A270,[1]Tørstofindhold!A$2:B$24,2,FALSE),0)</f>
        <v>0</v>
      </c>
      <c r="V270" s="192">
        <f>IF(D270=År1,P270,SUM(O270,P270))*IFERROR(VLOOKUP(A270,[1]Tørstofindhold!A$2:B$24,2,FALSE),0)</f>
        <v>0</v>
      </c>
      <c r="W270" s="192">
        <f>J270*IFERROR(VLOOKUP(A270,[1]Tørstofindhold!A$2:B$24,2,FALSE),0)</f>
        <v>0</v>
      </c>
      <c r="X270" s="193">
        <f t="shared" si="65"/>
        <v>0</v>
      </c>
      <c r="Y270" s="171">
        <f t="shared" si="76"/>
        <v>1</v>
      </c>
      <c r="Z270" s="103">
        <f t="shared" si="77"/>
        <v>0</v>
      </c>
    </row>
    <row r="271" spans="1:26" x14ac:dyDescent="0.25">
      <c r="A271" s="194" t="str">
        <f t="shared" si="72"/>
        <v>Muslinger</v>
      </c>
      <c r="B271" s="194" t="str">
        <f t="shared" si="73"/>
        <v>Havbiomasse</v>
      </c>
      <c r="C271" s="194">
        <f>IF(COUNTIFS('Resultater - Danmark'!$D$3:$D$482,'Resultat-Produktion &amp; forbrug'!A271,'Resultater - Danmark'!$A$3:$A$482,"Til energi")+COUNTIFS('Resultater - Danmark'!$D$3:$D$482,'Resultat-Produktion &amp; forbrug'!A271,'Resultater - Danmark'!$A$3:$A$482,"Biogasanlæg")&gt;0,1,0)</f>
        <v>1</v>
      </c>
      <c r="D271" s="194">
        <f t="shared" si="74"/>
        <v>2050</v>
      </c>
      <c r="E271" s="192" t="s">
        <v>24</v>
      </c>
      <c r="F271" s="195">
        <f>IF(E271="Vestdanmark",SUMIFS(IF(D271=År1,'Resultater - Vestdanmark'!H$3:H$482,IF(D271=År2,'Resultater - Vestdanmark'!I$3:I$482,'Resultater - Vestdanmark'!J$3:J$482)),'Resultater - Vestdanmark'!$F$3:$F$482,$A271,IF(D271=År1,'Resultater - Vestdanmark'!H$3:H$482,IF(D271=År2,'Resultater - Vestdanmark'!I$3:I$482,'Resultater - Vestdanmark'!J$3:J$482)),"&gt;0"),SUMIFS(IF(D271=År1,'Resultater - Østdanmark'!H$3:H$482,IF(D271=År2,'Resultater - Østdanmark'!I$3:I$482,'Resultater - Østdanmark'!J$3:J$482)),'Resultater - Østdanmark'!$F$3:$F$482,$A271,IF(D271=År1,'Resultater - Østdanmark'!H$3:H$482,IF(D271=År2,'Resultater - Østdanmark'!I$3:I$482,'Resultater - Østdanmark'!J$3:J$482)),"&gt;0"))</f>
        <v>0</v>
      </c>
      <c r="G271" s="195" t="e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#REF!</v>
      </c>
      <c r="H271" s="192">
        <f>IF(E271="Vestdanmark",-IF(A271="Halm",SUMIFS(IF(D271=År1,'Resultater - Vestdanmark'!H$3:H$482,IF(D271=År2,'Resultater - Vestdanmark'!I$3:I$482,'Resultater - Vestdanmark'!J$3:J$482)),'Resultater - Vestdanmark'!$F$3:$F$482,$A271,'Resultater - Vestdanmark'!H$3:H$482,"&lt;0"),0),-IF(A271="Halm",SUMIFS(IF(D271=År1,'Resultater - Østdanmark'!H$3:H$482,IF(D271=År2,'Resultater - Østdanmark'!I$3:I$482,'Resultater - Østdanmark'!J$3:J$482)),'Resultater - Østdanmark'!$F$3:$F$482,$A271,'Resultater - Østdanmark'!H$3:H$482,"&lt;0"),0))</f>
        <v>0</v>
      </c>
      <c r="I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5" t="e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#REF!</v>
      </c>
      <c r="K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5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7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204" t="e">
        <f t="shared" si="62"/>
        <v>#REF!</v>
      </c>
      <c r="O271" s="195" t="e">
        <f t="shared" si="75"/>
        <v>#REF!</v>
      </c>
      <c r="P271" s="205" t="e">
        <f t="shared" si="63"/>
        <v>#REF!</v>
      </c>
      <c r="Q271" s="192" t="e">
        <f>IFERROR(VLOOKUP(A271,[1]Energiindhold!$A$2:$C$11,3,FALSE),IFERROR(VLOOKUP(A271,[1]Biogasudbytte!$A$2:$B$18,2,FALSE)*[1]Energiindhold!$C$10,0))*O271</f>
        <v>#REF!</v>
      </c>
      <c r="R271" s="192" t="e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#REF!</v>
      </c>
      <c r="S271" s="192" t="e">
        <f>IFERROR(VLOOKUP(A271,[1]Biogasudbytte!$A$2:$B$18,2,FALSE)*[1]Energiindhold!$C$10,0)*J271*IFERROR(VLOOKUP(A271,Biogasanlæg!$F$3:$G$8,2,FALSE),1)</f>
        <v>#REF!</v>
      </c>
      <c r="T271" s="193" t="e">
        <f t="shared" si="64"/>
        <v>#REF!</v>
      </c>
      <c r="U271" s="191" t="e">
        <f>O271*IFERROR(VLOOKUP(A271,[1]Tørstofindhold!A$2:B$24,2,FALSE),0)</f>
        <v>#REF!</v>
      </c>
      <c r="V271" s="192" t="e">
        <f>IF(D271=År1,P271,SUM(O271,P271))*IFERROR(VLOOKUP(A271,[1]Tørstofindhold!A$2:B$24,2,FALSE),0)</f>
        <v>#REF!</v>
      </c>
      <c r="W271" s="192" t="e">
        <f>J271*IFERROR(VLOOKUP(A271,[1]Tørstofindhold!A$2:B$24,2,FALSE),0)</f>
        <v>#REF!</v>
      </c>
      <c r="X271" s="193" t="e">
        <f t="shared" si="65"/>
        <v>#REF!</v>
      </c>
      <c r="Y271" s="171" t="e">
        <f t="shared" si="76"/>
        <v>#REF!</v>
      </c>
      <c r="Z271" s="103" t="e">
        <f t="shared" si="77"/>
        <v>#REF!</v>
      </c>
    </row>
    <row r="272" spans="1:26" x14ac:dyDescent="0.25">
      <c r="A272" s="194" t="str">
        <f t="shared" si="72"/>
        <v>Oksekød</v>
      </c>
      <c r="B272" s="194" t="str">
        <f t="shared" si="73"/>
        <v/>
      </c>
      <c r="C272" s="194">
        <f>IF(COUNTIFS('Resultater - Danmark'!$D$3:$D$482,'Resultat-Produktion &amp; forbrug'!A272,'Resultater - Danmark'!$A$3:$A$482,"Til energi")+COUNTIFS('Resultater - Danmark'!$D$3:$D$482,'Resultat-Produktion &amp; forbrug'!A272,'Resultater - Danmark'!$A$3:$A$482,"Biogasanlæg")&gt;0,1,0)</f>
        <v>0</v>
      </c>
      <c r="D272" s="194">
        <f t="shared" si="74"/>
        <v>2050</v>
      </c>
      <c r="E272" s="192" t="s">
        <v>24</v>
      </c>
      <c r="F272" s="195">
        <f>IF(E272="Vestdanmark",SUMIFS(IF(D272=År1,'Resultater - Vestdanmark'!H$3:H$482,IF(D272=År2,'Resultater - Vestdanmark'!I$3:I$482,'Resultater - Vestdanmark'!J$3:J$482)),'Resultater - Vestdanmark'!$F$3:$F$482,$A272,IF(D272=År1,'Resultater - Vestdanmark'!H$3:H$482,IF(D272=År2,'Resultater - Vestdanmark'!I$3:I$482,'Resultater - Vestdanmark'!J$3:J$482)),"&gt;0"),SUMIFS(IF(D272=År1,'Resultater - Østdanmark'!H$3:H$482,IF(D272=År2,'Resultater - Østdanmark'!I$3:I$482,'Resultater - Østdanmark'!J$3:J$482)),'Resultater - Østdanmark'!$F$3:$F$482,$A272,IF(D272=År1,'Resultater - Østdanmark'!H$3:H$482,IF(D272=År2,'Resultater - Østdanmark'!I$3:I$482,'Resultater - Østdanmark'!J$3:J$482)),"&gt;0"))</f>
        <v>0</v>
      </c>
      <c r="G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92">
        <f>IF(E272="Vestdanmark",-IF(A272="Halm",SUMIFS(IF(D272=År1,'Resultater - Vestdanmark'!H$3:H$482,IF(D272=År2,'Resultater - Vestdanmark'!I$3:I$482,'Resultater - Vestdanmark'!J$3:J$482)),'Resultater - Vestdanmark'!$F$3:$F$482,$A272,'Resultater - Vestdanmark'!H$3:H$482,"&lt;0"),0),-IF(A272="Halm",SUMIFS(IF(D272=År1,'Resultater - Østdanmark'!H$3:H$482,IF(D272=År2,'Resultater - Østdanmark'!I$3:I$482,'Resultater - Østdanmark'!J$3:J$482)),'Resultater - Østdanmark'!$F$3:$F$482,$A272,'Resultater - Østdanmark'!H$3:H$482,"&lt;0"),0))</f>
        <v>0</v>
      </c>
      <c r="I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5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7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204">
        <f t="shared" si="62"/>
        <v>-54412.71372203785</v>
      </c>
      <c r="O272" s="195">
        <f t="shared" si="75"/>
        <v>0</v>
      </c>
      <c r="P272" s="205">
        <f t="shared" si="63"/>
        <v>0</v>
      </c>
      <c r="Q272" s="192">
        <f>IFERROR(VLOOKUP(A272,[1]Energiindhold!$A$2:$C$11,3,FALSE),IFERROR(VLOOKUP(A272,[1]Biogasudbytte!$A$2:$B$18,2,FALSE)*[1]Energiindhold!$C$10,0))*O272</f>
        <v>0</v>
      </c>
      <c r="R272" s="192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92">
        <f>IFERROR(VLOOKUP(A272,[1]Biogasudbytte!$A$2:$B$18,2,FALSE)*[1]Energiindhold!$C$10,0)*J272*IFERROR(VLOOKUP(A272,Biogasanlæg!$F$3:$G$8,2,FALSE),1)</f>
        <v>0</v>
      </c>
      <c r="T272" s="193">
        <f t="shared" si="64"/>
        <v>0</v>
      </c>
      <c r="U272" s="191">
        <f>O272*IFERROR(VLOOKUP(A272,[1]Tørstofindhold!A$2:B$24,2,FALSE),0)</f>
        <v>0</v>
      </c>
      <c r="V272" s="192">
        <f>IF(D272=År1,P272,SUM(O272,P272))*IFERROR(VLOOKUP(A272,[1]Tørstofindhold!A$2:B$24,2,FALSE),0)</f>
        <v>0</v>
      </c>
      <c r="W272" s="192">
        <f>J272*IFERROR(VLOOKUP(A272,[1]Tørstofindhold!A$2:B$24,2,FALSE),0)</f>
        <v>0</v>
      </c>
      <c r="X272" s="193">
        <f t="shared" si="65"/>
        <v>0</v>
      </c>
      <c r="Y272" s="171">
        <f t="shared" si="76"/>
        <v>1</v>
      </c>
      <c r="Z272" s="103">
        <f t="shared" si="77"/>
        <v>0</v>
      </c>
    </row>
    <row r="273" spans="1:26" x14ac:dyDescent="0.25">
      <c r="A273" s="194" t="str">
        <f t="shared" si="72"/>
        <v>Øvrige</v>
      </c>
      <c r="B273" s="194" t="str">
        <f t="shared" si="73"/>
        <v/>
      </c>
      <c r="C273" s="194">
        <f>IF(COUNTIFS('Resultater - Danmark'!$D$3:$D$482,'Resultat-Produktion &amp; forbrug'!A273,'Resultater - Danmark'!$A$3:$A$482,"Til energi")+COUNTIFS('Resultater - Danmark'!$D$3:$D$482,'Resultat-Produktion &amp; forbrug'!A273,'Resultater - Danmark'!$A$3:$A$482,"Biogasanlæg")&gt;0,1,0)</f>
        <v>0</v>
      </c>
      <c r="D273" s="194">
        <f t="shared" si="74"/>
        <v>2050</v>
      </c>
      <c r="E273" s="192" t="s">
        <v>24</v>
      </c>
      <c r="F273" s="195">
        <f>IF(E273="Vestdanmark",SUMIFS(IF(D273=År1,'Resultater - Vestdanmark'!H$3:H$482,IF(D273=År2,'Resultater - Vestdanmark'!I$3:I$482,'Resultater - Vestdanmark'!J$3:J$482)),'Resultater - Vestdanmark'!$F$3:$F$482,$A273,IF(D273=År1,'Resultater - Vestdanmark'!H$3:H$482,IF(D273=År2,'Resultater - Vestdanmark'!I$3:I$482,'Resultater - Vestdanmark'!J$3:J$482)),"&gt;0"),SUMIFS(IF(D273=År1,'Resultater - Østdanmark'!H$3:H$482,IF(D273=År2,'Resultater - Østdanmark'!I$3:I$482,'Resultater - Østdanmark'!J$3:J$482)),'Resultater - Østdanmark'!$F$3:$F$482,$A273,IF(D273=År1,'Resultater - Østdanmark'!H$3:H$482,IF(D273=År2,'Resultater - Østdanmark'!I$3:I$482,'Resultater - Østdanmark'!J$3:J$482)),"&gt;0"))</f>
        <v>0</v>
      </c>
      <c r="G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92">
        <f>IF(E273="Vestdanmark",-IF(A273="Halm",SUMIFS(IF(D273=År1,'Resultater - Vestdanmark'!H$3:H$482,IF(D273=År2,'Resultater - Vestdanmark'!I$3:I$482,'Resultater - Vestdanmark'!J$3:J$482)),'Resultater - Vestdanmark'!$F$3:$F$482,$A273,'Resultater - Vestdanmark'!H$3:H$482,"&lt;0"),0),-IF(A273="Halm",SUMIFS(IF(D273=År1,'Resultater - Østdanmark'!H$3:H$482,IF(D273=År2,'Resultater - Østdanmark'!I$3:I$482,'Resultater - Østdanmark'!J$3:J$482)),'Resultater - Østdanmark'!$F$3:$F$482,$A273,'Resultater - Østdanmark'!H$3:H$482,"&lt;0"),0))</f>
        <v>0</v>
      </c>
      <c r="I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5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7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204">
        <f t="shared" si="62"/>
        <v>0</v>
      </c>
      <c r="O273" s="195">
        <f t="shared" si="75"/>
        <v>0</v>
      </c>
      <c r="P273" s="205">
        <f t="shared" si="63"/>
        <v>0</v>
      </c>
      <c r="Q273" s="192">
        <f>IFERROR(VLOOKUP(A273,[1]Energiindhold!$A$2:$C$11,3,FALSE),IFERROR(VLOOKUP(A273,[1]Biogasudbytte!$A$2:$B$18,2,FALSE)*[1]Energiindhold!$C$10,0))*O273</f>
        <v>0</v>
      </c>
      <c r="R273" s="192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92">
        <f>IFERROR(VLOOKUP(A273,[1]Biogasudbytte!$A$2:$B$18,2,FALSE)*[1]Energiindhold!$C$10,0)*J273*IFERROR(VLOOKUP(A273,Biogasanlæg!$F$3:$G$8,2,FALSE),1)</f>
        <v>0</v>
      </c>
      <c r="T273" s="193">
        <f t="shared" si="64"/>
        <v>0</v>
      </c>
      <c r="U273" s="191">
        <f>O273*IFERROR(VLOOKUP(A273,[1]Tørstofindhold!A$2:B$24,2,FALSE),0)</f>
        <v>0</v>
      </c>
      <c r="V273" s="192">
        <f>IF(D273=År1,P273,SUM(O273,P273))*IFERROR(VLOOKUP(A273,[1]Tørstofindhold!A$2:B$24,2,FALSE),0)</f>
        <v>0</v>
      </c>
      <c r="W273" s="192">
        <f>J273*IFERROR(VLOOKUP(A273,[1]Tørstofindhold!A$2:B$24,2,FALSE),0)</f>
        <v>0</v>
      </c>
      <c r="X273" s="193">
        <f t="shared" si="65"/>
        <v>0</v>
      </c>
      <c r="Y273" s="171">
        <f t="shared" si="76"/>
        <v>0</v>
      </c>
      <c r="Z273" s="103">
        <f t="shared" si="77"/>
        <v>0</v>
      </c>
    </row>
    <row r="274" spans="1:26" x14ac:dyDescent="0.25">
      <c r="A274" s="194" t="str">
        <f t="shared" si="72"/>
        <v>Pil &amp; poppel</v>
      </c>
      <c r="B274" s="194" t="str">
        <f t="shared" si="73"/>
        <v>Vedmasse</v>
      </c>
      <c r="C274" s="194">
        <f>IF(COUNTIFS('Resultater - Danmark'!$D$3:$D$482,'Resultat-Produktion &amp; forbrug'!A274,'Resultater - Danmark'!$A$3:$A$482,"Til energi")+COUNTIFS('Resultater - Danmark'!$D$3:$D$482,'Resultat-Produktion &amp; forbrug'!A274,'Resultater - Danmark'!$A$3:$A$482,"Biogasanlæg")&gt;0,1,0)</f>
        <v>1</v>
      </c>
      <c r="D274" s="194">
        <f t="shared" si="74"/>
        <v>2050</v>
      </c>
      <c r="E274" s="192" t="s">
        <v>24</v>
      </c>
      <c r="F274" s="195">
        <f>IF(E274="Vestdanmark",SUMIFS(IF(D274=År1,'Resultater - Vestdanmark'!H$3:H$482,IF(D274=År2,'Resultater - Vestdanmark'!I$3:I$482,'Resultater - Vestdanmark'!J$3:J$482)),'Resultater - Vestdanmark'!$F$3:$F$482,$A274,IF(D274=År1,'Resultater - Vestdanmark'!H$3:H$482,IF(D274=År2,'Resultater - Vestdanmark'!I$3:I$482,'Resultater - Vestdanmark'!J$3:J$482)),"&gt;0"),SUMIFS(IF(D274=År1,'Resultater - Østdanmark'!H$3:H$482,IF(D274=År2,'Resultater - Østdanmark'!I$3:I$482,'Resultater - Østdanmark'!J$3:J$482)),'Resultater - Østdanmark'!$F$3:$F$482,$A274,IF(D274=År1,'Resultater - Østdanmark'!H$3:H$482,IF(D274=År2,'Resultater - Østdanmark'!I$3:I$482,'Resultater - Østdanmark'!J$3:J$482)),"&gt;0"))</f>
        <v>0</v>
      </c>
      <c r="G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92">
        <f>IF(E274="Vestdanmark",-IF(A274="Halm",SUMIFS(IF(D274=År1,'Resultater - Vestdanmark'!H$3:H$482,IF(D274=År2,'Resultater - Vestdanmark'!I$3:I$482,'Resultater - Vestdanmark'!J$3:J$482)),'Resultater - Vestdanmark'!$F$3:$F$482,$A274,'Resultater - Vestdanmark'!H$3:H$482,"&lt;0"),0),-IF(A274="Halm",SUMIFS(IF(D274=År1,'Resultater - Østdanmark'!H$3:H$482,IF(D274=År2,'Resultater - Østdanmark'!I$3:I$482,'Resultater - Østdanmark'!J$3:J$482)),'Resultater - Østdanmark'!$F$3:$F$482,$A274,'Resultater - Østdanmark'!H$3:H$482,"&lt;0"),0))</f>
        <v>0</v>
      </c>
      <c r="I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5" t="e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#REF!</v>
      </c>
      <c r="M274" s="157" t="e">
        <f>SUMIFS('Forbrug af biomasse'!E:E,'Forbrug af biomasse'!C:C,'Resultat-Produktion &amp; forbrug'!$A274,'Forbrug af biomasse'!D:D,'Resultat-Produktion &amp; forbrug'!$D274,'Forbrug af biomasse'!G:G,1,'Forbrug af biomasse'!B:B,$E274)</f>
        <v>#REF!</v>
      </c>
      <c r="N274" s="204" t="e">
        <f t="shared" si="62"/>
        <v>#REF!</v>
      </c>
      <c r="O274" s="195" t="e">
        <f t="shared" si="75"/>
        <v>#REF!</v>
      </c>
      <c r="P274" s="205" t="e">
        <f t="shared" si="63"/>
        <v>#REF!</v>
      </c>
      <c r="Q274" s="192" t="e">
        <f>IFERROR(VLOOKUP(A274,[1]Energiindhold!$A$2:$C$11,3,FALSE),IFERROR(VLOOKUP(A274,[1]Biogasudbytte!$A$2:$B$18,2,FALSE)*[1]Energiindhold!$C$10,0))*O274</f>
        <v>#REF!</v>
      </c>
      <c r="R274" s="192" t="e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#REF!</v>
      </c>
      <c r="S274" s="192">
        <f>IFERROR(VLOOKUP(A274,[1]Biogasudbytte!$A$2:$B$18,2,FALSE)*[1]Energiindhold!$C$10,0)*J274*IFERROR(VLOOKUP(A274,Biogasanlæg!$F$3:$G$8,2,FALSE),1)</f>
        <v>0</v>
      </c>
      <c r="T274" s="193" t="e">
        <f t="shared" si="64"/>
        <v>#REF!</v>
      </c>
      <c r="U274" s="191" t="e">
        <f>O274*IFERROR(VLOOKUP(A274,[1]Tørstofindhold!A$2:B$24,2,FALSE),0)</f>
        <v>#REF!</v>
      </c>
      <c r="V274" s="192" t="e">
        <f>IF(D274=År1,P274,SUM(O274,P274))*IFERROR(VLOOKUP(A274,[1]Tørstofindhold!A$2:B$24,2,FALSE),0)</f>
        <v>#REF!</v>
      </c>
      <c r="W274" s="192">
        <f>J274*IFERROR(VLOOKUP(A274,[1]Tørstofindhold!A$2:B$24,2,FALSE),0)</f>
        <v>0</v>
      </c>
      <c r="X274" s="193" t="e">
        <f t="shared" si="65"/>
        <v>#REF!</v>
      </c>
      <c r="Y274" s="171" t="e">
        <f t="shared" si="76"/>
        <v>#REF!</v>
      </c>
      <c r="Z274" s="103" t="e">
        <f t="shared" si="77"/>
        <v>#REF!</v>
      </c>
    </row>
    <row r="275" spans="1:26" x14ac:dyDescent="0.25">
      <c r="A275" s="194" t="str">
        <f t="shared" ref="A275:A276" si="78">A227</f>
        <v>Pyrolysegas</v>
      </c>
      <c r="B275" s="194" t="str">
        <f t="shared" ref="B275:B276" si="79">IF(B227&lt;&gt;"",B227,"")</f>
        <v>Pyrolyseprodukter</v>
      </c>
      <c r="C275" s="194">
        <f>IF(COUNTIFS('Resultater - Danmark'!$D$3:$D$482,'Resultat-Produktion &amp; forbrug'!A275,'Resultater - Danmark'!$A$3:$A$482,"Til energi")+COUNTIFS('Resultater - Danmark'!$D$3:$D$482,'Resultat-Produktion &amp; forbrug'!A275,'Resultater - Danmark'!$A$3:$A$482,"Biogasanlæg")&gt;0,1,0)</f>
        <v>1</v>
      </c>
      <c r="D275" s="194">
        <f t="shared" si="74"/>
        <v>2050</v>
      </c>
      <c r="E275" s="192" t="s">
        <v>24</v>
      </c>
      <c r="F275" s="195">
        <f>IF(E275="Vestdanmark",SUMIFS(IF(D275=År1,'Resultater - Vestdanmark'!H$3:H$482,IF(D275=År2,'Resultater - Vestdanmark'!I$3:I$482,'Resultater - Vestdanmark'!J$3:J$482)),'Resultater - Vestdanmark'!$F$3:$F$482,$A275,IF(D275=År1,'Resultater - Vestdanmark'!H$3:H$482,IF(D275=År2,'Resultater - Vestdanmark'!I$3:I$482,'Resultater - Vestdanmark'!J$3:J$482)),"&gt;0"),SUMIFS(IF(D275=År1,'Resultater - Østdanmark'!H$3:H$482,IF(D275=År2,'Resultater - Østdanmark'!I$3:I$482,'Resultater - Østdanmark'!J$3:J$482)),'Resultater - Østdanmark'!$F$3:$F$482,$A275,IF(D275=År1,'Resultater - Østdanmark'!H$3:H$482,IF(D275=År2,'Resultater - Østdanmark'!I$3:I$482,'Resultater - Østdanmark'!J$3:J$482)),"&gt;0"))</f>
        <v>0</v>
      </c>
      <c r="G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92">
        <f>IF(E275="Vestdanmark",-IF(A275="Halm",SUMIFS(IF(D275=År1,'Resultater - Vestdanmark'!H$3:H$482,IF(D275=År2,'Resultater - Vestdanmark'!I$3:I$482,'Resultater - Vestdanmark'!J$3:J$482)),'Resultater - Vestdanmark'!$F$3:$F$482,$A275,'Resultater - Vestdanmark'!H$3:H$482,"&lt;0"),0),-IF(A275="Halm",SUMIFS(IF(D275=År1,'Resultater - Østdanmark'!H$3:H$482,IF(D275=År2,'Resultater - Østdanmark'!I$3:I$482,'Resultater - Østdanmark'!J$3:J$482)),'Resultater - Østdanmark'!$F$3:$F$482,$A275,'Resultater - Østdanmark'!H$3:H$482,"&lt;0"),0))</f>
        <v>0</v>
      </c>
      <c r="I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5" t="e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#REF!</v>
      </c>
      <c r="M275" s="157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204" t="e">
        <f t="shared" ref="N275:N276" si="80">F275-SUM(G275:M275)</f>
        <v>#REF!</v>
      </c>
      <c r="O275" s="195" t="e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#REF!</v>
      </c>
      <c r="P275" s="205" t="e">
        <f t="shared" ref="P275:P276" si="82">SUM(J275,L275)</f>
        <v>#REF!</v>
      </c>
      <c r="Q275" s="192" t="e">
        <f>IFERROR(VLOOKUP(A275,[1]Energiindhold!$A$2:$C$11,3,FALSE),IFERROR(VLOOKUP(A275,[1]Biogasudbytte!$A$2:$B$18,2,FALSE)*[1]Energiindhold!$C$10,0))*O275</f>
        <v>#REF!</v>
      </c>
      <c r="R275" s="192" t="e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#REF!</v>
      </c>
      <c r="S275" s="192">
        <f>IFERROR(VLOOKUP(A275,[1]Biogasudbytte!$A$2:$B$18,2,FALSE)*[1]Energiindhold!$C$10,0)*J275*IFERROR(VLOOKUP(A275,Biogasanlæg!$F$3:$G$8,2,FALSE),1)</f>
        <v>0</v>
      </c>
      <c r="T275" s="193" t="e">
        <f t="shared" ref="T275:T276" si="83">R275-S275</f>
        <v>#REF!</v>
      </c>
      <c r="U275" s="191" t="e">
        <f>O275*IFERROR(VLOOKUP(A275,[1]Tørstofindhold!A$2:B$24,2,FALSE),0)</f>
        <v>#REF!</v>
      </c>
      <c r="V275" s="192" t="e">
        <f>IF(D275=År1,P275,SUM(O275,P275))*IFERROR(VLOOKUP(A275,[1]Tørstofindhold!A$2:B$24,2,FALSE),0)</f>
        <v>#REF!</v>
      </c>
      <c r="W275" s="192">
        <f>J275*IFERROR(VLOOKUP(A275,[1]Tørstofindhold!A$2:B$24,2,FALSE),0)</f>
        <v>0</v>
      </c>
      <c r="X275" s="193" t="e">
        <f t="shared" ref="X275:X276" si="84">V275-W275</f>
        <v>#REF!</v>
      </c>
      <c r="Y275" s="171" t="e">
        <f t="shared" ref="Y275:Y276" si="85">IF(SUMIFS($N$3:$N$290,$A$3:$A$290,A275,$D$3:$D$290,D275)&lt;0,1,0)</f>
        <v>#REF!</v>
      </c>
      <c r="Z275" s="103" t="e">
        <f t="shared" ref="Z275:Z276" si="86">IF(SUMIFS($N$3:$N$290,$A$3:$A$290,A275,$D$3:$D$290,D275)&gt;0,1,0)</f>
        <v>#REF!</v>
      </c>
    </row>
    <row r="276" spans="1:26" x14ac:dyDescent="0.25">
      <c r="A276" s="194" t="str">
        <f t="shared" si="78"/>
        <v>Pyrolyseolie</v>
      </c>
      <c r="B276" s="194" t="str">
        <f t="shared" si="79"/>
        <v>Pyrolyseprodukter</v>
      </c>
      <c r="C276" s="194">
        <f>IF(COUNTIFS('Resultater - Danmark'!$D$3:$D$482,'Resultat-Produktion &amp; forbrug'!A276,'Resultater - Danmark'!$A$3:$A$482,"Til energi")+COUNTIFS('Resultater - Danmark'!$D$3:$D$482,'Resultat-Produktion &amp; forbrug'!A276,'Resultater - Danmark'!$A$3:$A$482,"Biogasanlæg")&gt;0,1,0)</f>
        <v>1</v>
      </c>
      <c r="D276" s="194">
        <f t="shared" si="74"/>
        <v>2050</v>
      </c>
      <c r="E276" s="192" t="s">
        <v>24</v>
      </c>
      <c r="F276" s="195">
        <f>IF(E276="Vestdanmark",SUMIFS(IF(D276=År1,'Resultater - Vestdanmark'!H$3:H$482,IF(D276=År2,'Resultater - Vestdanmark'!I$3:I$482,'Resultater - Vestdanmark'!J$3:J$482)),'Resultater - Vestdanmark'!$F$3:$F$482,$A276,IF(D276=År1,'Resultater - Vestdanmark'!H$3:H$482,IF(D276=År2,'Resultater - Vestdanmark'!I$3:I$482,'Resultater - Vestdanmark'!J$3:J$482)),"&gt;0"),SUMIFS(IF(D276=År1,'Resultater - Østdanmark'!H$3:H$482,IF(D276=År2,'Resultater - Østdanmark'!I$3:I$482,'Resultater - Østdanmark'!J$3:J$482)),'Resultater - Østdanmark'!$F$3:$F$482,$A276,IF(D276=År1,'Resultater - Østdanmark'!H$3:H$482,IF(D276=År2,'Resultater - Østdanmark'!I$3:I$482,'Resultater - Østdanmark'!J$3:J$482)),"&gt;0"))</f>
        <v>0</v>
      </c>
      <c r="G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92">
        <f>IF(E276="Vestdanmark",-IF(A276="Halm",SUMIFS(IF(D276=År1,'Resultater - Vestdanmark'!H$3:H$482,IF(D276=År2,'Resultater - Vestdanmark'!I$3:I$482,'Resultater - Vestdanmark'!J$3:J$482)),'Resultater - Vestdanmark'!$F$3:$F$482,$A276,'Resultater - Vestdanmark'!H$3:H$482,"&lt;0"),0),-IF(A276="Halm",SUMIFS(IF(D276=År1,'Resultater - Østdanmark'!H$3:H$482,IF(D276=År2,'Resultater - Østdanmark'!I$3:I$482,'Resultater - Østdanmark'!J$3:J$482)),'Resultater - Østdanmark'!$F$3:$F$482,$A276,'Resultater - Østdanmark'!H$3:H$482,"&lt;0"),0))</f>
        <v>0</v>
      </c>
      <c r="I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5" t="e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#REF!</v>
      </c>
      <c r="M276" s="157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204" t="e">
        <f t="shared" si="80"/>
        <v>#REF!</v>
      </c>
      <c r="O276" s="195" t="e">
        <f t="shared" si="81"/>
        <v>#REF!</v>
      </c>
      <c r="P276" s="205" t="e">
        <f t="shared" si="82"/>
        <v>#REF!</v>
      </c>
      <c r="Q276" s="192" t="e">
        <f>IFERROR(VLOOKUP(A276,[1]Energiindhold!$A$2:$C$11,3,FALSE),IFERROR(VLOOKUP(A276,[1]Biogasudbytte!$A$2:$B$18,2,FALSE)*[1]Energiindhold!$C$10,0))*O276</f>
        <v>#REF!</v>
      </c>
      <c r="R276" s="192" t="e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#REF!</v>
      </c>
      <c r="S276" s="192">
        <f>IFERROR(VLOOKUP(A276,[1]Biogasudbytte!$A$2:$B$18,2,FALSE)*[1]Energiindhold!$C$10,0)*J276*IFERROR(VLOOKUP(A276,Biogasanlæg!$F$3:$G$8,2,FALSE),1)</f>
        <v>0</v>
      </c>
      <c r="T276" s="193" t="e">
        <f t="shared" si="83"/>
        <v>#REF!</v>
      </c>
      <c r="U276" s="191" t="e">
        <f>O276*IFERROR(VLOOKUP(A276,[1]Tørstofindhold!A$2:B$24,2,FALSE),0)</f>
        <v>#REF!</v>
      </c>
      <c r="V276" s="192" t="e">
        <f>IF(D276=År1,P276,SUM(O276,P276))*IFERROR(VLOOKUP(A276,[1]Tørstofindhold!A$2:B$24,2,FALSE),0)</f>
        <v>#REF!</v>
      </c>
      <c r="W276" s="192">
        <f>J276*IFERROR(VLOOKUP(A276,[1]Tørstofindhold!A$2:B$24,2,FALSE),0)</f>
        <v>0</v>
      </c>
      <c r="X276" s="193" t="e">
        <f t="shared" si="84"/>
        <v>#REF!</v>
      </c>
      <c r="Y276" s="171" t="e">
        <f t="shared" si="85"/>
        <v>#REF!</v>
      </c>
      <c r="Z276" s="103" t="e">
        <f t="shared" si="86"/>
        <v>#REF!</v>
      </c>
    </row>
    <row r="277" spans="1:26" x14ac:dyDescent="0.25">
      <c r="A277" s="194" t="str">
        <f t="shared" ref="A277:A290" si="87">A229</f>
        <v>Råmælk</v>
      </c>
      <c r="B277" s="194" t="str">
        <f t="shared" ref="B277:B290" si="88">IF(B229&lt;&gt;"",B229,"")</f>
        <v/>
      </c>
      <c r="C277" s="194">
        <f>IF(COUNTIFS('Resultater - Danmark'!$D$3:$D$482,'Resultat-Produktion &amp; forbrug'!A277,'Resultater - Danmark'!$A$3:$A$482,"Til energi")+COUNTIFS('Resultater - Danmark'!$D$3:$D$482,'Resultat-Produktion &amp; forbrug'!A277,'Resultater - Danmark'!$A$3:$A$482,"Biogasanlæg")&gt;0,1,0)</f>
        <v>0</v>
      </c>
      <c r="D277" s="194">
        <f t="shared" si="74"/>
        <v>2050</v>
      </c>
      <c r="E277" s="192" t="s">
        <v>24</v>
      </c>
      <c r="F277" s="195">
        <f>IF(E277="Vestdanmark",SUMIFS(IF(D277=År1,'Resultater - Vestdanmark'!H$3:H$482,IF(D277=År2,'Resultater - Vestdanmark'!I$3:I$482,'Resultater - Vestdanmark'!J$3:J$482)),'Resultater - Vestdanmark'!$F$3:$F$482,$A277,IF(D277=År1,'Resultater - Vestdanmark'!H$3:H$482,IF(D277=År2,'Resultater - Vestdanmark'!I$3:I$482,'Resultater - Vestdanmark'!J$3:J$482)),"&gt;0"),SUMIFS(IF(D277=År1,'Resultater - Østdanmark'!H$3:H$482,IF(D277=År2,'Resultater - Østdanmark'!I$3:I$482,'Resultater - Østdanmark'!J$3:J$482)),'Resultater - Østdanmark'!$F$3:$F$482,$A277,IF(D277=År1,'Resultater - Østdanmark'!H$3:H$482,IF(D277=År2,'Resultater - Østdanmark'!I$3:I$482,'Resultater - Østdanmark'!J$3:J$482)),"&gt;0"))</f>
        <v>0</v>
      </c>
      <c r="G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92">
        <f>IF(E277="Vestdanmark",-IF(A277="Halm",SUMIFS(IF(D277=År1,'Resultater - Vestdanmark'!H$3:H$482,IF(D277=År2,'Resultater - Vestdanmark'!I$3:I$482,'Resultater - Vestdanmark'!J$3:J$482)),'Resultater - Vestdanmark'!$F$3:$F$482,$A277,'Resultater - Vestdanmark'!H$3:H$482,"&lt;0"),0),-IF(A277="Halm",SUMIFS(IF(D277=År1,'Resultater - Østdanmark'!H$3:H$482,IF(D277=År2,'Resultater - Østdanmark'!I$3:I$482,'Resultater - Østdanmark'!J$3:J$482)),'Resultater - Østdanmark'!$F$3:$F$482,$A277,'Resultater - Østdanmark'!H$3:H$482,"&lt;0"),0))</f>
        <v>0</v>
      </c>
      <c r="I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5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7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204">
        <f t="shared" si="62"/>
        <v>0</v>
      </c>
      <c r="O277" s="195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5">
        <f t="shared" si="63"/>
        <v>0</v>
      </c>
      <c r="Q277" s="192">
        <f>IFERROR(VLOOKUP(A277,[1]Energiindhold!$A$2:$C$11,3,FALSE),IFERROR(VLOOKUP(A277,[1]Biogasudbytte!$A$2:$B$18,2,FALSE)*[1]Energiindhold!$C$10,0))*O277</f>
        <v>0</v>
      </c>
      <c r="R277" s="192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92">
        <f>IFERROR(VLOOKUP(A277,[1]Biogasudbytte!$A$2:$B$18,2,FALSE)*[1]Energiindhold!$C$10,0)*J277*IFERROR(VLOOKUP(A277,Biogasanlæg!$F$3:$G$8,2,FALSE),1)</f>
        <v>0</v>
      </c>
      <c r="T277" s="193">
        <f t="shared" si="64"/>
        <v>0</v>
      </c>
      <c r="U277" s="191">
        <f>O277*IFERROR(VLOOKUP(A277,[1]Tørstofindhold!A$2:B$24,2,FALSE),0)</f>
        <v>0</v>
      </c>
      <c r="V277" s="192">
        <f>IF(D277=År1,P277,SUM(O277,P277))*IFERROR(VLOOKUP(A277,[1]Tørstofindhold!A$2:B$24,2,FALSE),0)</f>
        <v>0</v>
      </c>
      <c r="W277" s="192">
        <f>J277*IFERROR(VLOOKUP(A277,[1]Tørstofindhold!A$2:B$24,2,FALSE),0)</f>
        <v>0</v>
      </c>
      <c r="X277" s="193">
        <f t="shared" si="65"/>
        <v>0</v>
      </c>
      <c r="Y277" s="171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0</v>
      </c>
    </row>
    <row r="278" spans="1:26" x14ac:dyDescent="0.25">
      <c r="A278" s="194" t="str">
        <f t="shared" si="87"/>
        <v>Raps</v>
      </c>
      <c r="B278" s="194" t="str">
        <f t="shared" si="88"/>
        <v/>
      </c>
      <c r="C278" s="194">
        <f>IF(COUNTIFS('Resultater - Danmark'!$D$3:$D$482,'Resultat-Produktion &amp; forbrug'!A278,'Resultater - Danmark'!$A$3:$A$482,"Til energi")+COUNTIFS('Resultater - Danmark'!$D$3:$D$482,'Resultat-Produktion &amp; forbrug'!A278,'Resultater - Danmark'!$A$3:$A$482,"Biogasanlæg")&gt;0,1,0)</f>
        <v>0</v>
      </c>
      <c r="D278" s="194">
        <f t="shared" si="74"/>
        <v>2050</v>
      </c>
      <c r="E278" s="192" t="s">
        <v>24</v>
      </c>
      <c r="F278" s="195">
        <f>IF(E278="Vestdanmark",SUMIFS(IF(D278=År1,'Resultater - Vestdanmark'!H$3:H$482,IF(D278=År2,'Resultater - Vestdanmark'!I$3:I$482,'Resultater - Vestdanmark'!J$3:J$482)),'Resultater - Vestdanmark'!$F$3:$F$482,$A278,IF(D278=År1,'Resultater - Vestdanmark'!H$3:H$482,IF(D278=År2,'Resultater - Vestdanmark'!I$3:I$482,'Resultater - Vestdanmark'!J$3:J$482)),"&gt;0"),SUMIFS(IF(D278=År1,'Resultater - Østdanmark'!H$3:H$482,IF(D278=År2,'Resultater - Østdanmark'!I$3:I$482,'Resultater - Østdanmark'!J$3:J$482)),'Resultater - Østdanmark'!$F$3:$F$482,$A278,IF(D278=År1,'Resultater - Østdanmark'!H$3:H$482,IF(D278=År2,'Resultater - Østdanmark'!I$3:I$482,'Resultater - Østdanmark'!J$3:J$482)),"&gt;0"))</f>
        <v>0</v>
      </c>
      <c r="G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92">
        <f>IF(E278="Vestdanmark",-IF(A278="Halm",SUMIFS(IF(D278=År1,'Resultater - Vestdanmark'!H$3:H$482,IF(D278=År2,'Resultater - Vestdanmark'!I$3:I$482,'Resultater - Vestdanmark'!J$3:J$482)),'Resultater - Vestdanmark'!$F$3:$F$482,$A278,'Resultater - Vestdanmark'!H$3:H$482,"&lt;0"),0),-IF(A278="Halm",SUMIFS(IF(D278=År1,'Resultater - Østdanmark'!H$3:H$482,IF(D278=År2,'Resultater - Østdanmark'!I$3:I$482,'Resultater - Østdanmark'!J$3:J$482)),'Resultater - Østdanmark'!$F$3:$F$482,$A278,'Resultater - Østdanmark'!H$3:H$482,"&lt;0"),0))</f>
        <v>0</v>
      </c>
      <c r="I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5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7" t="e">
        <f>SUMIFS('Forbrug af biomasse'!E:E,'Forbrug af biomasse'!C:C,'Resultat-Produktion &amp; forbrug'!$A278,'Forbrug af biomasse'!D:D,'Resultat-Produktion &amp; forbrug'!$D278,'Forbrug af biomasse'!G:G,1,'Forbrug af biomasse'!B:B,$E278)</f>
        <v>#REF!</v>
      </c>
      <c r="N278" s="204" t="e">
        <f t="shared" si="62"/>
        <v>#REF!</v>
      </c>
      <c r="O278" s="195">
        <f t="shared" si="89"/>
        <v>0</v>
      </c>
      <c r="P278" s="205">
        <f t="shared" si="63"/>
        <v>0</v>
      </c>
      <c r="Q278" s="192">
        <f>IFERROR(VLOOKUP(A278,[1]Energiindhold!$A$2:$C$11,3,FALSE),IFERROR(VLOOKUP(A278,[1]Biogasudbytte!$A$2:$B$18,2,FALSE)*[1]Energiindhold!$C$10,0))*O278</f>
        <v>0</v>
      </c>
      <c r="R278" s="192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92">
        <f>IFERROR(VLOOKUP(A278,[1]Biogasudbytte!$A$2:$B$18,2,FALSE)*[1]Energiindhold!$C$10,0)*J278*IFERROR(VLOOKUP(A278,Biogasanlæg!$F$3:$G$8,2,FALSE),1)</f>
        <v>0</v>
      </c>
      <c r="T278" s="193">
        <f t="shared" si="64"/>
        <v>0</v>
      </c>
      <c r="U278" s="191">
        <f>O278*IFERROR(VLOOKUP(A278,[1]Tørstofindhold!A$2:B$24,2,FALSE),0)</f>
        <v>0</v>
      </c>
      <c r="V278" s="192">
        <f>IF(D278=År1,P278,SUM(O278,P278))*IFERROR(VLOOKUP(A278,[1]Tørstofindhold!A$2:B$24,2,FALSE),0)</f>
        <v>0</v>
      </c>
      <c r="W278" s="192">
        <f>J278*IFERROR(VLOOKUP(A278,[1]Tørstofindhold!A$2:B$24,2,FALSE),0)</f>
        <v>0</v>
      </c>
      <c r="X278" s="193">
        <f t="shared" si="65"/>
        <v>0</v>
      </c>
      <c r="Y278" s="171" t="e">
        <f t="shared" si="90"/>
        <v>#REF!</v>
      </c>
      <c r="Z278" s="103" t="e">
        <f t="shared" si="91"/>
        <v>#REF!</v>
      </c>
    </row>
    <row r="279" spans="1:26" x14ac:dyDescent="0.25">
      <c r="A279" s="194" t="str">
        <f t="shared" si="87"/>
        <v>Rapskage</v>
      </c>
      <c r="B279" s="194" t="str">
        <f t="shared" si="88"/>
        <v/>
      </c>
      <c r="C279" s="194">
        <f>IF(COUNTIFS('Resultater - Danmark'!$D$3:$D$482,'Resultat-Produktion &amp; forbrug'!A279,'Resultater - Danmark'!$A$3:$A$482,"Til energi")+COUNTIFS('Resultater - Danmark'!$D$3:$D$482,'Resultat-Produktion &amp; forbrug'!A279,'Resultater - Danmark'!$A$3:$A$482,"Biogasanlæg")&gt;0,1,0)</f>
        <v>0</v>
      </c>
      <c r="D279" s="194">
        <f t="shared" si="74"/>
        <v>2050</v>
      </c>
      <c r="E279" s="192" t="s">
        <v>24</v>
      </c>
      <c r="F279" s="195">
        <f>IF(E279="Vestdanmark",SUMIFS(IF(D279=År1,'Resultater - Vestdanmark'!H$3:H$482,IF(D279=År2,'Resultater - Vestdanmark'!I$3:I$482,'Resultater - Vestdanmark'!J$3:J$482)),'Resultater - Vestdanmark'!$F$3:$F$482,$A279,IF(D279=År1,'Resultater - Vestdanmark'!H$3:H$482,IF(D279=År2,'Resultater - Vestdanmark'!I$3:I$482,'Resultater - Vestdanmark'!J$3:J$482)),"&gt;0"),SUMIFS(IF(D279=År1,'Resultater - Østdanmark'!H$3:H$482,IF(D279=År2,'Resultater - Østdanmark'!I$3:I$482,'Resultater - Østdanmark'!J$3:J$482)),'Resultater - Østdanmark'!$F$3:$F$482,$A279,IF(D279=År1,'Resultater - Østdanmark'!H$3:H$482,IF(D279=År2,'Resultater - Østdanmark'!I$3:I$482,'Resultater - Østdanmark'!J$3:J$482)),"&gt;0"))</f>
        <v>0</v>
      </c>
      <c r="G279" s="195" t="e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#REF!</v>
      </c>
      <c r="H279" s="192">
        <f>IF(E279="Vestdanmark",-IF(A279="Halm",SUMIFS(IF(D279=År1,'Resultater - Vestdanmark'!H$3:H$482,IF(D279=År2,'Resultater - Vestdanmark'!I$3:I$482,'Resultater - Vestdanmark'!J$3:J$482)),'Resultater - Vestdanmark'!$F$3:$F$482,$A279,'Resultater - Vestdanmark'!H$3:H$482,"&lt;0"),0),-IF(A279="Halm",SUMIFS(IF(D279=År1,'Resultater - Østdanmark'!H$3:H$482,IF(D279=År2,'Resultater - Østdanmark'!I$3:I$482,'Resultater - Østdanmark'!J$3:J$482)),'Resultater - Østdanmark'!$F$3:$F$482,$A279,'Resultater - Østdanmark'!H$3:H$482,"&lt;0"),0))</f>
        <v>0</v>
      </c>
      <c r="I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5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7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204" t="e">
        <f t="shared" si="62"/>
        <v>#REF!</v>
      </c>
      <c r="O279" s="195">
        <f t="shared" si="89"/>
        <v>0</v>
      </c>
      <c r="P279" s="205">
        <f t="shared" si="63"/>
        <v>0</v>
      </c>
      <c r="Q279" s="192">
        <f>IFERROR(VLOOKUP(A279,[1]Energiindhold!$A$2:$C$11,3,FALSE),IFERROR(VLOOKUP(A279,[1]Biogasudbytte!$A$2:$B$18,2,FALSE)*[1]Energiindhold!$C$10,0))*O279</f>
        <v>0</v>
      </c>
      <c r="R279" s="192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92">
        <f>IFERROR(VLOOKUP(A279,[1]Biogasudbytte!$A$2:$B$18,2,FALSE)*[1]Energiindhold!$C$10,0)*J279*IFERROR(VLOOKUP(A279,Biogasanlæg!$F$3:$G$8,2,FALSE),1)</f>
        <v>0</v>
      </c>
      <c r="T279" s="193">
        <f t="shared" si="64"/>
        <v>0</v>
      </c>
      <c r="U279" s="191">
        <f>O279*IFERROR(VLOOKUP(A279,[1]Tørstofindhold!A$2:B$24,2,FALSE),0)</f>
        <v>0</v>
      </c>
      <c r="V279" s="192">
        <f>IF(D279=År1,P279,SUM(O279,P279))*IFERROR(VLOOKUP(A279,[1]Tørstofindhold!A$2:B$24,2,FALSE),0)</f>
        <v>0</v>
      </c>
      <c r="W279" s="192">
        <f>J279*IFERROR(VLOOKUP(A279,[1]Tørstofindhold!A$2:B$24,2,FALSE),0)</f>
        <v>0</v>
      </c>
      <c r="X279" s="193">
        <f t="shared" si="65"/>
        <v>0</v>
      </c>
      <c r="Y279" s="171" t="e">
        <f t="shared" si="90"/>
        <v>#REF!</v>
      </c>
      <c r="Z279" s="103" t="e">
        <f t="shared" si="91"/>
        <v>#REF!</v>
      </c>
    </row>
    <row r="280" spans="1:26" x14ac:dyDescent="0.25">
      <c r="A280" s="194" t="str">
        <f t="shared" si="87"/>
        <v>Rapsolie</v>
      </c>
      <c r="B280" s="194" t="str">
        <f t="shared" si="88"/>
        <v>Rapsolie</v>
      </c>
      <c r="C280" s="194">
        <f>IF(COUNTIFS('Resultater - Danmark'!$D$3:$D$482,'Resultat-Produktion &amp; forbrug'!A280,'Resultater - Danmark'!$A$3:$A$482,"Til energi")+COUNTIFS('Resultater - Danmark'!$D$3:$D$482,'Resultat-Produktion &amp; forbrug'!A280,'Resultater - Danmark'!$A$3:$A$482,"Biogasanlæg")&gt;0,1,0)</f>
        <v>1</v>
      </c>
      <c r="D280" s="194">
        <f t="shared" si="74"/>
        <v>2050</v>
      </c>
      <c r="E280" s="192" t="s">
        <v>24</v>
      </c>
      <c r="F280" s="195">
        <f>IF(E280="Vestdanmark",SUMIFS(IF(D280=År1,'Resultater - Vestdanmark'!H$3:H$482,IF(D280=År2,'Resultater - Vestdanmark'!I$3:I$482,'Resultater - Vestdanmark'!J$3:J$482)),'Resultater - Vestdanmark'!$F$3:$F$482,$A280,IF(D280=År1,'Resultater - Vestdanmark'!H$3:H$482,IF(D280=År2,'Resultater - Vestdanmark'!I$3:I$482,'Resultater - Vestdanmark'!J$3:J$482)),"&gt;0"),SUMIFS(IF(D280=År1,'Resultater - Østdanmark'!H$3:H$482,IF(D280=År2,'Resultater - Østdanmark'!I$3:I$482,'Resultater - Østdanmark'!J$3:J$482)),'Resultater - Østdanmark'!$F$3:$F$482,$A280,IF(D280=År1,'Resultater - Østdanmark'!H$3:H$482,IF(D280=År2,'Resultater - Østdanmark'!I$3:I$482,'Resultater - Østdanmark'!J$3:J$482)),"&gt;0"))</f>
        <v>0</v>
      </c>
      <c r="G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92">
        <f>IF(E280="Vestdanmark",-IF(A280="Halm",SUMIFS(IF(D280=År1,'Resultater - Vestdanmark'!H$3:H$482,IF(D280=År2,'Resultater - Vestdanmark'!I$3:I$482,'Resultater - Vestdanmark'!J$3:J$482)),'Resultater - Vestdanmark'!$F$3:$F$482,$A280,'Resultater - Vestdanmark'!H$3:H$482,"&lt;0"),0),-IF(A280="Halm",SUMIFS(IF(D280=År1,'Resultater - Østdanmark'!H$3:H$482,IF(D280=År2,'Resultater - Østdanmark'!I$3:I$482,'Resultater - Østdanmark'!J$3:J$482)),'Resultater - Østdanmark'!$F$3:$F$482,$A280,'Resultater - Østdanmark'!H$3:H$482,"&lt;0"),0))</f>
        <v>0</v>
      </c>
      <c r="I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5" t="e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#REF!</v>
      </c>
      <c r="M280" s="157" t="e">
        <f>SUMIFS('Forbrug af biomasse'!E:E,'Forbrug af biomasse'!C:C,'Resultat-Produktion &amp; forbrug'!$A280,'Forbrug af biomasse'!D:D,'Resultat-Produktion &amp; forbrug'!$D280,'Forbrug af biomasse'!G:G,1,'Forbrug af biomasse'!B:B,$E280)</f>
        <v>#REF!</v>
      </c>
      <c r="N280" s="204" t="e">
        <f t="shared" si="62"/>
        <v>#REF!</v>
      </c>
      <c r="O280" s="195" t="e">
        <f t="shared" si="89"/>
        <v>#REF!</v>
      </c>
      <c r="P280" s="205" t="e">
        <f t="shared" si="63"/>
        <v>#REF!</v>
      </c>
      <c r="Q280" s="192" t="e">
        <f>IFERROR(VLOOKUP(A280,[1]Energiindhold!$A$2:$C$11,3,FALSE),IFERROR(VLOOKUP(A280,[1]Biogasudbytte!$A$2:$B$18,2,FALSE)*[1]Energiindhold!$C$10,0))*O280</f>
        <v>#REF!</v>
      </c>
      <c r="R280" s="192" t="e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#REF!</v>
      </c>
      <c r="S280" s="192">
        <f>IFERROR(VLOOKUP(A280,[1]Biogasudbytte!$A$2:$B$18,2,FALSE)*[1]Energiindhold!$C$10,0)*J280*IFERROR(VLOOKUP(A280,Biogasanlæg!$F$3:$G$8,2,FALSE),1)</f>
        <v>0</v>
      </c>
      <c r="T280" s="193" t="e">
        <f t="shared" si="64"/>
        <v>#REF!</v>
      </c>
      <c r="U280" s="191" t="e">
        <f>O280*IFERROR(VLOOKUP(A280,[1]Tørstofindhold!A$2:B$24,2,FALSE),0)</f>
        <v>#REF!</v>
      </c>
      <c r="V280" s="192" t="e">
        <f>IF(D280=År1,P280,SUM(O280,P280))*IFERROR(VLOOKUP(A280,[1]Tørstofindhold!A$2:B$24,2,FALSE),0)</f>
        <v>#REF!</v>
      </c>
      <c r="W280" s="192">
        <f>J280*IFERROR(VLOOKUP(A280,[1]Tørstofindhold!A$2:B$24,2,FALSE),0)</f>
        <v>0</v>
      </c>
      <c r="X280" s="193" t="e">
        <f t="shared" si="65"/>
        <v>#REF!</v>
      </c>
      <c r="Y280" s="171" t="e">
        <f t="shared" si="90"/>
        <v>#REF!</v>
      </c>
      <c r="Z280" s="103" t="e">
        <f t="shared" si="91"/>
        <v>#REF!</v>
      </c>
    </row>
    <row r="281" spans="1:26" x14ac:dyDescent="0.25">
      <c r="A281" s="194" t="str">
        <f t="shared" si="87"/>
        <v>Roer</v>
      </c>
      <c r="B281" s="194" t="str">
        <f t="shared" si="88"/>
        <v>Græs og urter</v>
      </c>
      <c r="C281" s="194">
        <f>IF(COUNTIFS('Resultater - Danmark'!$D$3:$D$482,'Resultat-Produktion &amp; forbrug'!A281,'Resultater - Danmark'!$A$3:$A$482,"Til energi")+COUNTIFS('Resultater - Danmark'!$D$3:$D$482,'Resultat-Produktion &amp; forbrug'!A281,'Resultater - Danmark'!$A$3:$A$482,"Biogasanlæg")&gt;0,1,0)</f>
        <v>1</v>
      </c>
      <c r="D281" s="194">
        <f t="shared" si="74"/>
        <v>2050</v>
      </c>
      <c r="E281" s="192" t="s">
        <v>24</v>
      </c>
      <c r="F281" s="195">
        <f>IF(E281="Vestdanmark",SUMIFS(IF(D281=År1,'Resultater - Vestdanmark'!H$3:H$482,IF(D281=År2,'Resultater - Vestdanmark'!I$3:I$482,'Resultater - Vestdanmark'!J$3:J$482)),'Resultater - Vestdanmark'!$F$3:$F$482,$A281,IF(D281=År1,'Resultater - Vestdanmark'!H$3:H$482,IF(D281=År2,'Resultater - Vestdanmark'!I$3:I$482,'Resultater - Vestdanmark'!J$3:J$482)),"&gt;0"),SUMIFS(IF(D281=År1,'Resultater - Østdanmark'!H$3:H$482,IF(D281=År2,'Resultater - Østdanmark'!I$3:I$482,'Resultater - Østdanmark'!J$3:J$482)),'Resultater - Østdanmark'!$F$3:$F$482,$A281,IF(D281=År1,'Resultater - Østdanmark'!H$3:H$482,IF(D281=År2,'Resultater - Østdanmark'!I$3:I$482,'Resultater - Østdanmark'!J$3:J$482)),"&gt;0"))</f>
        <v>0</v>
      </c>
      <c r="G281" s="195" t="e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#REF!</v>
      </c>
      <c r="H281" s="192">
        <f>IF(E281="Vestdanmark",-IF(A281="Halm",SUMIFS(IF(D281=År1,'Resultater - Vestdanmark'!H$3:H$482,IF(D281=År2,'Resultater - Vestdanmark'!I$3:I$482,'Resultater - Vestdanmark'!J$3:J$482)),'Resultater - Vestdanmark'!$F$3:$F$482,$A281,'Resultater - Vestdanmark'!H$3:H$482,"&lt;0"),0),-IF(A281="Halm",SUMIFS(IF(D281=År1,'Resultater - Østdanmark'!H$3:H$482,IF(D281=År2,'Resultater - Østdanmark'!I$3:I$482,'Resultater - Østdanmark'!J$3:J$482)),'Resultater - Østdanmark'!$F$3:$F$482,$A281,'Resultater - Østdanmark'!H$3:H$482,"&lt;0"),0))</f>
        <v>0</v>
      </c>
      <c r="I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5" t="e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#REF!</v>
      </c>
      <c r="K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5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7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204" t="e">
        <f t="shared" si="62"/>
        <v>#REF!</v>
      </c>
      <c r="O281" s="195" t="e">
        <f t="shared" si="89"/>
        <v>#REF!</v>
      </c>
      <c r="P281" s="205" t="e">
        <f t="shared" si="63"/>
        <v>#REF!</v>
      </c>
      <c r="Q281" s="192" t="e">
        <f>IFERROR(VLOOKUP(A281,[1]Energiindhold!$A$2:$C$11,3,FALSE),IFERROR(VLOOKUP(A281,[1]Biogasudbytte!$A$2:$B$18,2,FALSE)*[1]Energiindhold!$C$10,0))*O281</f>
        <v>#REF!</v>
      </c>
      <c r="R281" s="192" t="e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#REF!</v>
      </c>
      <c r="S281" s="192" t="e">
        <f>IFERROR(VLOOKUP(A281,[1]Biogasudbytte!$A$2:$B$18,2,FALSE)*[1]Energiindhold!$C$10,0)*J281*IFERROR(VLOOKUP(A281,Biogasanlæg!$F$3:$G$8,2,FALSE),1)</f>
        <v>#REF!</v>
      </c>
      <c r="T281" s="193" t="e">
        <f t="shared" si="64"/>
        <v>#REF!</v>
      </c>
      <c r="U281" s="191" t="e">
        <f>O281*IFERROR(VLOOKUP(A281,[1]Tørstofindhold!A$2:B$24,2,FALSE),0)</f>
        <v>#REF!</v>
      </c>
      <c r="V281" s="192" t="e">
        <f>IF(D281=År1,P281,SUM(O281,P281))*IFERROR(VLOOKUP(A281,[1]Tørstofindhold!A$2:B$24,2,FALSE),0)</f>
        <v>#REF!</v>
      </c>
      <c r="W281" s="192" t="e">
        <f>J281*IFERROR(VLOOKUP(A281,[1]Tørstofindhold!A$2:B$24,2,FALSE),0)</f>
        <v>#REF!</v>
      </c>
      <c r="X281" s="193" t="e">
        <f t="shared" si="65"/>
        <v>#REF!</v>
      </c>
      <c r="Y281" s="171" t="e">
        <f t="shared" si="90"/>
        <v>#REF!</v>
      </c>
      <c r="Z281" s="103" t="e">
        <f t="shared" si="91"/>
        <v>#REF!</v>
      </c>
    </row>
    <row r="282" spans="1:26" x14ac:dyDescent="0.25">
      <c r="A282" s="194" t="str">
        <f t="shared" si="87"/>
        <v>Slagteriaffald til andet</v>
      </c>
      <c r="B282" s="194" t="str">
        <f t="shared" si="88"/>
        <v/>
      </c>
      <c r="C282" s="194">
        <f>IF(COUNTIFS('Resultater - Danmark'!$D$3:$D$482,'Resultat-Produktion &amp; forbrug'!A282,'Resultater - Danmark'!$A$3:$A$482,"Til energi")+COUNTIFS('Resultater - Danmark'!$D$3:$D$482,'Resultat-Produktion &amp; forbrug'!A282,'Resultater - Danmark'!$A$3:$A$482,"Biogasanlæg")&gt;0,1,0)</f>
        <v>0</v>
      </c>
      <c r="D282" s="194">
        <f t="shared" ref="D282:D290" si="92">År3</f>
        <v>2050</v>
      </c>
      <c r="E282" s="192" t="s">
        <v>24</v>
      </c>
      <c r="F282" s="195">
        <f>IF(E282="Vestdanmark",SUMIFS(IF(D282=År1,'Resultater - Vestdanmark'!H$3:H$482,IF(D282=År2,'Resultater - Vestdanmark'!I$3:I$482,'Resultater - Vestdanmark'!J$3:J$482)),'Resultater - Vestdanmark'!$F$3:$F$482,$A282,IF(D282=År1,'Resultater - Vestdanmark'!H$3:H$482,IF(D282=År2,'Resultater - Vestdanmark'!I$3:I$482,'Resultater - Vestdanmark'!J$3:J$482)),"&gt;0"),SUMIFS(IF(D282=År1,'Resultater - Østdanmark'!H$3:H$482,IF(D282=År2,'Resultater - Østdanmark'!I$3:I$482,'Resultater - Østdanmark'!J$3:J$482)),'Resultater - Østdanmark'!$F$3:$F$482,$A282,IF(D282=År1,'Resultater - Østdanmark'!H$3:H$482,IF(D282=År2,'Resultater - Østdanmark'!I$3:I$482,'Resultater - Østdanmark'!J$3:J$482)),"&gt;0"))</f>
        <v>0</v>
      </c>
      <c r="G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92">
        <f>IF(E282="Vestdanmark",-IF(A282="Halm",SUMIFS(IF(D282=År1,'Resultater - Vestdanmark'!H$3:H$482,IF(D282=År2,'Resultater - Vestdanmark'!I$3:I$482,'Resultater - Vestdanmark'!J$3:J$482)),'Resultater - Vestdanmark'!$F$3:$F$482,$A282,'Resultater - Vestdanmark'!H$3:H$482,"&lt;0"),0),-IF(A282="Halm",SUMIFS(IF(D282=År1,'Resultater - Østdanmark'!H$3:H$482,IF(D282=År2,'Resultater - Østdanmark'!I$3:I$482,'Resultater - Østdanmark'!J$3:J$482)),'Resultater - Østdanmark'!$F$3:$F$482,$A282,'Resultater - Østdanmark'!H$3:H$482,"&lt;0"),0))</f>
        <v>0</v>
      </c>
      <c r="I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5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7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204">
        <f t="shared" ref="N282:N290" si="93">F282-SUM(G282:M282)</f>
        <v>0</v>
      </c>
      <c r="O282" s="195">
        <f t="shared" si="89"/>
        <v>0</v>
      </c>
      <c r="P282" s="205">
        <f t="shared" ref="P282:P290" si="94">SUM(J282,L282)</f>
        <v>0</v>
      </c>
      <c r="Q282" s="192">
        <f>IFERROR(VLOOKUP(A282,[1]Energiindhold!$A$2:$C$11,3,FALSE),IFERROR(VLOOKUP(A282,[1]Biogasudbytte!$A$2:$B$18,2,FALSE)*[1]Energiindhold!$C$10,0))*O282</f>
        <v>0</v>
      </c>
      <c r="R282" s="192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92">
        <f>IFERROR(VLOOKUP(A282,[1]Biogasudbytte!$A$2:$B$18,2,FALSE)*[1]Energiindhold!$C$10,0)*J282*IFERROR(VLOOKUP(A282,Biogasanlæg!$F$3:$G$8,2,FALSE),1)</f>
        <v>0</v>
      </c>
      <c r="T282" s="193">
        <f t="shared" ref="T282:T290" si="95">R282-S282</f>
        <v>0</v>
      </c>
      <c r="U282" s="191">
        <f>O282*IFERROR(VLOOKUP(A282,[1]Tørstofindhold!A$2:B$24,2,FALSE),0)</f>
        <v>0</v>
      </c>
      <c r="V282" s="192">
        <f>IF(D282=År1,P282,SUM(O282,P282))*IFERROR(VLOOKUP(A282,[1]Tørstofindhold!A$2:B$24,2,FALSE),0)</f>
        <v>0</v>
      </c>
      <c r="W282" s="192">
        <f>J282*IFERROR(VLOOKUP(A282,[1]Tørstofindhold!A$2:B$24,2,FALSE),0)</f>
        <v>0</v>
      </c>
      <c r="X282" s="193">
        <f t="shared" ref="X282:X290" si="96">V282-W282</f>
        <v>0</v>
      </c>
      <c r="Y282" s="171">
        <f t="shared" si="90"/>
        <v>0</v>
      </c>
      <c r="Z282" s="103">
        <f t="shared" si="91"/>
        <v>0</v>
      </c>
    </row>
    <row r="283" spans="1:26" x14ac:dyDescent="0.25">
      <c r="A283" s="194" t="str">
        <f t="shared" si="87"/>
        <v>Slagteriaffald til foder</v>
      </c>
      <c r="B283" s="194" t="str">
        <f t="shared" si="88"/>
        <v/>
      </c>
      <c r="C283" s="194">
        <f>IF(COUNTIFS('Resultater - Danmark'!$D$3:$D$482,'Resultat-Produktion &amp; forbrug'!A283,'Resultater - Danmark'!$A$3:$A$482,"Til energi")+COUNTIFS('Resultater - Danmark'!$D$3:$D$482,'Resultat-Produktion &amp; forbrug'!A283,'Resultater - Danmark'!$A$3:$A$482,"Biogasanlæg")&gt;0,1,0)</f>
        <v>0</v>
      </c>
      <c r="D283" s="194">
        <f t="shared" si="92"/>
        <v>2050</v>
      </c>
      <c r="E283" s="192" t="s">
        <v>24</v>
      </c>
      <c r="F283" s="195">
        <f>IF(E283="Vestdanmark",SUMIFS(IF(D283=År1,'Resultater - Vestdanmark'!H$3:H$482,IF(D283=År2,'Resultater - Vestdanmark'!I$3:I$482,'Resultater - Vestdanmark'!J$3:J$482)),'Resultater - Vestdanmark'!$F$3:$F$482,$A283,IF(D283=År1,'Resultater - Vestdanmark'!H$3:H$482,IF(D283=År2,'Resultater - Vestdanmark'!I$3:I$482,'Resultater - Vestdanmark'!J$3:J$482)),"&gt;0"),SUMIFS(IF(D283=År1,'Resultater - Østdanmark'!H$3:H$482,IF(D283=År2,'Resultater - Østdanmark'!I$3:I$482,'Resultater - Østdanmark'!J$3:J$482)),'Resultater - Østdanmark'!$F$3:$F$482,$A283,IF(D283=År1,'Resultater - Østdanmark'!H$3:H$482,IF(D283=År2,'Resultater - Østdanmark'!I$3:I$482,'Resultater - Østdanmark'!J$3:J$482)),"&gt;0"))</f>
        <v>0</v>
      </c>
      <c r="G283" s="195" t="e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#REF!</v>
      </c>
      <c r="H283" s="192">
        <f>IF(E283="Vestdanmark",-IF(A283="Halm",SUMIFS(IF(D283=År1,'Resultater - Vestdanmark'!H$3:H$482,IF(D283=År2,'Resultater - Vestdanmark'!I$3:I$482,'Resultater - Vestdanmark'!J$3:J$482)),'Resultater - Vestdanmark'!$F$3:$F$482,$A283,'Resultater - Vestdanmark'!H$3:H$482,"&lt;0"),0),-IF(A283="Halm",SUMIFS(IF(D283=År1,'Resultater - Østdanmark'!H$3:H$482,IF(D283=År2,'Resultater - Østdanmark'!I$3:I$482,'Resultater - Østdanmark'!J$3:J$482)),'Resultater - Østdanmark'!$F$3:$F$482,$A283,'Resultater - Østdanmark'!H$3:H$482,"&lt;0"),0))</f>
        <v>0</v>
      </c>
      <c r="I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5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7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204" t="e">
        <f t="shared" si="93"/>
        <v>#REF!</v>
      </c>
      <c r="O283" s="195">
        <f t="shared" si="89"/>
        <v>0</v>
      </c>
      <c r="P283" s="205">
        <f t="shared" si="94"/>
        <v>0</v>
      </c>
      <c r="Q283" s="192">
        <f>IFERROR(VLOOKUP(A283,[1]Energiindhold!$A$2:$C$11,3,FALSE),IFERROR(VLOOKUP(A283,[1]Biogasudbytte!$A$2:$B$18,2,FALSE)*[1]Energiindhold!$C$10,0))*O283</f>
        <v>0</v>
      </c>
      <c r="R283" s="192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92">
        <f>IFERROR(VLOOKUP(A283,[1]Biogasudbytte!$A$2:$B$18,2,FALSE)*[1]Energiindhold!$C$10,0)*J283*IFERROR(VLOOKUP(A283,Biogasanlæg!$F$3:$G$8,2,FALSE),1)</f>
        <v>0</v>
      </c>
      <c r="T283" s="193">
        <f t="shared" si="95"/>
        <v>0</v>
      </c>
      <c r="U283" s="191">
        <f>O283*IFERROR(VLOOKUP(A283,[1]Tørstofindhold!A$2:B$24,2,FALSE),0)</f>
        <v>0</v>
      </c>
      <c r="V283" s="192">
        <f>IF(D283=År1,P283,SUM(O283,P283))*IFERROR(VLOOKUP(A283,[1]Tørstofindhold!A$2:B$24,2,FALSE),0)</f>
        <v>0</v>
      </c>
      <c r="W283" s="192">
        <f>J283*IFERROR(VLOOKUP(A283,[1]Tørstofindhold!A$2:B$24,2,FALSE),0)</f>
        <v>0</v>
      </c>
      <c r="X283" s="193">
        <f t="shared" si="96"/>
        <v>0</v>
      </c>
      <c r="Y283" s="171" t="e">
        <f t="shared" si="90"/>
        <v>#REF!</v>
      </c>
      <c r="Z283" s="103" t="e">
        <f t="shared" si="91"/>
        <v>#REF!</v>
      </c>
    </row>
    <row r="284" spans="1:26" x14ac:dyDescent="0.25">
      <c r="A284" s="194" t="str">
        <f t="shared" si="87"/>
        <v>Spildevandsslam</v>
      </c>
      <c r="B284" s="194" t="str">
        <f t="shared" si="88"/>
        <v>Bionedbrydeligt affald</v>
      </c>
      <c r="C284" s="194">
        <f>IF(COUNTIFS('Resultater - Danmark'!$D$3:$D$482,'Resultat-Produktion &amp; forbrug'!A284,'Resultater - Danmark'!$A$3:$A$482,"Til energi")+COUNTIFS('Resultater - Danmark'!$D$3:$D$482,'Resultat-Produktion &amp; forbrug'!A284,'Resultater - Danmark'!$A$3:$A$482,"Biogasanlæg")&gt;0,1,0)</f>
        <v>1</v>
      </c>
      <c r="D284" s="194">
        <f t="shared" si="92"/>
        <v>2050</v>
      </c>
      <c r="E284" s="192" t="s">
        <v>24</v>
      </c>
      <c r="F284" s="195">
        <f>IF(E284="Vestdanmark",SUMIFS(IF(D284=År1,'Resultater - Vestdanmark'!H$3:H$482,IF(D284=År2,'Resultater - Vestdanmark'!I$3:I$482,'Resultater - Vestdanmark'!J$3:J$482)),'Resultater - Vestdanmark'!$F$3:$F$482,$A284,IF(D284=År1,'Resultater - Vestdanmark'!H$3:H$482,IF(D284=År2,'Resultater - Vestdanmark'!I$3:I$482,'Resultater - Vestdanmark'!J$3:J$482)),"&gt;0"),SUMIFS(IF(D284=År1,'Resultater - Østdanmark'!H$3:H$482,IF(D284=År2,'Resultater - Østdanmark'!I$3:I$482,'Resultater - Østdanmark'!J$3:J$482)),'Resultater - Østdanmark'!$F$3:$F$482,$A284,IF(D284=År1,'Resultater - Østdanmark'!H$3:H$482,IF(D284=År2,'Resultater - Østdanmark'!I$3:I$482,'Resultater - Østdanmark'!J$3:J$482)),"&gt;0"))</f>
        <v>0</v>
      </c>
      <c r="G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92">
        <f>IF(E284="Vestdanmark",-IF(A284="Halm",SUMIFS(IF(D284=År1,'Resultater - Vestdanmark'!H$3:H$482,IF(D284=År2,'Resultater - Vestdanmark'!I$3:I$482,'Resultater - Vestdanmark'!J$3:J$482)),'Resultater - Vestdanmark'!$F$3:$F$482,$A284,'Resultater - Vestdanmark'!H$3:H$482,"&lt;0"),0),-IF(A284="Halm",SUMIFS(IF(D284=År1,'Resultater - Østdanmark'!H$3:H$482,IF(D284=År2,'Resultater - Østdanmark'!I$3:I$482,'Resultater - Østdanmark'!J$3:J$482)),'Resultater - Østdanmark'!$F$3:$F$482,$A284,'Resultater - Østdanmark'!H$3:H$482,"&lt;0"),0))</f>
        <v>0</v>
      </c>
      <c r="I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5" t="e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#REF!</v>
      </c>
      <c r="K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5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7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204" t="e">
        <f t="shared" si="93"/>
        <v>#REF!</v>
      </c>
      <c r="O284" s="195" t="e">
        <f t="shared" si="89"/>
        <v>#REF!</v>
      </c>
      <c r="P284" s="205" t="e">
        <f t="shared" si="94"/>
        <v>#REF!</v>
      </c>
      <c r="Q284" s="192" t="e">
        <f>IFERROR(VLOOKUP(A284,[1]Energiindhold!$A$2:$C$11,3,FALSE),IFERROR(VLOOKUP(A284,[1]Biogasudbytte!$A$2:$B$18,2,FALSE)*[1]Energiindhold!$C$10,0))*O284</f>
        <v>#REF!</v>
      </c>
      <c r="R284" s="192" t="e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#REF!</v>
      </c>
      <c r="S284" s="192" t="e">
        <f>IFERROR(VLOOKUP(A284,[1]Biogasudbytte!$A$2:$B$18,2,FALSE)*[1]Energiindhold!$C$10,0)*J284*IFERROR(VLOOKUP(A284,Biogasanlæg!$F$3:$G$8,2,FALSE),1)</f>
        <v>#REF!</v>
      </c>
      <c r="T284" s="193" t="e">
        <f t="shared" si="95"/>
        <v>#REF!</v>
      </c>
      <c r="U284" s="191" t="e">
        <f>O284*IFERROR(VLOOKUP(A284,[1]Tørstofindhold!A$2:B$24,2,FALSE),0)</f>
        <v>#REF!</v>
      </c>
      <c r="V284" s="192" t="e">
        <f>IF(D284=År1,P284,SUM(O284,P284))*IFERROR(VLOOKUP(A284,[1]Tørstofindhold!A$2:B$24,2,FALSE),0)</f>
        <v>#REF!</v>
      </c>
      <c r="W284" s="192" t="e">
        <f>J284*IFERROR(VLOOKUP(A284,[1]Tørstofindhold!A$2:B$24,2,FALSE),0)</f>
        <v>#REF!</v>
      </c>
      <c r="X284" s="193" t="e">
        <f t="shared" si="96"/>
        <v>#REF!</v>
      </c>
      <c r="Y284" s="171" t="e">
        <f t="shared" si="90"/>
        <v>#REF!</v>
      </c>
      <c r="Z284" s="103" t="e">
        <f t="shared" si="91"/>
        <v>#REF!</v>
      </c>
    </row>
    <row r="285" spans="1:26" x14ac:dyDescent="0.25">
      <c r="A285" s="194" t="str">
        <f t="shared" si="87"/>
        <v>Svinegylle</v>
      </c>
      <c r="B285" s="194" t="str">
        <f t="shared" si="88"/>
        <v>Husdyrgødning</v>
      </c>
      <c r="C285" s="194">
        <f>IF(COUNTIFS('Resultater - Danmark'!$D$3:$D$482,'Resultat-Produktion &amp; forbrug'!A285,'Resultater - Danmark'!$A$3:$A$482,"Til energi")+COUNTIFS('Resultater - Danmark'!$D$3:$D$482,'Resultat-Produktion &amp; forbrug'!A285,'Resultater - Danmark'!$A$3:$A$482,"Biogasanlæg")&gt;0,1,0)</f>
        <v>1</v>
      </c>
      <c r="D285" s="194">
        <f t="shared" si="92"/>
        <v>2050</v>
      </c>
      <c r="E285" s="192" t="s">
        <v>24</v>
      </c>
      <c r="F285" s="195">
        <f>IF(E285="Vestdanmark",SUMIFS(IF(D285=År1,'Resultater - Vestdanmark'!H$3:H$482,IF(D285=År2,'Resultater - Vestdanmark'!I$3:I$482,'Resultater - Vestdanmark'!J$3:J$482)),'Resultater - Vestdanmark'!$F$3:$F$482,$A285,IF(D285=År1,'Resultater - Vestdanmark'!H$3:H$482,IF(D285=År2,'Resultater - Vestdanmark'!I$3:I$482,'Resultater - Vestdanmark'!J$3:J$482)),"&gt;0"),SUMIFS(IF(D285=År1,'Resultater - Østdanmark'!H$3:H$482,IF(D285=År2,'Resultater - Østdanmark'!I$3:I$482,'Resultater - Østdanmark'!J$3:J$482)),'Resultater - Østdanmark'!$F$3:$F$482,$A285,IF(D285=År1,'Resultater - Østdanmark'!H$3:H$482,IF(D285=År2,'Resultater - Østdanmark'!I$3:I$482,'Resultater - Østdanmark'!J$3:J$482)),"&gt;0"))</f>
        <v>0</v>
      </c>
      <c r="G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92">
        <f>IF(E285="Vestdanmark",-IF(A285="Halm",SUMIFS(IF(D285=År1,'Resultater - Vestdanmark'!H$3:H$482,IF(D285=År2,'Resultater - Vestdanmark'!I$3:I$482,'Resultater - Vestdanmark'!J$3:J$482)),'Resultater - Vestdanmark'!$F$3:$F$482,$A285,'Resultater - Vestdanmark'!H$3:H$482,"&lt;0"),0),-IF(A285="Halm",SUMIFS(IF(D285=År1,'Resultater - Østdanmark'!H$3:H$482,IF(D285=År2,'Resultater - Østdanmark'!I$3:I$482,'Resultater - Østdanmark'!J$3:J$482)),'Resultater - Østdanmark'!$F$3:$F$482,$A285,'Resultater - Østdanmark'!H$3:H$482,"&lt;0"),0))</f>
        <v>0</v>
      </c>
      <c r="I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5" t="e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#REF!</v>
      </c>
      <c r="K285" s="195" t="e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#REF!</v>
      </c>
      <c r="L285" s="195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7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204" t="e">
        <f t="shared" si="93"/>
        <v>#REF!</v>
      </c>
      <c r="O285" s="195" t="e">
        <f t="shared" si="89"/>
        <v>#REF!</v>
      </c>
      <c r="P285" s="205" t="e">
        <f t="shared" si="94"/>
        <v>#REF!</v>
      </c>
      <c r="Q285" s="192" t="e">
        <f>IFERROR(VLOOKUP(A285,[1]Energiindhold!$A$2:$C$11,3,FALSE),IFERROR(VLOOKUP(A285,[1]Biogasudbytte!$A$2:$B$18,2,FALSE)*[1]Energiindhold!$C$10,0))*O285</f>
        <v>#REF!</v>
      </c>
      <c r="R285" s="192" t="e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#REF!</v>
      </c>
      <c r="S285" s="192" t="e">
        <f>IFERROR(VLOOKUP(A285,[1]Biogasudbytte!$A$2:$B$18,2,FALSE)*[1]Energiindhold!$C$10,0)*J285*IFERROR(VLOOKUP(A285,Biogasanlæg!$F$3:$G$8,2,FALSE),1)</f>
        <v>#REF!</v>
      </c>
      <c r="T285" s="193" t="e">
        <f t="shared" si="95"/>
        <v>#REF!</v>
      </c>
      <c r="U285" s="191" t="e">
        <f>O285*IFERROR(VLOOKUP(A285,[1]Tørstofindhold!A$2:B$24,2,FALSE),0)</f>
        <v>#REF!</v>
      </c>
      <c r="V285" s="192" t="e">
        <f>IF(D285=År1,P285,SUM(O285,P285))*IFERROR(VLOOKUP(A285,[1]Tørstofindhold!A$2:B$24,2,FALSE),0)</f>
        <v>#REF!</v>
      </c>
      <c r="W285" s="192" t="e">
        <f>J285*IFERROR(VLOOKUP(A285,[1]Tørstofindhold!A$2:B$24,2,FALSE),0)</f>
        <v>#REF!</v>
      </c>
      <c r="X285" s="193" t="e">
        <f t="shared" si="96"/>
        <v>#REF!</v>
      </c>
      <c r="Y285" s="171" t="e">
        <f t="shared" si="90"/>
        <v>#REF!</v>
      </c>
      <c r="Z285" s="103" t="e">
        <f t="shared" si="91"/>
        <v>#REF!</v>
      </c>
    </row>
    <row r="286" spans="1:26" x14ac:dyDescent="0.25">
      <c r="A286" s="194" t="str">
        <f t="shared" si="87"/>
        <v>Svinekød</v>
      </c>
      <c r="B286" s="194" t="str">
        <f t="shared" si="88"/>
        <v/>
      </c>
      <c r="C286" s="194">
        <f>IF(COUNTIFS('Resultater - Danmark'!$D$3:$D$482,'Resultat-Produktion &amp; forbrug'!A286,'Resultater - Danmark'!$A$3:$A$482,"Til energi")+COUNTIFS('Resultater - Danmark'!$D$3:$D$482,'Resultat-Produktion &amp; forbrug'!A286,'Resultater - Danmark'!$A$3:$A$482,"Biogasanlæg")&gt;0,1,0)</f>
        <v>0</v>
      </c>
      <c r="D286" s="194">
        <f t="shared" si="92"/>
        <v>2050</v>
      </c>
      <c r="E286" s="192" t="s">
        <v>24</v>
      </c>
      <c r="F286" s="195">
        <f>IF(E286="Vestdanmark",SUMIFS(IF(D286=År1,'Resultater - Vestdanmark'!H$3:H$482,IF(D286=År2,'Resultater - Vestdanmark'!I$3:I$482,'Resultater - Vestdanmark'!J$3:J$482)),'Resultater - Vestdanmark'!$F$3:$F$482,$A286,IF(D286=År1,'Resultater - Vestdanmark'!H$3:H$482,IF(D286=År2,'Resultater - Vestdanmark'!I$3:I$482,'Resultater - Vestdanmark'!J$3:J$482)),"&gt;0"),SUMIFS(IF(D286=År1,'Resultater - Østdanmark'!H$3:H$482,IF(D286=År2,'Resultater - Østdanmark'!I$3:I$482,'Resultater - Østdanmark'!J$3:J$482)),'Resultater - Østdanmark'!$F$3:$F$482,$A286,IF(D286=År1,'Resultater - Østdanmark'!H$3:H$482,IF(D286=År2,'Resultater - Østdanmark'!I$3:I$482,'Resultater - Østdanmark'!J$3:J$482)),"&gt;0"))</f>
        <v>0</v>
      </c>
      <c r="G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92">
        <f>IF(E286="Vestdanmark",-IF(A286="Halm",SUMIFS(IF(D286=År1,'Resultater - Vestdanmark'!H$3:H$482,IF(D286=År2,'Resultater - Vestdanmark'!I$3:I$482,'Resultater - Vestdanmark'!J$3:J$482)),'Resultater - Vestdanmark'!$F$3:$F$482,$A286,'Resultater - Vestdanmark'!H$3:H$482,"&lt;0"),0),-IF(A286="Halm",SUMIFS(IF(D286=År1,'Resultater - Østdanmark'!H$3:H$482,IF(D286=År2,'Resultater - Østdanmark'!I$3:I$482,'Resultater - Østdanmark'!J$3:J$482)),'Resultater - Østdanmark'!$F$3:$F$482,$A286,'Resultater - Østdanmark'!H$3:H$482,"&lt;0"),0))</f>
        <v>0</v>
      </c>
      <c r="I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5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7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204">
        <f t="shared" si="93"/>
        <v>-110474.29755686472</v>
      </c>
      <c r="O286" s="195">
        <f t="shared" si="89"/>
        <v>0</v>
      </c>
      <c r="P286" s="205">
        <f t="shared" si="94"/>
        <v>0</v>
      </c>
      <c r="Q286" s="192">
        <f>IFERROR(VLOOKUP(A286,[1]Energiindhold!$A$2:$C$11,3,FALSE),IFERROR(VLOOKUP(A286,[1]Biogasudbytte!$A$2:$B$18,2,FALSE)*[1]Energiindhold!$C$10,0))*O286</f>
        <v>0</v>
      </c>
      <c r="R286" s="192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92">
        <f>IFERROR(VLOOKUP(A286,[1]Biogasudbytte!$A$2:$B$18,2,FALSE)*[1]Energiindhold!$C$10,0)*J286*IFERROR(VLOOKUP(A286,Biogasanlæg!$F$3:$G$8,2,FALSE),1)</f>
        <v>0</v>
      </c>
      <c r="T286" s="193">
        <f t="shared" si="95"/>
        <v>0</v>
      </c>
      <c r="U286" s="191">
        <f>O286*IFERROR(VLOOKUP(A286,[1]Tørstofindhold!A$2:B$24,2,FALSE),0)</f>
        <v>0</v>
      </c>
      <c r="V286" s="192">
        <f>IF(D286=År1,P286,SUM(O286,P286))*IFERROR(VLOOKUP(A286,[1]Tørstofindhold!A$2:B$24,2,FALSE),0)</f>
        <v>0</v>
      </c>
      <c r="W286" s="192">
        <f>J286*IFERROR(VLOOKUP(A286,[1]Tørstofindhold!A$2:B$24,2,FALSE),0)</f>
        <v>0</v>
      </c>
      <c r="X286" s="193">
        <f t="shared" si="96"/>
        <v>0</v>
      </c>
      <c r="Y286" s="171">
        <f t="shared" si="90"/>
        <v>1</v>
      </c>
      <c r="Z286" s="103">
        <f t="shared" si="91"/>
        <v>0</v>
      </c>
    </row>
    <row r="287" spans="1:26" x14ac:dyDescent="0.25">
      <c r="A287" s="194" t="str">
        <f t="shared" si="87"/>
        <v>Tang</v>
      </c>
      <c r="B287" s="194" t="str">
        <f t="shared" si="88"/>
        <v>Havbiomasse</v>
      </c>
      <c r="C287" s="194">
        <f>IF(COUNTIFS('Resultater - Danmark'!$D$3:$D$482,'Resultat-Produktion &amp; forbrug'!A287,'Resultater - Danmark'!$A$3:$A$482,"Til energi")+COUNTIFS('Resultater - Danmark'!$D$3:$D$482,'Resultat-Produktion &amp; forbrug'!A287,'Resultater - Danmark'!$A$3:$A$482,"Biogasanlæg")&gt;0,1,0)</f>
        <v>1</v>
      </c>
      <c r="D287" s="194">
        <f t="shared" si="92"/>
        <v>2050</v>
      </c>
      <c r="E287" s="192" t="s">
        <v>24</v>
      </c>
      <c r="F287" s="195">
        <f>IF(E287="Vestdanmark",SUMIFS(IF(D287=År1,'Resultater - Vestdanmark'!H$3:H$482,IF(D287=År2,'Resultater - Vestdanmark'!I$3:I$482,'Resultater - Vestdanmark'!J$3:J$482)),'Resultater - Vestdanmark'!$F$3:$F$482,$A287,IF(D287=År1,'Resultater - Vestdanmark'!H$3:H$482,IF(D287=År2,'Resultater - Vestdanmark'!I$3:I$482,'Resultater - Vestdanmark'!J$3:J$482)),"&gt;0"),SUMIFS(IF(D287=År1,'Resultater - Østdanmark'!H$3:H$482,IF(D287=År2,'Resultater - Østdanmark'!I$3:I$482,'Resultater - Østdanmark'!J$3:J$482)),'Resultater - Østdanmark'!$F$3:$F$482,$A287,IF(D287=År1,'Resultater - Østdanmark'!H$3:H$482,IF(D287=År2,'Resultater - Østdanmark'!I$3:I$482,'Resultater - Østdanmark'!J$3:J$482)),"&gt;0"))</f>
        <v>0</v>
      </c>
      <c r="G287" s="195" t="e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#REF!</v>
      </c>
      <c r="H287" s="192">
        <f>IF(E287="Vestdanmark",-IF(A287="Halm",SUMIFS(IF(D287=År1,'Resultater - Vestdanmark'!H$3:H$482,IF(D287=År2,'Resultater - Vestdanmark'!I$3:I$482,'Resultater - Vestdanmark'!J$3:J$482)),'Resultater - Vestdanmark'!$F$3:$F$482,$A287,'Resultater - Vestdanmark'!H$3:H$482,"&lt;0"),0),-IF(A287="Halm",SUMIFS(IF(D287=År1,'Resultater - Østdanmark'!H$3:H$482,IF(D287=År2,'Resultater - Østdanmark'!I$3:I$482,'Resultater - Østdanmark'!J$3:J$482)),'Resultater - Østdanmark'!$F$3:$F$482,$A287,'Resultater - Østdanmark'!H$3:H$482,"&lt;0"),0))</f>
        <v>0</v>
      </c>
      <c r="I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5" t="e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#REF!</v>
      </c>
      <c r="K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5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7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204" t="e">
        <f t="shared" si="93"/>
        <v>#REF!</v>
      </c>
      <c r="O287" s="195" t="e">
        <f t="shared" si="89"/>
        <v>#REF!</v>
      </c>
      <c r="P287" s="205" t="e">
        <f t="shared" si="94"/>
        <v>#REF!</v>
      </c>
      <c r="Q287" s="192" t="e">
        <f>IFERROR(VLOOKUP(A287,[1]Energiindhold!$A$2:$C$11,3,FALSE),IFERROR(VLOOKUP(A287,[1]Biogasudbytte!$A$2:$B$18,2,FALSE)*[1]Energiindhold!$C$10,0))*O287</f>
        <v>#REF!</v>
      </c>
      <c r="R287" s="192" t="e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#REF!</v>
      </c>
      <c r="S287" s="192" t="e">
        <f>IFERROR(VLOOKUP(A287,[1]Biogasudbytte!$A$2:$B$18,2,FALSE)*[1]Energiindhold!$C$10,0)*J287*IFERROR(VLOOKUP(A287,Biogasanlæg!$F$3:$G$8,2,FALSE),1)</f>
        <v>#REF!</v>
      </c>
      <c r="T287" s="193" t="e">
        <f t="shared" si="95"/>
        <v>#REF!</v>
      </c>
      <c r="U287" s="191" t="e">
        <f>O287*IFERROR(VLOOKUP(A287,[1]Tørstofindhold!A$2:B$24,2,FALSE),0)</f>
        <v>#REF!</v>
      </c>
      <c r="V287" s="192" t="e">
        <f>IF(D287=År1,P287,SUM(O287,P287))*IFERROR(VLOOKUP(A287,[1]Tørstofindhold!A$2:B$24,2,FALSE),0)</f>
        <v>#REF!</v>
      </c>
      <c r="W287" s="192" t="e">
        <f>J287*IFERROR(VLOOKUP(A287,[1]Tørstofindhold!A$2:B$24,2,FALSE),0)</f>
        <v>#REF!</v>
      </c>
      <c r="X287" s="193" t="e">
        <f t="shared" si="96"/>
        <v>#REF!</v>
      </c>
      <c r="Y287" s="171" t="e">
        <f t="shared" si="90"/>
        <v>#REF!</v>
      </c>
      <c r="Z287" s="103" t="e">
        <f t="shared" si="91"/>
        <v>#REF!</v>
      </c>
    </row>
    <row r="288" spans="1:26" x14ac:dyDescent="0.25">
      <c r="A288" s="194" t="str">
        <f t="shared" si="87"/>
        <v>Total til biogas</v>
      </c>
      <c r="B288" s="194" t="str">
        <f t="shared" si="88"/>
        <v/>
      </c>
      <c r="C288" s="194">
        <f>IF(COUNTIFS('Resultater - Danmark'!$D$3:$D$482,'Resultat-Produktion &amp; forbrug'!A288,'Resultater - Danmark'!$A$3:$A$482,"Til energi")+COUNTIFS('Resultater - Danmark'!$D$3:$D$482,'Resultat-Produktion &amp; forbrug'!A288,'Resultater - Danmark'!$A$3:$A$482,"Biogasanlæg")&gt;0,1,0)</f>
        <v>1</v>
      </c>
      <c r="D288" s="194">
        <f t="shared" si="92"/>
        <v>2050</v>
      </c>
      <c r="E288" s="192" t="s">
        <v>24</v>
      </c>
      <c r="F288" s="195">
        <f>IF(E288="Vestdanmark",SUMIFS(IF(D288=År1,'Resultater - Vestdanmark'!H$3:H$482,IF(D288=År2,'Resultater - Vestdanmark'!I$3:I$482,'Resultater - Vestdanmark'!J$3:J$482)),'Resultater - Vestdanmark'!$F$3:$F$482,$A288,IF(D288=År1,'Resultater - Vestdanmark'!H$3:H$482,IF(D288=År2,'Resultater - Vestdanmark'!I$3:I$482,'Resultater - Vestdanmark'!J$3:J$482)),"&gt;0"),SUMIFS(IF(D288=År1,'Resultater - Østdanmark'!H$3:H$482,IF(D288=År2,'Resultater - Østdanmark'!I$3:I$482,'Resultater - Østdanmark'!J$3:J$482)),'Resultater - Østdanmark'!$F$3:$F$482,$A288,IF(D288=År1,'Resultater - Østdanmark'!H$3:H$482,IF(D288=År2,'Resultater - Østdanmark'!I$3:I$482,'Resultater - Østdanmark'!J$3:J$482)),"&gt;0"))</f>
        <v>0</v>
      </c>
      <c r="G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92">
        <f>IF(E288="Vestdanmark",-IF(A288="Halm",SUMIFS(IF(D288=År1,'Resultater - Vestdanmark'!H$3:H$482,IF(D288=År2,'Resultater - Vestdanmark'!I$3:I$482,'Resultater - Vestdanmark'!J$3:J$482)),'Resultater - Vestdanmark'!$F$3:$F$482,$A288,'Resultater - Vestdanmark'!H$3:H$482,"&lt;0"),0),-IF(A288="Halm",SUMIFS(IF(D288=År1,'Resultater - Østdanmark'!H$3:H$482,IF(D288=År2,'Resultater - Østdanmark'!I$3:I$482,'Resultater - Østdanmark'!J$3:J$482)),'Resultater - Østdanmark'!$F$3:$F$482,$A288,'Resultater - Østdanmark'!H$3:H$482,"&lt;0"),0))</f>
        <v>0</v>
      </c>
      <c r="I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5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7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204">
        <f t="shared" si="93"/>
        <v>0</v>
      </c>
      <c r="O288" s="195">
        <f t="shared" si="89"/>
        <v>0</v>
      </c>
      <c r="P288" s="205">
        <f t="shared" si="94"/>
        <v>0</v>
      </c>
      <c r="Q288" s="192">
        <f>IFERROR(VLOOKUP(A288,[1]Energiindhold!$A$2:$C$11,3,FALSE),IFERROR(VLOOKUP(A288,[1]Biogasudbytte!$A$2:$B$18,2,FALSE)*[1]Energiindhold!$C$10,0))*O288</f>
        <v>0</v>
      </c>
      <c r="R288" s="192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92">
        <f>IFERROR(VLOOKUP(A288,[1]Biogasudbytte!$A$2:$B$18,2,FALSE)*[1]Energiindhold!$C$10,0)*J288*IFERROR(VLOOKUP(A288,Biogasanlæg!$F$3:$G$8,2,FALSE),1)</f>
        <v>0</v>
      </c>
      <c r="T288" s="193">
        <f t="shared" si="95"/>
        <v>0</v>
      </c>
      <c r="U288" s="191">
        <f>O288*IFERROR(VLOOKUP(A288,[1]Tørstofindhold!A$2:B$24,2,FALSE),0)</f>
        <v>0</v>
      </c>
      <c r="V288" s="192">
        <f>IF(D288=År1,P288,SUM(O288,P288))*IFERROR(VLOOKUP(A288,[1]Tørstofindhold!A$2:B$24,2,FALSE),0)</f>
        <v>0</v>
      </c>
      <c r="W288" s="192">
        <f>J288*IFERROR(VLOOKUP(A288,[1]Tørstofindhold!A$2:B$24,2,FALSE),0)</f>
        <v>0</v>
      </c>
      <c r="X288" s="193">
        <f t="shared" si="96"/>
        <v>0</v>
      </c>
      <c r="Y288" s="171">
        <f t="shared" si="90"/>
        <v>0</v>
      </c>
      <c r="Z288" s="103">
        <f t="shared" si="91"/>
        <v>0</v>
      </c>
    </row>
    <row r="289" spans="1:26" x14ac:dyDescent="0.25">
      <c r="A289" s="194" t="str">
        <f t="shared" si="87"/>
        <v>Træ til energi</v>
      </c>
      <c r="B289" s="194" t="str">
        <f t="shared" si="88"/>
        <v>Vedmasse</v>
      </c>
      <c r="C289" s="194">
        <f>IF(COUNTIFS('Resultater - Danmark'!$D$3:$D$482,'Resultat-Produktion &amp; forbrug'!A289,'Resultater - Danmark'!$A$3:$A$482,"Til energi")+COUNTIFS('Resultater - Danmark'!$D$3:$D$482,'Resultat-Produktion &amp; forbrug'!A289,'Resultater - Danmark'!$A$3:$A$482,"Biogasanlæg")&gt;0,1,0)</f>
        <v>1</v>
      </c>
      <c r="D289" s="194">
        <f t="shared" si="92"/>
        <v>2050</v>
      </c>
      <c r="E289" s="192" t="s">
        <v>24</v>
      </c>
      <c r="F289" s="195">
        <f>IF(E289="Vestdanmark",SUMIFS(IF(D289=År1,'Resultater - Vestdanmark'!H$3:H$482,IF(D289=År2,'Resultater - Vestdanmark'!I$3:I$482,'Resultater - Vestdanmark'!J$3:J$482)),'Resultater - Vestdanmark'!$F$3:$F$482,$A289,IF(D289=År1,'Resultater - Vestdanmark'!H$3:H$482,IF(D289=År2,'Resultater - Vestdanmark'!I$3:I$482,'Resultater - Vestdanmark'!J$3:J$482)),"&gt;0"),SUMIFS(IF(D289=År1,'Resultater - Østdanmark'!H$3:H$482,IF(D289=År2,'Resultater - Østdanmark'!I$3:I$482,'Resultater - Østdanmark'!J$3:J$482)),'Resultater - Østdanmark'!$F$3:$F$482,$A289,IF(D289=År1,'Resultater - Østdanmark'!H$3:H$482,IF(D289=År2,'Resultater - Østdanmark'!I$3:I$482,'Resultater - Østdanmark'!J$3:J$482)),"&gt;0"))</f>
        <v>0</v>
      </c>
      <c r="G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92">
        <f>IF(E289="Vestdanmark",-IF(A289="Halm",SUMIFS(IF(D289=År1,'Resultater - Vestdanmark'!H$3:H$482,IF(D289=År2,'Resultater - Vestdanmark'!I$3:I$482,'Resultater - Vestdanmark'!J$3:J$482)),'Resultater - Vestdanmark'!$F$3:$F$482,$A289,'Resultater - Vestdanmark'!H$3:H$482,"&lt;0"),0),-IF(A289="Halm",SUMIFS(IF(D289=År1,'Resultater - Østdanmark'!H$3:H$482,IF(D289=År2,'Resultater - Østdanmark'!I$3:I$482,'Resultater - Østdanmark'!J$3:J$482)),'Resultater - Østdanmark'!$F$3:$F$482,$A289,'Resultater - Østdanmark'!H$3:H$482,"&lt;0"),0))</f>
        <v>0</v>
      </c>
      <c r="I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5" t="e">
        <f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#REF!</v>
      </c>
      <c r="M289" s="157" t="e">
        <f>SUMIFS('Forbrug af biomasse'!E:E,'Forbrug af biomasse'!C:C,'Resultat-Produktion &amp; forbrug'!$A289,'Forbrug af biomasse'!D:D,'Resultat-Produktion &amp; forbrug'!$D289,'Forbrug af biomasse'!G:G,1,'Forbrug af biomasse'!B:B,$E289)</f>
        <v>#REF!</v>
      </c>
      <c r="N289" s="204" t="e">
        <f t="shared" si="93"/>
        <v>#REF!</v>
      </c>
      <c r="O289" s="195" t="e">
        <f t="shared" si="89"/>
        <v>#REF!</v>
      </c>
      <c r="P289" s="205" t="e">
        <f t="shared" si="94"/>
        <v>#REF!</v>
      </c>
      <c r="Q289" s="192" t="e">
        <f>IFERROR(VLOOKUP(A289,[1]Energiindhold!$A$2:$C$11,3,FALSE),IFERROR(VLOOKUP(A289,[1]Biogasudbytte!$A$2:$B$18,2,FALSE)*[1]Energiindhold!$C$10,0))*O289</f>
        <v>#REF!</v>
      </c>
      <c r="R289" s="192" t="e">
        <f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#REF!</v>
      </c>
      <c r="S289" s="192">
        <f>IFERROR(VLOOKUP(A289,[1]Biogasudbytte!$A$2:$B$18,2,FALSE)*[1]Energiindhold!$C$10,0)*J289*IFERROR(VLOOKUP(A289,Biogasanlæg!$F$3:$G$8,2,FALSE),1)</f>
        <v>0</v>
      </c>
      <c r="T289" s="193" t="e">
        <f t="shared" si="95"/>
        <v>#REF!</v>
      </c>
      <c r="U289" s="191" t="e">
        <f>O289*IFERROR(VLOOKUP(A289,[1]Tørstofindhold!A$2:B$24,2,FALSE),0)</f>
        <v>#REF!</v>
      </c>
      <c r="V289" s="192" t="e">
        <f>IF(D289=År1,P289,SUM(O289,P289))*IFERROR(VLOOKUP(A289,[1]Tørstofindhold!A$2:B$24,2,FALSE),0)</f>
        <v>#REF!</v>
      </c>
      <c r="W289" s="192">
        <f>J289*IFERROR(VLOOKUP(A289,[1]Tørstofindhold!A$2:B$24,2,FALSE),0)</f>
        <v>0</v>
      </c>
      <c r="X289" s="193" t="e">
        <f t="shared" si="96"/>
        <v>#REF!</v>
      </c>
      <c r="Y289" s="171" t="e">
        <f t="shared" si="90"/>
        <v>#REF!</v>
      </c>
      <c r="Z289" s="103" t="e">
        <f t="shared" si="91"/>
        <v>#REF!</v>
      </c>
    </row>
    <row r="290" spans="1:26" ht="15.75" thickBot="1" x14ac:dyDescent="0.3">
      <c r="A290" s="194" t="str">
        <f t="shared" si="87"/>
        <v>Træmaterialer</v>
      </c>
      <c r="B290" s="194" t="str">
        <f t="shared" si="88"/>
        <v/>
      </c>
      <c r="C290" s="194">
        <f>IF(COUNTIFS('Resultater - Danmark'!$D$3:$D$482,'Resultat-Produktion &amp; forbrug'!A290,'Resultater - Danmark'!$A$3:$A$482,"Til energi")+COUNTIFS('Resultater - Danmark'!$D$3:$D$482,'Resultat-Produktion &amp; forbrug'!A290,'Resultater - Danmark'!$A$3:$A$482,"Biogasanlæg")&gt;0,1,0)</f>
        <v>0</v>
      </c>
      <c r="D290" s="194">
        <f t="shared" si="92"/>
        <v>2050</v>
      </c>
      <c r="E290" s="192" t="s">
        <v>24</v>
      </c>
      <c r="F290" s="195">
        <f>IF(E290="Vestdanmark",SUMIFS(IF(D290=År1,'Resultater - Vestdanmark'!H$3:H$482,IF(D290=År2,'Resultater - Vestdanmark'!I$3:I$482,'Resultater - Vestdanmark'!J$3:J$482)),'Resultater - Vestdanmark'!$F$3:$F$482,$A290,IF(D290=År1,'Resultater - Vestdanmark'!H$3:H$482,IF(D290=År2,'Resultater - Vestdanmark'!I$3:I$482,'Resultater - Vestdanmark'!J$3:J$482)),"&gt;0"),SUMIFS(IF(D290=År1,'Resultater - Østdanmark'!H$3:H$482,IF(D290=År2,'Resultater - Østdanmark'!I$3:I$482,'Resultater - Østdanmark'!J$3:J$482)),'Resultater - Østdanmark'!$F$3:$F$482,$A290,IF(D290=År1,'Resultater - Østdanmark'!H$3:H$482,IF(D290=År2,'Resultater - Østdanmark'!I$3:I$482,'Resultater - Østdanmark'!J$3:J$482)),"&gt;0"))</f>
        <v>0</v>
      </c>
      <c r="G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92">
        <f>IF(E290="Vestdanmark",-IF(A290="Halm",SUMIFS(IF(D290=År1,'Resultater - Vestdanmark'!H$3:H$482,IF(D290=År2,'Resultater - Vestdanmark'!I$3:I$482,'Resultater - Vestdanmark'!J$3:J$482)),'Resultater - Vestdanmark'!$F$3:$F$482,$A290,'Resultater - Vestdanmark'!H$3:H$482,"&lt;0"),0),-IF(A290="Halm",SUMIFS(IF(D290=År1,'Resultater - Østdanmark'!H$3:H$482,IF(D290=År2,'Resultater - Østdanmark'!I$3:I$482,'Resultater - Østdanmark'!J$3:J$482)),'Resultater - Østdanmark'!$F$3:$F$482,$A290,'Resultater - Østdanmark'!H$3:H$482,"&lt;0"),0))</f>
        <v>0</v>
      </c>
      <c r="I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5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7">
        <f>SUMIFS('Forbrug af biomasse'!E:E,'Forbrug af biomasse'!C:C,'Resultat-Produktion &amp; forbrug'!$A290,'Forbrug af biomasse'!D:D,'Resultat-Produktion &amp; forbrug'!$D290,'Forbrug af biomasse'!G:G,1,'Forbrug af biomasse'!B:B,$E290)</f>
        <v>0</v>
      </c>
      <c r="N290" s="206">
        <f t="shared" si="93"/>
        <v>0</v>
      </c>
      <c r="O290" s="207">
        <f t="shared" si="89"/>
        <v>0</v>
      </c>
      <c r="P290" s="208">
        <f t="shared" si="94"/>
        <v>0</v>
      </c>
      <c r="Q290" s="197">
        <f>IFERROR(VLOOKUP(A290,[1]Energiindhold!$A$2:$C$11,3,FALSE),IFERROR(VLOOKUP(A290,[1]Biogasudbytte!$A$2:$B$18,2,FALSE)*[1]Energiindhold!$C$10,0))*O290</f>
        <v>0</v>
      </c>
      <c r="R290" s="197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7">
        <f>IFERROR(VLOOKUP(A290,[1]Biogasudbytte!$A$2:$B$18,2,FALSE)*[1]Energiindhold!$C$10,0)*J290*IFERROR(VLOOKUP(A290,Biogasanlæg!$F$3:$G$8,2,FALSE),1)</f>
        <v>0</v>
      </c>
      <c r="T290" s="198">
        <f t="shared" si="95"/>
        <v>0</v>
      </c>
      <c r="U290" s="196">
        <f>O290*IFERROR(VLOOKUP(A290,[1]Tørstofindhold!A$2:B$24,2,FALSE),0)</f>
        <v>0</v>
      </c>
      <c r="V290" s="197">
        <f>IF(D290=År1,P290,SUM(O290,P290))*IFERROR(VLOOKUP(A290,[1]Tørstofindhold!A$2:B$24,2,FALSE),0)</f>
        <v>0</v>
      </c>
      <c r="W290" s="197">
        <f>J290*IFERROR(VLOOKUP(A290,[1]Tørstofindhold!A$2:B$24,2,FALSE),0)</f>
        <v>0</v>
      </c>
      <c r="X290" s="198">
        <f t="shared" si="96"/>
        <v>0</v>
      </c>
      <c r="Y290" s="171">
        <f t="shared" si="90"/>
        <v>0</v>
      </c>
      <c r="Z290" s="103">
        <f t="shared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topLeftCell="A17" workbookViewId="0">
      <selection activeCell="D24" sqref="D24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362" t="s">
        <v>23</v>
      </c>
      <c r="B2" s="363"/>
      <c r="C2" s="363"/>
      <c r="D2" s="363"/>
      <c r="E2" s="363"/>
      <c r="F2" s="363"/>
      <c r="G2" s="363"/>
      <c r="H2" s="363"/>
      <c r="I2" s="363"/>
      <c r="J2" s="363"/>
      <c r="K2" s="363"/>
      <c r="L2" s="363"/>
      <c r="M2" s="363"/>
      <c r="N2" s="363"/>
      <c r="O2" s="363"/>
      <c r="P2" s="363"/>
      <c r="Q2" s="363"/>
      <c r="R2" s="363"/>
      <c r="S2" s="363"/>
      <c r="T2" s="363"/>
      <c r="U2" s="364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368" t="s">
        <v>7</v>
      </c>
      <c r="D3" s="369"/>
      <c r="E3" s="369"/>
      <c r="F3" s="369"/>
      <c r="G3" s="369"/>
      <c r="H3" s="369"/>
      <c r="I3" s="369"/>
      <c r="J3" s="369"/>
      <c r="K3" s="370"/>
      <c r="L3" s="368" t="s">
        <v>8</v>
      </c>
      <c r="M3" s="369"/>
      <c r="N3" s="369"/>
      <c r="O3" s="369"/>
      <c r="P3" s="369"/>
      <c r="Q3" s="369"/>
      <c r="R3" s="369"/>
      <c r="S3" s="369"/>
      <c r="T3" s="370"/>
      <c r="U3" s="71"/>
      <c r="W3" s="31" t="s">
        <v>282</v>
      </c>
      <c r="X3" s="35">
        <f>C24+C51</f>
        <v>11808068</v>
      </c>
      <c r="Y3" s="11">
        <f>D24+D51</f>
        <v>11613981.348523566</v>
      </c>
      <c r="Z3" s="23">
        <f>E24+E51</f>
        <v>11168804.040691316</v>
      </c>
    </row>
    <row r="4" spans="1:26" ht="15.75" thickBot="1" x14ac:dyDescent="0.3">
      <c r="A4" s="61"/>
      <c r="B4" s="63"/>
      <c r="C4" s="172">
        <f>År1</f>
        <v>2019</v>
      </c>
      <c r="D4" s="172">
        <f>År1</f>
        <v>2019</v>
      </c>
      <c r="E4" s="172">
        <f>År1</f>
        <v>2019</v>
      </c>
      <c r="F4" s="173">
        <f>År2</f>
        <v>2030</v>
      </c>
      <c r="G4" s="173">
        <f>År2</f>
        <v>2030</v>
      </c>
      <c r="H4" s="173">
        <f>År2</f>
        <v>2030</v>
      </c>
      <c r="I4" s="173">
        <f>År3</f>
        <v>2050</v>
      </c>
      <c r="J4" s="173">
        <f>År3</f>
        <v>2050</v>
      </c>
      <c r="K4" s="173">
        <f>År3</f>
        <v>2050</v>
      </c>
      <c r="L4" s="172">
        <f>År1</f>
        <v>2019</v>
      </c>
      <c r="M4" s="172">
        <f>År1</f>
        <v>2019</v>
      </c>
      <c r="N4" s="172">
        <f>År1</f>
        <v>2019</v>
      </c>
      <c r="O4" s="173">
        <f>År2</f>
        <v>2030</v>
      </c>
      <c r="P4" s="173">
        <f>År2</f>
        <v>2030</v>
      </c>
      <c r="Q4" s="173">
        <f>År2</f>
        <v>2030</v>
      </c>
      <c r="R4" s="173">
        <f>År3</f>
        <v>2050</v>
      </c>
      <c r="S4" s="173">
        <f>År3</f>
        <v>2050</v>
      </c>
      <c r="T4" s="173">
        <f>År3</f>
        <v>2050</v>
      </c>
      <c r="U4" s="71"/>
      <c r="W4" s="31" t="s">
        <v>283</v>
      </c>
      <c r="X4" s="35">
        <f t="shared" ref="X4:Z5" si="0">C25+C52</f>
        <v>1267084</v>
      </c>
      <c r="Y4" s="11">
        <f t="shared" si="0"/>
        <v>1232959.2457426467</v>
      </c>
      <c r="Z4" s="23">
        <f t="shared" si="0"/>
        <v>1172869.6474243198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284</v>
      </c>
      <c r="X5" s="48">
        <f t="shared" si="0"/>
        <v>19782594</v>
      </c>
      <c r="Y5" s="16">
        <f t="shared" si="0"/>
        <v>19328402.782654595</v>
      </c>
      <c r="Z5" s="24">
        <f t="shared" si="0"/>
        <v>18416921.146918636</v>
      </c>
    </row>
    <row r="6" spans="1:26" x14ac:dyDescent="0.25">
      <c r="A6" s="61"/>
      <c r="B6" s="41" t="str">
        <f>[1]Afgrødefordeling!C2</f>
        <v>Korn</v>
      </c>
      <c r="C6" s="35" t="e">
        <f>VLOOKUP($B6,'[1]Afgrødefordeling - jordtype'!$F$4:$I$17,MATCH(C$5,'[1]Afgrødefordeling - jordtype'!$F$3:$I$3,0),FALSE)*(1-Landbrug!$C$5)*Arealanvendelse!J$26</f>
        <v>#VALUE!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 t="e">
        <f>IF(Landbrug!$D$47&gt;0,SUMIF(Landbrug!$B$32:$B$45,$B6,IF(F4=År2,Landbrug!$D$32:$D$45,Landbrug!$E$32:$E$45)),'[1]Afgrødefordeling - jordtype'!$G4)*(1-Landbrug!$D$5)*Arealanvendelse!M$26</f>
        <v>#VALUE!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12397.451002927566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6829.6764788402734</v>
      </c>
      <c r="I6" s="11" t="e">
        <f>IF(Landbrug!$E$47&gt;0,SUMIF(Landbrug!$B$32:$B$45,$B6,IF(I4=År2,Landbrug!$D$32:$D$45,Landbrug!$E$32:$E$45)),'[1]Afgrødefordeling - jordtype'!$G4)*(1-Landbrug!$E$5)*Arealanvendelse!P$26</f>
        <v>#VALUE!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11824.158471000279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6513.8532890673114</v>
      </c>
      <c r="L6" s="35" t="e">
        <f>VLOOKUP($B6,'[1]Afgrødefordeling - jordtype'!$F$4:$I$17,MATCH(C$5,'[1]Afgrødefordeling - jordtype'!$F$3:$I$3,0),FALSE)*(Landbrug!$C$5)*Arealanvendelse!J$26</f>
        <v>#VALUE!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 t="e">
        <f>IF(Landbrug!$D$47&gt;0,SUMIF(Landbrug!$B$32:$B$45,$B6,IF(F4=År2,Landbrug!$D$32:$D$45,Landbrug!$E$32:$E$45)),'[1]Afgrødefordeling - jordtype'!$G4)*(Landbrug!$D$5)*Arealanvendelse!M$26</f>
        <v>#VALUE!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1934.8622952545911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1065.9032654837422</v>
      </c>
      <c r="R6" s="11" t="e">
        <f>IF(Landbrug!$E$47&gt;0,SUMIF(Landbrug!$B$32:$B$45,$B6,IF(I4=År2,Landbrug!$D$32:$D$45,Landbrug!$E$32:$E$45)),'[1]Afgrødefordeling - jordtype'!$G4)*(Landbrug!$E$5)*Arealanvendelse!P$26</f>
        <v>#VALUE!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2508.1548271818774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1381.7264552567024</v>
      </c>
      <c r="U6" s="94"/>
      <c r="W6" s="31" t="s">
        <v>285</v>
      </c>
      <c r="X6" s="34">
        <f t="shared" ref="X6:Z8" si="1">F24+F51</f>
        <v>490924</v>
      </c>
      <c r="Y6" s="11">
        <f t="shared" si="1"/>
        <v>685010.65147643292</v>
      </c>
      <c r="Z6" s="23">
        <f t="shared" si="1"/>
        <v>1130187.9593086836</v>
      </c>
    </row>
    <row r="7" spans="1:26" x14ac:dyDescent="0.25">
      <c r="A7" s="61"/>
      <c r="B7" s="41" t="str">
        <f>[1]Afgrødefordeling!C3</f>
        <v>Bælgsæd</v>
      </c>
      <c r="C7" s="35" t="e">
        <f>VLOOKUP($B7,'[1]Afgrødefordeling - jordtype'!$F$4:$I$17,MATCH(C$5,'[1]Afgrødefordeling - jordtype'!$F$3:$I$3,0),FALSE)*(1-Landbrug!$C$5)*Arealanvendelse!J$26</f>
        <v>#VALUE!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 t="e">
        <f>IF(Landbrug!$D$47&gt;0,SUMIF(Landbrug!$B$32:$B$45,$B7,IF(F5=År2,Landbrug!$D$32:$D$45,Landbrug!$E$32:$E$45)),'[1]Afgrødefordeling - jordtype'!$G5)*(1-Landbrug!$D$5)*Arealanvendelse!M$26</f>
        <v>#VALUE!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1062.761606425149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393.24746020858441</v>
      </c>
      <c r="I7" s="11" t="e">
        <f>IF(Landbrug!$E$47&gt;0,SUMIF(Landbrug!$B$32:$B$45,$B7,IF(I5=År2,Landbrug!$D$32:$D$45,Landbrug!$E$32:$E$45)),'[1]Afgrødefordeling - jordtype'!$G5)*(1-Landbrug!$E$5)*Arealanvendelse!P$26</f>
        <v>#VALUE!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1013.616561041327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375.06260655732041</v>
      </c>
      <c r="L7" s="35" t="e">
        <f>VLOOKUP($B7,'[1]Afgrødefordeling - jordtype'!$F$4:$I$17,MATCH(C$5,'[1]Afgrødefordeling - jordtype'!$F$3:$I$3,0),FALSE)*(Landbrug!$C$5)*Arealanvendelse!J$26</f>
        <v>#VALUE!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 t="e">
        <f>IF(Landbrug!$D$47&gt;0,SUMIF(Landbrug!$B$32:$B$45,$B7,IF(F5=År2,Landbrug!$D$32:$D$45,Landbrug!$E$32:$E$45)),'[1]Afgrødefordeling - jordtype'!$G5)*(Landbrug!$D$5)*Arealanvendelse!M$26</f>
        <v>#VALUE!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165.86452817039898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61.373881073016072</v>
      </c>
      <c r="R7" s="11" t="e">
        <f>IF(Landbrug!$E$47&gt;0,SUMIF(Landbrug!$B$32:$B$45,$B7,IF(I5=År2,Landbrug!$D$32:$D$45,Landbrug!$E$32:$E$45)),'[1]Afgrødefordeling - jordtype'!$G5)*(Landbrug!$E$5)*Arealanvendelse!P$26</f>
        <v>#VALUE!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215.00957355422085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79.558734724280086</v>
      </c>
      <c r="U7" s="94"/>
      <c r="W7" s="31" t="s">
        <v>286</v>
      </c>
      <c r="X7" s="34">
        <f t="shared" si="1"/>
        <v>224348</v>
      </c>
      <c r="Y7" s="11">
        <f t="shared" si="1"/>
        <v>258472.75425735323</v>
      </c>
      <c r="Z7" s="23">
        <f t="shared" si="1"/>
        <v>318562.35257568007</v>
      </c>
    </row>
    <row r="8" spans="1:26" ht="15.75" thickBot="1" x14ac:dyDescent="0.3">
      <c r="A8" s="61"/>
      <c r="B8" s="41" t="str">
        <f>[1]Afgrødefordeling!C4</f>
        <v>Raps</v>
      </c>
      <c r="C8" s="35" t="e">
        <f>VLOOKUP($B8,'[1]Afgrødefordeling - jordtype'!$F$4:$I$17,MATCH(C$5,'[1]Afgrødefordeling - jordtype'!$F$3:$I$3,0),FALSE)*(1-Landbrug!$C$5)*Arealanvendelse!J$26</f>
        <v>#VALUE!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 t="e">
        <f>IF(Landbrug!$D$47&gt;0,SUMIF(Landbrug!$B$32:$B$45,$B8,IF(F6=År2,Landbrug!$D$32:$D$45,Landbrug!$E$32:$E$45)),'[1]Afgrødefordeling - jordtype'!$G6)*(1-Landbrug!$D$5)*Arealanvendelse!M$26</f>
        <v>#VALUE!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1137.9870596805204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509.2376538265151</v>
      </c>
      <c r="I8" s="11" t="e">
        <f>IF(Landbrug!$E$47&gt;0,SUMIF(Landbrug!$B$32:$B$45,$B8,IF(I6=År2,Landbrug!$D$32:$D$45,Landbrug!$E$32:$E$45)),'[1]Afgrødefordeling - jordtype'!$G6)*(1-Landbrug!$E$5)*Arealanvendelse!P$26</f>
        <v>#VALUE!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1085.3633806201497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485.68909179985542</v>
      </c>
      <c r="L8" s="35" t="e">
        <f>VLOOKUP($B8,'[1]Afgrødefordeling - jordtype'!$F$4:$I$17,MATCH(C$5,'[1]Afgrødefordeling - jordtype'!$F$3:$I$3,0),FALSE)*(Landbrug!$C$5)*Arealanvendelse!J$26</f>
        <v>#VALUE!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 t="e">
        <f>IF(Landbrug!$D$47&gt;0,SUMIF(Landbrug!$B$32:$B$45,$B8,IF(F6=År2,Landbrug!$D$32:$D$45,Landbrug!$E$32:$E$45)),'[1]Afgrødefordeling - jordtype'!$G6)*(Landbrug!$D$5)*Arealanvendelse!M$26</f>
        <v>#VALUE!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177.60491682875178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79.476396839976346</v>
      </c>
      <c r="R8" s="11" t="e">
        <f>IF(Landbrug!$E$47&gt;0,SUMIF(Landbrug!$B$32:$B$45,$B8,IF(I6=År2,Landbrug!$D$32:$D$45,Landbrug!$E$32:$E$45)),'[1]Afgrødefordeling - jordtype'!$G6)*(Landbrug!$E$5)*Arealanvendelse!P$26</f>
        <v>#VALUE!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230.22859588912263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103.024958866636</v>
      </c>
      <c r="U8" s="94"/>
      <c r="W8" s="46" t="s">
        <v>287</v>
      </c>
      <c r="X8" s="47">
        <f t="shared" si="1"/>
        <v>3277287</v>
      </c>
      <c r="Y8" s="16">
        <f t="shared" si="1"/>
        <v>3731478.2173454049</v>
      </c>
      <c r="Z8" s="24">
        <f t="shared" si="1"/>
        <v>4642959.853081366</v>
      </c>
    </row>
    <row r="9" spans="1:26" x14ac:dyDescent="0.25">
      <c r="A9" s="61"/>
      <c r="B9" s="41" t="str">
        <f>[1]Afgrødefordeling!C5</f>
        <v>Græs</v>
      </c>
      <c r="C9" s="35" t="e">
        <f>VLOOKUP($B9,'[1]Afgrødefordeling - jordtype'!$F$4:$I$17,MATCH(C$5,'[1]Afgrødefordeling - jordtype'!$F$3:$I$3,0),FALSE)*(1-Landbrug!$C$5)*Arealanvendelse!J$26</f>
        <v>#VALUE!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 t="e">
        <f>IF(Landbrug!$D$47&gt;0,SUMIF(Landbrug!$B$32:$B$45,$B9,IF(F7=År2,Landbrug!$D$32:$D$45,Landbrug!$E$32:$E$45)),'[1]Afgrødefordeling - jordtype'!$G7)*(1-Landbrug!$D$5)*Arealanvendelse!M$26</f>
        <v>#VALUE!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10501.746271795293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11744.627821749295</v>
      </c>
      <c r="I9" s="11" t="e">
        <f>IF(Landbrug!$E$47&gt;0,SUMIF(Landbrug!$B$32:$B$45,$B9,IF(I7=År2,Landbrug!$D$32:$D$45,Landbrug!$E$32:$E$45)),'[1]Afgrødefordeling - jordtype'!$G7)*(1-Landbrug!$E$5)*Arealanvendelse!P$26</f>
        <v>#VALUE!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10016.116386394353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11201.523645021003</v>
      </c>
      <c r="L9" s="35" t="e">
        <f>VLOOKUP($B9,'[1]Afgrødefordeling - jordtype'!$F$4:$I$17,MATCH(C$5,'[1]Afgrødefordeling - jordtype'!$F$3:$I$3,0),FALSE)*(Landbrug!$C$5)*Arealanvendelse!J$26</f>
        <v>#VALUE!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 t="e">
        <f>IF(Landbrug!$D$47&gt;0,SUMIF(Landbrug!$B$32:$B$45,$B9,IF(F7=År2,Landbrug!$D$32:$D$45,Landbrug!$E$32:$E$45)),'[1]Afgrødefordeling - jordtype'!$G7)*(Landbrug!$D$5)*Arealanvendelse!M$26</f>
        <v>#VALUE!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1639.0008632281672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1832.9765964579826</v>
      </c>
      <c r="R9" s="11" t="e">
        <f>IF(Landbrug!$E$47&gt;0,SUMIF(Landbrug!$B$32:$B$45,$B9,IF(I7=År2,Landbrug!$D$32:$D$45,Landbrug!$E$32:$E$45)),'[1]Afgrødefordeling - jordtype'!$G7)*(Landbrug!$E$5)*Arealanvendelse!P$26</f>
        <v>#VALUE!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2124.6307486291057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2376.0807731862733</v>
      </c>
      <c r="U9" s="94"/>
    </row>
    <row r="10" spans="1:26" x14ac:dyDescent="0.25">
      <c r="A10" s="61"/>
      <c r="B10" s="41" t="str">
        <f>[1]Afgrødefordeling!C6</f>
        <v>Grøntsager</v>
      </c>
      <c r="C10" s="35" t="e">
        <f>VLOOKUP($B10,'[1]Afgrødefordeling - jordtype'!$F$4:$I$17,MATCH(C$5,'[1]Afgrødefordeling - jordtype'!$F$3:$I$3,0),FALSE)*(1-Landbrug!$C$5)*Arealanvendelse!J$26</f>
        <v>#VALUE!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 t="e">
        <f>IF(Landbrug!$D$47&gt;0,SUMIF(Landbrug!$B$32:$B$45,$B10,IF(F8=År2,Landbrug!$D$32:$D$45,Landbrug!$E$32:$E$45)),'[1]Afgrødefordeling - jordtype'!$G8)*(1-Landbrug!$D$5)*Arealanvendelse!M$26</f>
        <v>#VALUE!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49.117062325833871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13.650927813648</v>
      </c>
      <c r="I10" s="11" t="e">
        <f>IF(Landbrug!$E$47&gt;0,SUMIF(Landbrug!$B$32:$B$45,$B10,IF(I8=År2,Landbrug!$D$32:$D$45,Landbrug!$E$32:$E$45)),'[1]Afgrødefordeling - jordtype'!$G8)*(1-Landbrug!$E$5)*Arealanvendelse!P$26</f>
        <v>#VALUE!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46.845753085332873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13.019671036138266</v>
      </c>
      <c r="L10" s="35" t="e">
        <f>VLOOKUP($B10,'[1]Afgrødefordeling - jordtype'!$F$4:$I$17,MATCH(C$5,'[1]Afgrødefordeling - jordtype'!$F$3:$I$3,0),FALSE)*(Landbrug!$C$5)*Arealanvendelse!J$26</f>
        <v>#VALUE!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 t="e">
        <f>IF(Landbrug!$D$47&gt;0,SUMIF(Landbrug!$B$32:$B$45,$B10,IF(F8=År2,Landbrug!$D$32:$D$45,Landbrug!$E$32:$E$45)),'[1]Afgrødefordeling - jordtype'!$G8)*(Landbrug!$D$5)*Arealanvendelse!M$26</f>
        <v>#VALUE!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7.6656686866908359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2.1304916240953529</v>
      </c>
      <c r="R10" s="11" t="e">
        <f>IF(Landbrug!$E$47&gt;0,SUMIF(Landbrug!$B$32:$B$45,$B10,IF(I8=År2,Landbrug!$D$32:$D$45,Landbrug!$E$32:$E$45)),'[1]Afgrødefordeling - jordtype'!$G8)*(Landbrug!$E$5)*Arealanvendelse!P$26</f>
        <v>#VALUE!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9.9369779271918226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2.7617484016050868</v>
      </c>
      <c r="U10" s="94"/>
    </row>
    <row r="11" spans="1:26" x14ac:dyDescent="0.25">
      <c r="A11" s="61"/>
      <c r="B11" s="41" t="str">
        <f>[1]Afgrødefordeling!C7</f>
        <v>Kartofler</v>
      </c>
      <c r="C11" s="35" t="e">
        <f>VLOOKUP($B11,'[1]Afgrødefordeling - jordtype'!$F$4:$I$17,MATCH(C$5,'[1]Afgrødefordeling - jordtype'!$F$3:$I$3,0),FALSE)*(1-Landbrug!$C$5)*Arealanvendelse!J$26</f>
        <v>#VALUE!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 t="e">
        <f>IF(Landbrug!$D$47&gt;0,SUMIF(Landbrug!$B$32:$B$45,$B11,IF(F9=År2,Landbrug!$D$32:$D$45,Landbrug!$E$32:$E$45)),'[1]Afgrødefordeling - jordtype'!$G9)*(1-Landbrug!$D$5)*Arealanvendelse!M$26</f>
        <v>#VALUE!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775.43110733760068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722.54761223276046</v>
      </c>
      <c r="I11" s="11" t="e">
        <f>IF(Landbrug!$E$47&gt;0,SUMIF(Landbrug!$B$32:$B$45,$B11,IF(I9=År2,Landbrug!$D$32:$D$45,Landbrug!$E$32:$E$45)),'[1]Afgrødefordeling - jordtype'!$G9)*(1-Landbrug!$E$5)*Arealanvendelse!P$26</f>
        <v>#VALUE!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739.57302144915673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689.13500588673674</v>
      </c>
      <c r="L11" s="35" t="e">
        <f>VLOOKUP($B11,'[1]Afgrødefordeling - jordtype'!$F$4:$I$17,MATCH(C$5,'[1]Afgrødefordeling - jordtype'!$F$3:$I$3,0),FALSE)*(Landbrug!$C$5)*Arealanvendelse!J$26</f>
        <v>#VALUE!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 t="e">
        <f>IF(Landbrug!$D$47&gt;0,SUMIF(Landbrug!$B$32:$B$45,$B11,IF(F9=År2,Landbrug!$D$32:$D$45,Landbrug!$E$32:$E$45)),'[1]Afgrødefordeling - jordtype'!$G9)*(Landbrug!$D$5)*Arealanvendelse!M$26</f>
        <v>#VALUE!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121.0210398734984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112.76754641782966</v>
      </c>
      <c r="R11" s="11" t="e">
        <f>IF(Landbrug!$E$47&gt;0,SUMIF(Landbrug!$B$32:$B$45,$B11,IF(I9=År2,Landbrug!$D$32:$D$45,Landbrug!$E$32:$E$45)),'[1]Afgrødefordeling - jordtype'!$G9)*(Landbrug!$E$5)*Arealanvendelse!P$26</f>
        <v>#VALUE!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156.87912576194233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146.18015276385327</v>
      </c>
      <c r="U11" s="94"/>
    </row>
    <row r="12" spans="1:26" x14ac:dyDescent="0.25">
      <c r="A12" s="61"/>
      <c r="B12" s="41" t="str">
        <f>[1]Afgrødefordeling!C8</f>
        <v>Roer</v>
      </c>
      <c r="C12" s="35" t="e">
        <f>VLOOKUP($B12,'[1]Afgrødefordeling - jordtype'!$F$4:$I$17,MATCH(C$5,'[1]Afgrødefordeling - jordtype'!$F$3:$I$3,0),FALSE)*(1-Landbrug!$C$5)*Arealanvendelse!J$26</f>
        <v>#VALUE!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 t="e">
        <f>IF(Landbrug!$D$47&gt;0,SUMIF(Landbrug!$B$32:$B$45,$B12,IF(F10=År2,Landbrug!$D$32:$D$45,Landbrug!$E$32:$E$45)),'[1]Afgrødefordeling - jordtype'!$G10)*(1-Landbrug!$D$5)*Arealanvendelse!M$26</f>
        <v>#VALUE!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20.343682789424093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7.81367517821608</v>
      </c>
      <c r="I12" s="11" t="e">
        <f>IF(Landbrug!$E$47&gt;0,SUMIF(Landbrug!$B$32:$B$45,$B12,IF(I10=År2,Landbrug!$D$32:$D$45,Landbrug!$E$32:$E$45)),'[1]Afgrødefordeling - jordtype'!$G10)*(1-Landbrug!$E$5)*Arealanvendelse!P$26</f>
        <v>#VALUE!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19.402934452340897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7.4523491584141794</v>
      </c>
      <c r="L12" s="35" t="e">
        <f>VLOOKUP($B12,'[1]Afgrødefordeling - jordtype'!$F$4:$I$17,MATCH(C$5,'[1]Afgrødefordeling - jordtype'!$F$3:$I$3,0),FALSE)*(Landbrug!$C$5)*Arealanvendelse!J$26</f>
        <v>#VALUE!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 t="e">
        <f>IF(Landbrug!$D$47&gt;0,SUMIF(Landbrug!$B$32:$B$45,$B12,IF(F10=År2,Landbrug!$D$32:$D$45,Landbrug!$E$32:$E$45)),'[1]Afgrødefordeling - jordtype'!$G10)*(Landbrug!$D$5)*Arealanvendelse!M$26</f>
        <v>#VALUE!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3.1750256376557835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1.2194753168314114</v>
      </c>
      <c r="R12" s="11" t="e">
        <f>IF(Landbrug!$E$47&gt;0,SUMIF(Landbrug!$B$32:$B$45,$B12,IF(I10=År2,Landbrug!$D$32:$D$45,Landbrug!$E$32:$E$45)),'[1]Afgrødefordeling - jordtype'!$G10)*(Landbrug!$E$5)*Arealanvendelse!P$26</f>
        <v>#VALUE!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4.1157739747389783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1.5808013366333109</v>
      </c>
      <c r="U12" s="94"/>
    </row>
    <row r="13" spans="1:26" x14ac:dyDescent="0.25">
      <c r="A13" s="61"/>
      <c r="B13" s="41" t="str">
        <f>[1]Afgrødefordeling!C9</f>
        <v>Majs</v>
      </c>
      <c r="C13" s="35" t="e">
        <f>VLOOKUP($B13,'[1]Afgrødefordeling - jordtype'!$F$4:$I$17,MATCH(C$5,'[1]Afgrødefordeling - jordtype'!$F$3:$I$3,0),FALSE)*(1-Landbrug!$C$5)*Arealanvendelse!J$26</f>
        <v>#VALUE!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 t="e">
        <f>IF(Landbrug!$D$47&gt;0,SUMIF(Landbrug!$B$32:$B$45,$B13,IF(F11=År2,Landbrug!$D$32:$D$45,Landbrug!$E$32:$E$45)),'[1]Afgrødefordeling - jordtype'!$G11)*(1-Landbrug!$D$5)*Arealanvendelse!M$26</f>
        <v>#VALUE!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2626.0637331851003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971.70700105983565</v>
      </c>
      <c r="I13" s="11" t="e">
        <f>IF(Landbrug!$E$47&gt;0,SUMIF(Landbrug!$B$32:$B$45,$B13,IF(I11=År2,Landbrug!$D$32:$D$45,Landbrug!$E$32:$E$45)),'[1]Afgrødefordeling - jordtype'!$G11)*(1-Landbrug!$E$5)*Arealanvendelse!P$26</f>
        <v>#VALUE!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2504.6272599742283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926.7725732651611</v>
      </c>
      <c r="L13" s="35" t="e">
        <f>VLOOKUP($B13,'[1]Afgrødefordeling - jordtype'!$F$4:$I$17,MATCH(C$5,'[1]Afgrødefordeling - jordtype'!$F$3:$I$3,0),FALSE)*(Landbrug!$C$5)*Arealanvendelse!J$26</f>
        <v>#VALUE!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 t="e">
        <f>IF(Landbrug!$D$47&gt;0,SUMIF(Landbrug!$B$32:$B$45,$B13,IF(F11=År2,Landbrug!$D$32:$D$45,Landbrug!$E$32:$E$45)),'[1]Afgrødefordeling - jordtype'!$G11)*(Landbrug!$D$5)*Arealanvendelse!M$26</f>
        <v>#VALUE!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409.84809708669195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151.6536938070264</v>
      </c>
      <c r="R13" s="11" t="e">
        <f>IF(Landbrug!$E$47&gt;0,SUMIF(Landbrug!$B$32:$B$45,$B13,IF(I11=År2,Landbrug!$D$32:$D$45,Landbrug!$E$32:$E$45)),'[1]Afgrødefordeling - jordtype'!$G11)*(Landbrug!$E$5)*Arealanvendelse!P$26</f>
        <v>#VALUE!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531.28457029756362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196.58812160170083</v>
      </c>
      <c r="U13" s="94"/>
    </row>
    <row r="14" spans="1:26" x14ac:dyDescent="0.25">
      <c r="A14" s="61"/>
      <c r="B14" s="41" t="str">
        <f>[1]Afgrødefordeling!C10</f>
        <v>Frugt</v>
      </c>
      <c r="C14" s="35" t="e">
        <f>VLOOKUP($B14,'[1]Afgrødefordeling - jordtype'!$F$4:$I$17,MATCH(C$5,'[1]Afgrødefordeling - jordtype'!$F$3:$I$3,0),FALSE)*(1-Landbrug!$C$5)*Arealanvendelse!J$26</f>
        <v>#VALUE!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 t="e">
        <f>IF(Landbrug!$D$47&gt;0,SUMIF(Landbrug!$B$32:$B$45,$B14,IF(F12=År2,Landbrug!$D$32:$D$45,Landbrug!$E$32:$E$45)),'[1]Afgrødefordeling - jordtype'!$G12)*(1-Landbrug!$D$5)*Arealanvendelse!M$26</f>
        <v>#VALUE!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44.737253203575285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27.846169827307591</v>
      </c>
      <c r="I14" s="11" t="e">
        <f>IF(Landbrug!$E$47&gt;0,SUMIF(Landbrug!$B$32:$B$45,$B14,IF(I12=År2,Landbrug!$D$32:$D$45,Landbrug!$E$32:$E$45)),'[1]Afgrødefordeling - jordtype'!$G12)*(1-Landbrug!$E$5)*Arealanvendelse!P$26</f>
        <v>#VALUE!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42.668478488959082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26.558485673443656</v>
      </c>
      <c r="L14" s="35" t="e">
        <f>VLOOKUP($B14,'[1]Afgrødefordeling - jordtype'!$F$4:$I$17,MATCH(C$5,'[1]Afgrødefordeling - jordtype'!$F$3:$I$3,0),FALSE)*(Landbrug!$C$5)*Arealanvendelse!J$26</f>
        <v>#VALUE!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 t="e">
        <f>IF(Landbrug!$D$47&gt;0,SUMIF(Landbrug!$B$32:$B$45,$B14,IF(F12=År2,Landbrug!$D$32:$D$45,Landbrug!$E$32:$E$45)),'[1]Afgrødefordeling - jordtype'!$G12)*(Landbrug!$D$5)*Arealanvendelse!M$26</f>
        <v>#VALUE!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6.9821146618296694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4.3459340192907803</v>
      </c>
      <c r="R14" s="11" t="e">
        <f>IF(Landbrug!$E$47&gt;0,SUMIF(Landbrug!$B$32:$B$45,$B14,IF(I12=År2,Landbrug!$D$32:$D$45,Landbrug!$E$32:$E$45)),'[1]Afgrødefordeling - jordtype'!$G12)*(Landbrug!$E$5)*Arealanvendelse!P$26</f>
        <v>#VALUE!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9.0508893764458662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5.6336181731547148</v>
      </c>
      <c r="U14" s="94"/>
    </row>
    <row r="15" spans="1:26" x14ac:dyDescent="0.25">
      <c r="A15" s="61"/>
      <c r="B15" s="41" t="str">
        <f>[1]Afgrødefordeling!C11</f>
        <v>Øvrige</v>
      </c>
      <c r="C15" s="35" t="e">
        <f>VLOOKUP($B15,'[1]Afgrødefordeling - jordtype'!$F$4:$I$17,MATCH(C$5,'[1]Afgrødefordeling - jordtype'!$F$3:$I$3,0),FALSE)*(1-Landbrug!$C$5)*Arealanvendelse!J$26</f>
        <v>#VALUE!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 t="e">
        <f>IF(Landbrug!$D$47&gt;0,SUMIF(Landbrug!$B$32:$B$45,$B15,IF(F13=År2,Landbrug!$D$32:$D$45,Landbrug!$E$32:$E$45)),'[1]Afgrødefordeling - jordtype'!$G13)*(1-Landbrug!$D$5)*Arealanvendelse!M$26</f>
        <v>#VALUE!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791.21864877871178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492.48461375505457</v>
      </c>
      <c r="I15" s="11" t="e">
        <f>IF(Landbrug!$E$47&gt;0,SUMIF(Landbrug!$B$32:$B$45,$B15,IF(I13=År2,Landbrug!$D$32:$D$45,Landbrug!$E$32:$E$45)),'[1]Afgrødefordeling - jordtype'!$G13)*(1-Landbrug!$E$5)*Arealanvendelse!P$26</f>
        <v>#VALUE!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754.6305031704477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469.71075878372255</v>
      </c>
      <c r="L15" s="35" t="e">
        <f>VLOOKUP($B15,'[1]Afgrødefordeling - jordtype'!$F$4:$I$17,MATCH(C$5,'[1]Afgrødefordeling - jordtype'!$F$3:$I$3,0),FALSE)*(Landbrug!$C$5)*Arealanvendelse!J$26</f>
        <v>#VALUE!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 t="e">
        <f>IF(Landbrug!$D$47&gt;0,SUMIF(Landbrug!$B$32:$B$45,$B15,IF(F13=År2,Landbrug!$D$32:$D$45,Landbrug!$E$32:$E$45)),'[1]Afgrødefordeling - jordtype'!$G13)*(Landbrug!$D$5)*Arealanvendelse!M$26</f>
        <v>#VALUE!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123.48499142789146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76.861760528245512</v>
      </c>
      <c r="R15" s="11" t="e">
        <f>IF(Landbrug!$E$47&gt;0,SUMIF(Landbrug!$B$32:$B$45,$B15,IF(I13=År2,Landbrug!$D$32:$D$45,Landbrug!$E$32:$E$45)),'[1]Afgrødefordeling - jordtype'!$G13)*(Landbrug!$E$5)*Arealanvendelse!P$26</f>
        <v>#VALUE!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160.07313703615557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99.635615499577497</v>
      </c>
      <c r="U15" s="94"/>
    </row>
    <row r="16" spans="1:26" x14ac:dyDescent="0.25">
      <c r="A16" s="61"/>
      <c r="B16" s="41" t="str">
        <f>[1]Afgrødefordeling!C12</f>
        <v>Frø</v>
      </c>
      <c r="C16" s="35" t="e">
        <f>VLOOKUP($B16,'[1]Afgrødefordeling - jordtype'!$F$4:$I$17,MATCH(C$5,'[1]Afgrødefordeling - jordtype'!$F$3:$I$3,0),FALSE)*(1-Landbrug!$C$5)*Arealanvendelse!J$26</f>
        <v>#VALUE!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 t="e">
        <f>IF(Landbrug!$D$47&gt;0,SUMIF(Landbrug!$B$32:$B$45,$B16,IF(F14=År2,Landbrug!$D$32:$D$45,Landbrug!$E$32:$E$45)),'[1]Afgrødefordeling - jordtype'!$G14)*(1-Landbrug!$D$5)*Arealanvendelse!M$26</f>
        <v>#VALUE!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1952.9609549061931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1566.9213854799195</v>
      </c>
      <c r="I16" s="11" t="e">
        <f>IF(Landbrug!$E$47&gt;0,SUMIF(Landbrug!$B$32:$B$45,$B16,IF(I14=År2,Landbrug!$D$32:$D$45,Landbrug!$E$32:$E$45)),'[1]Afgrødefordeling - jordtype'!$G14)*(1-Landbrug!$E$5)*Arealanvendelse!P$26</f>
        <v>#VALUE!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1862.6506217313402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1494.4625930877842</v>
      </c>
      <c r="L16" s="35" t="e">
        <f>VLOOKUP($B16,'[1]Afgrødefordeling - jordtype'!$F$4:$I$17,MATCH(C$5,'[1]Afgrødefordeling - jordtype'!$F$3:$I$3,0),FALSE)*(Landbrug!$C$5)*Arealanvendelse!J$26</f>
        <v>#VALUE!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 t="e">
        <f>IF(Landbrug!$D$47&gt;0,SUMIF(Landbrug!$B$32:$B$45,$B16,IF(F14=År2,Landbrug!$D$32:$D$45,Landbrug!$E$32:$E$45)),'[1]Afgrødefordeling - jordtype'!$G14)*(Landbrug!$D$5)*Arealanvendelse!M$26</f>
        <v>#VALUE!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304.79737446512843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244.54842432345563</v>
      </c>
      <c r="R16" s="11" t="e">
        <f>IF(Landbrug!$E$47&gt;0,SUMIF(Landbrug!$B$32:$B$45,$B16,IF(I14=År2,Landbrug!$D$32:$D$45,Landbrug!$E$32:$E$45)),'[1]Afgrødefordeling - jordtype'!$G14)*(Landbrug!$E$5)*Arealanvendelse!P$26</f>
        <v>#VALUE!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395.1077076399813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317.00721671559063</v>
      </c>
      <c r="U16" s="94"/>
    </row>
    <row r="17" spans="1:21" x14ac:dyDescent="0.25">
      <c r="A17" s="61"/>
      <c r="B17" s="42" t="str">
        <f>[1]Afgrødefordeling!C13</f>
        <v>Juletræer</v>
      </c>
      <c r="C17" s="35" t="e">
        <f>VLOOKUP($B17,'[1]Afgrødefordeling - jordtype'!$F$4:$I$17,MATCH(C$5,'[1]Afgrødefordeling - jordtype'!$F$3:$I$3,0),FALSE)*(1-Landbrug!$C$5)*Arealanvendelse!J$26</f>
        <v>#VALUE!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 t="e">
        <f>IF(Landbrug!$D$47&gt;0,SUMIF(Landbrug!$B$32:$B$45,$B17,IF(F15=År2,Landbrug!$D$32:$D$45,Landbrug!$E$32:$E$45)),'[1]Afgrødefordeling - jordtype'!$G15)*(1-Landbrug!$D$5)*Arealanvendelse!M$26</f>
        <v>#VALUE!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224.38166373606674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139.66369115457903</v>
      </c>
      <c r="I17" s="11" t="e">
        <f>IF(Landbrug!$E$47&gt;0,SUMIF(Landbrug!$B$32:$B$45,$B17,IF(I15=År2,Landbrug!$D$32:$D$45,Landbrug!$E$32:$E$45)),'[1]Afgrødefordeling - jordtype'!$G15)*(1-Landbrug!$E$5)*Arealanvendelse!P$26</f>
        <v>#VALUE!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214.00563304306942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133.20525456939615</v>
      </c>
      <c r="L17" s="35" t="e">
        <f>VLOOKUP($B17,'[1]Afgrødefordeling - jordtype'!$F$4:$I$17,MATCH(C$5,'[1]Afgrødefordeling - jordtype'!$F$3:$I$3,0),FALSE)*(Landbrug!$C$5)*Arealanvendelse!J$26</f>
        <v>#VALUE!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 t="e">
        <f>IF(Landbrug!$D$47&gt;0,SUMIF(Landbrug!$B$32:$B$45,$B17,IF(F15=År2,Landbrug!$D$32:$D$45,Landbrug!$E$32:$E$45)),'[1]Afgrødefordeling - jordtype'!$G15)*(Landbrug!$D$5)*Arealanvendelse!M$26</f>
        <v>#VALUE!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35.01910358886591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21.797223474992101</v>
      </c>
      <c r="R17" s="11" t="e">
        <f>IF(Landbrug!$E$47&gt;0,SUMIF(Landbrug!$B$32:$B$45,$B17,IF(I15=År2,Landbrug!$D$32:$D$45,Landbrug!$E$32:$E$45)),'[1]Afgrødefordeling - jordtype'!$G15)*(Landbrug!$E$5)*Arealanvendelse!P$26</f>
        <v>#VALUE!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45.395134281863214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28.255660060174939</v>
      </c>
      <c r="U17" s="94"/>
    </row>
    <row r="18" spans="1:21" x14ac:dyDescent="0.25">
      <c r="A18" s="61"/>
      <c r="B18" s="42" t="str">
        <f>[1]Afgrødefordeling!C14</f>
        <v>Pil &amp; poppel</v>
      </c>
      <c r="C18" s="35" t="e">
        <f>VLOOKUP($B18,'[1]Afgrødefordeling - jordtype'!$F$4:$I$17,MATCH(C$5,'[1]Afgrødefordeling - jordtype'!$F$3:$I$3,0),FALSE)*(1-Landbrug!$C$5)*Arealanvendelse!J$26</f>
        <v>#VALUE!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 t="e">
        <f>IF(Landbrug!$D$47&gt;0,SUMIF(Landbrug!$B$32:$B$45,$B18,IF(F16=År2,Landbrug!$D$32:$D$45,Landbrug!$E$32:$E$45)),'[1]Afgrødefordeling - jordtype'!$G16)*(1-Landbrug!$D$5)*Arealanvendelse!M$26</f>
        <v>#VALUE!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368.51743073956908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329.67947330545348</v>
      </c>
      <c r="I18" s="11" t="e">
        <f>IF(Landbrug!$E$47&gt;0,SUMIF(Landbrug!$B$32:$B$45,$B18,IF(I16=År2,Landbrug!$D$32:$D$45,Landbrug!$E$32:$E$45)),'[1]Afgrødefordeling - jordtype'!$G16)*(1-Landbrug!$E$5)*Arealanvendelse!P$26</f>
        <v>#VALUE!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351.476162266063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314.43417974219551</v>
      </c>
      <c r="L18" s="35" t="e">
        <f>VLOOKUP($B18,'[1]Afgrødefordeling - jordtype'!$F$4:$I$17,MATCH(C$5,'[1]Afgrødefordeling - jordtype'!$F$3:$I$3,0),FALSE)*(Landbrug!$C$5)*Arealanvendelse!J$26</f>
        <v>#VALUE!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 t="e">
        <f>IF(Landbrug!$D$47&gt;0,SUMIF(Landbrug!$B$32:$B$45,$B18,IF(F16=År2,Landbrug!$D$32:$D$45,Landbrug!$E$32:$E$45)),'[1]Afgrødefordeling - jordtype'!$G16)*(Landbrug!$D$5)*Arealanvendelse!M$26</f>
        <v>#VALUE!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57.514281098083039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51.452865775995633</v>
      </c>
      <c r="R18" s="11" t="e">
        <f>IF(Landbrug!$E$47&gt;0,SUMIF(Landbrug!$B$32:$B$45,$B18,IF(I16=År2,Landbrug!$D$32:$D$45,Landbrug!$E$32:$E$45)),'[1]Afgrødefordeling - jordtype'!$G16)*(Landbrug!$E$5)*Arealanvendelse!P$26</f>
        <v>#VALUE!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74.555549571589111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66.698159339253593</v>
      </c>
      <c r="U18" s="94"/>
    </row>
    <row r="19" spans="1:21" x14ac:dyDescent="0.25">
      <c r="A19" s="61"/>
      <c r="B19" s="42" t="str">
        <f>[1]Afgrødefordeling!C15</f>
        <v>Permanent græs</v>
      </c>
      <c r="C19" s="35" t="e">
        <f>VLOOKUP($B19,'[1]Afgrødefordeling - jordtype'!$F$4:$I$17,MATCH(C$5,'[1]Afgrødefordeling - jordtype'!$F$3:$I$3,0),FALSE)*(1-Landbrug!$C$5)*Arealanvendelse!J$26</f>
        <v>#VALUE!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 t="e">
        <f>IF(Landbrug!$D$47&gt;0,SUMIF(Landbrug!$B$32:$B$45,$B19,IF(F17=År2,Landbrug!$D$32:$D$45,Landbrug!$E$32:$E$45)),'[1]Afgrødefordeling - jordtype'!$G17)*(1-Landbrug!$D$5)*Arealanvendelse!M$26</f>
        <v>#VALUE!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40667.094971784412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31481.370371455621</v>
      </c>
      <c r="I19" s="11" t="e">
        <f>IF(Landbrug!$E$47&gt;0,SUMIF(Landbrug!$B$32:$B$45,$B19,IF(I17=År2,Landbrug!$D$32:$D$45,Landbrug!$E$32:$E$45)),'[1]Afgrødefordeling - jordtype'!$G17)*(1-Landbrug!$E$5)*Arealanvendelse!P$26</f>
        <v>#VALUE!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38786.535666730793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30025.584458324727</v>
      </c>
      <c r="L19" s="35" t="e">
        <f>VLOOKUP($B19,'[1]Afgrødefordeling - jordtype'!$F$4:$I$17,MATCH(C$5,'[1]Afgrødefordeling - jordtype'!$F$3:$I$3,0),FALSE)*(Landbrug!$C$5)*Arealanvendelse!J$26</f>
        <v>#VALUE!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 t="e">
        <f>IF(Landbrug!$D$47&gt;0,SUMIF(Landbrug!$B$32:$B$45,$B19,IF(F17=År2,Landbrug!$D$32:$D$45,Landbrug!$E$32:$E$45)),'[1]Afgrødefordeling - jordtype'!$G17)*(Landbrug!$D$5)*Arealanvendelse!M$26</f>
        <v>#VALUE!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6346.8876545559488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4913.2774568167742</v>
      </c>
      <c r="R19" s="11" t="e">
        <f>IF(Landbrug!$E$47&gt;0,SUMIF(Landbrug!$B$32:$B$45,$B19,IF(I17=År2,Landbrug!$D$32:$D$45,Landbrug!$E$32:$E$45)),'[1]Afgrødefordeling - jordtype'!$G17)*(Landbrug!$E$5)*Arealanvendelse!P$26</f>
        <v>#VALUE!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8227.4469596095623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6369.0633699476693</v>
      </c>
      <c r="U19" s="94"/>
    </row>
    <row r="20" spans="1:21" ht="15.75" thickBot="1" x14ac:dyDescent="0.3">
      <c r="A20" s="61"/>
      <c r="B20" s="43" t="s">
        <v>30</v>
      </c>
      <c r="C20" s="36" t="e">
        <f t="shared" ref="C20:T20" si="2">SUM(C6:C19)</f>
        <v>#VALUE!</v>
      </c>
      <c r="D20" s="37">
        <f t="shared" si="2"/>
        <v>80438.813155800992</v>
      </c>
      <c r="E20" s="37">
        <f t="shared" si="2"/>
        <v>62614.567180798636</v>
      </c>
      <c r="F20" s="38" t="e">
        <f t="shared" si="2"/>
        <v>#VALUE!</v>
      </c>
      <c r="G20" s="38">
        <f t="shared" si="2"/>
        <v>72619.812449615012</v>
      </c>
      <c r="H20" s="38">
        <f t="shared" si="2"/>
        <v>55230.474335887062</v>
      </c>
      <c r="I20" s="38" t="e">
        <f t="shared" si="2"/>
        <v>#VALUE!</v>
      </c>
      <c r="J20" s="38">
        <f t="shared" si="2"/>
        <v>69261.670833447832</v>
      </c>
      <c r="K20" s="39">
        <f t="shared" si="2"/>
        <v>52676.463961973204</v>
      </c>
      <c r="L20" s="36" t="e">
        <f t="shared" si="2"/>
        <v>#VALUE!</v>
      </c>
      <c r="M20" s="37">
        <f t="shared" si="2"/>
        <v>10285.028457291377</v>
      </c>
      <c r="N20" s="37">
        <f t="shared" si="2"/>
        <v>8005.9933759608657</v>
      </c>
      <c r="O20" s="38" t="e">
        <f t="shared" si="2"/>
        <v>#VALUE!</v>
      </c>
      <c r="P20" s="38">
        <f t="shared" si="2"/>
        <v>11333.727954564194</v>
      </c>
      <c r="Q20" s="38">
        <f t="shared" si="2"/>
        <v>8619.7850119592531</v>
      </c>
      <c r="R20" s="38" t="e">
        <f t="shared" si="2"/>
        <v>#VALUE!</v>
      </c>
      <c r="S20" s="38">
        <f t="shared" si="2"/>
        <v>14691.86957073136</v>
      </c>
      <c r="T20" s="39">
        <f t="shared" si="2"/>
        <v>11173.795385873105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368" t="s">
        <v>7</v>
      </c>
      <c r="D22" s="369"/>
      <c r="E22" s="370"/>
      <c r="F22" s="374" t="s">
        <v>8</v>
      </c>
      <c r="G22" s="369"/>
      <c r="H22" s="370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10081251.358070999</v>
      </c>
      <c r="E24" s="23">
        <f>($F24+$C24)*Landbrug!E11*(1-Landbrug!E6)</f>
        <v>9651553.6380710006</v>
      </c>
      <c r="F24" s="34">
        <f>SUM([1]Dyrehold!E58:G61)</f>
        <v>475477</v>
      </c>
      <c r="G24" s="11">
        <f>($F24+$C24)*Landbrug!D11*Landbrug!D6</f>
        <v>661191.6419289998</v>
      </c>
      <c r="H24" s="23">
        <f>($F24+$C24)*Landbrug!E11*Landbrug!E6</f>
        <v>1090889.3619289997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1152879.1032080106</v>
      </c>
      <c r="E25" s="23">
        <f>($F25+$C25)*Landbrug!E12*(1-Landbrug!E7)</f>
        <v>1097180.5432080105</v>
      </c>
      <c r="F25" s="34">
        <f>SUM([1]Dyrehold!E36:G51)</f>
        <v>207835</v>
      </c>
      <c r="G25" s="11">
        <f>($F25+$C25)*Landbrug!D12*Landbrug!D7</f>
        <v>239584.89679198936</v>
      </c>
      <c r="H25" s="23">
        <f>($F25+$C25)*Landbrug!E12*Landbrug!E7</f>
        <v>295283.45679198933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17790568.192894831</v>
      </c>
      <c r="E26" s="24">
        <f>($F26+$C26)*Landbrug!E13*(1-Landbrug!E8)</f>
        <v>16939594.832894832</v>
      </c>
      <c r="F26" s="47">
        <f>SUM([1]Dyrehold!E65:G78)</f>
        <v>3062300</v>
      </c>
      <c r="G26" s="16">
        <f>($F26+$C26)*Landbrug!D13*Landbrug!D8</f>
        <v>3483765.8071051692</v>
      </c>
      <c r="H26" s="24">
        <f>($F26+$C26)*Landbrug!E13*Landbrug!E8</f>
        <v>4334739.167105169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365" t="s">
        <v>24</v>
      </c>
      <c r="B29" s="366"/>
      <c r="C29" s="366"/>
      <c r="D29" s="366"/>
      <c r="E29" s="366"/>
      <c r="F29" s="366"/>
      <c r="G29" s="366"/>
      <c r="H29" s="366"/>
      <c r="I29" s="366"/>
      <c r="J29" s="366"/>
      <c r="K29" s="366"/>
      <c r="L29" s="366"/>
      <c r="M29" s="366"/>
      <c r="N29" s="366"/>
      <c r="O29" s="366"/>
      <c r="P29" s="366"/>
      <c r="Q29" s="366"/>
      <c r="R29" s="366"/>
      <c r="S29" s="366"/>
      <c r="T29" s="366"/>
      <c r="U29" s="367"/>
    </row>
    <row r="30" spans="1:21" x14ac:dyDescent="0.25">
      <c r="A30" s="56"/>
      <c r="B30" s="53"/>
      <c r="C30" s="371" t="s">
        <v>7</v>
      </c>
      <c r="D30" s="372"/>
      <c r="E30" s="372"/>
      <c r="F30" s="372"/>
      <c r="G30" s="372"/>
      <c r="H30" s="372"/>
      <c r="I30" s="372"/>
      <c r="J30" s="372"/>
      <c r="K30" s="373"/>
      <c r="L30" s="371" t="s">
        <v>8</v>
      </c>
      <c r="M30" s="372"/>
      <c r="N30" s="372"/>
      <c r="O30" s="372"/>
      <c r="P30" s="372"/>
      <c r="Q30" s="372"/>
      <c r="R30" s="372"/>
      <c r="S30" s="372"/>
      <c r="T30" s="373"/>
      <c r="U30" s="53"/>
    </row>
    <row r="31" spans="1:21" ht="15.75" thickBot="1" x14ac:dyDescent="0.3">
      <c r="A31" s="56"/>
      <c r="B31" s="55"/>
      <c r="C31" s="172">
        <f>År1</f>
        <v>2019</v>
      </c>
      <c r="D31" s="172">
        <f>År1</f>
        <v>2019</v>
      </c>
      <c r="E31" s="172">
        <f>År1</f>
        <v>2019</v>
      </c>
      <c r="F31" s="173">
        <f>År2</f>
        <v>2030</v>
      </c>
      <c r="G31" s="173">
        <f>År2</f>
        <v>2030</v>
      </c>
      <c r="H31" s="173">
        <f>År2</f>
        <v>2030</v>
      </c>
      <c r="I31" s="173">
        <f>År3</f>
        <v>2050</v>
      </c>
      <c r="J31" s="173">
        <f>År3</f>
        <v>2050</v>
      </c>
      <c r="K31" s="173">
        <f>År3</f>
        <v>2050</v>
      </c>
      <c r="L31" s="172">
        <f>År1</f>
        <v>2019</v>
      </c>
      <c r="M31" s="172">
        <f>År1</f>
        <v>2019</v>
      </c>
      <c r="N31" s="172">
        <f>År1</f>
        <v>2019</v>
      </c>
      <c r="O31" s="173">
        <f>År2</f>
        <v>2030</v>
      </c>
      <c r="P31" s="173">
        <f>År2</f>
        <v>2030</v>
      </c>
      <c r="Q31" s="173">
        <f>År2</f>
        <v>2030</v>
      </c>
      <c r="R31" s="173">
        <f>År3</f>
        <v>2050</v>
      </c>
      <c r="S31" s="173">
        <f>År3</f>
        <v>2050</v>
      </c>
      <c r="T31" s="173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 t="e">
        <f>VLOOKUP($B33,'[1]Afgrødefordeling - jordtype'!$O$4:$R$17,MATCH(C$5,'[1]Afgrødefordeling - jordtype'!$O$3:$R$3,0),FALSE)*(1-Landbrug!$C$5)*Arealanvendelse!J$36</f>
        <v>#VALUE!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 t="e">
        <f>IF(Landbrug!$D$47&gt;0,SUMIF(Landbrug!$B$32:$B$45,$B33,IF(F32=År2,Landbrug!$D$32:$D$45,Landbrug!$E$32:$E$45)),'[1]Afgrødefordeling - jordtype'!$P4)*(1-Landbrug!$D$5)*Arealanvendelse!M$36</f>
        <v>#VALUE!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1752.9487519585884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1053.0573109296802</v>
      </c>
      <c r="I33" s="11" t="e">
        <f>IF(Landbrug!$E$47&gt;0,SUMIF(Landbrug!$B$32:$B$45,$B33,IF(I32=År2,Landbrug!$D$32:$D$45,Landbrug!$E$32:$E$45)),'[1]Afgrødefordeling - jordtype'!$P4)*(1-Landbrug!$E$5)*Arealanvendelse!P$36</f>
        <v>#VALUE!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1671.8875379951853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1004.3610190947816</v>
      </c>
      <c r="L33" s="35" t="e">
        <f>VLOOKUP($B33,'[1]Afgrødefordeling - jordtype'!$O$4:$R$17,MATCH(C$5,'[1]Afgrødefordeling - jordtype'!$O$3:$R$3,0),FALSE)*(Landbrug!$C$5)*Arealanvendelse!J$36</f>
        <v>#VALUE!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 t="e">
        <f>IF(Landbrug!$D$47&gt;0,SUMIF(Landbrug!$B$32:$B$45,$B33,IF(O32=År2,Landbrug!$D$32:$D$45,Landbrug!$E$32:$E$45)),'[1]Afgrødefordeling - jordtype'!$P4)*(Landbrug!$D$5)*Arealanvendelse!M$36</f>
        <v>#VALUE!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273.58159712648495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164.34998494278247</v>
      </c>
      <c r="R33" s="11" t="e">
        <f>IF(Landbrug!$E$47&gt;0,SUMIF(Landbrug!$B$32:$B$45,$B33,IF(R32=År2,Landbrug!$D$32:$D$45,Landbrug!$E$32:$E$45)),'[1]Afgrødefordeling - jordtype'!$P4)*(Landbrug!$E$5)*Arealanvendelse!P$36</f>
        <v>#VALUE!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354.6428110898878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213.04627677768096</v>
      </c>
      <c r="U33" s="53"/>
    </row>
    <row r="34" spans="1:21" x14ac:dyDescent="0.25">
      <c r="A34" s="56"/>
      <c r="B34" s="41" t="str">
        <f>[1]Afgrødefordeling!C3</f>
        <v>Bælgsæd</v>
      </c>
      <c r="C34" s="35" t="e">
        <f>VLOOKUP($B34,'[1]Afgrødefordeling - jordtype'!$O$4:$R$17,MATCH(C$5,'[1]Afgrødefordeling - jordtype'!$O$3:$R$3,0),FALSE)*(1-Landbrug!$C$5)*Arealanvendelse!J$36</f>
        <v>#VALUE!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 t="e">
        <f>IF(Landbrug!$D$47&gt;0,SUMIF(Landbrug!$B$32:$B$45,$B34,IF(F33=År2,Landbrug!$D$32:$D$45,Landbrug!$E$32:$E$45)),'[1]Afgrødefordeling - jordtype'!$P5)*(1-Landbrug!$D$5)*Arealanvendelse!M$36</f>
        <v>#VALUE!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47.402536309570174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19.126993325199422</v>
      </c>
      <c r="I34" s="11" t="e">
        <f>IF(Landbrug!$E$47&gt;0,SUMIF(Landbrug!$B$32:$B$45,$B34,IF(I33=År2,Landbrug!$D$32:$D$45,Landbrug!$E$32:$E$45)),'[1]Afgrødefordeling - jordtype'!$P5)*(1-Landbrug!$E$5)*Arealanvendelse!P$36</f>
        <v>#VALUE!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45.21051150912762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18.242508084727771</v>
      </c>
      <c r="L34" s="35" t="e">
        <f>VLOOKUP($B34,'[1]Afgrødefordeling - jordtype'!$O$4:$R$17,MATCH(C$5,'[1]Afgrødefordeling - jordtype'!$O$3:$R$3,0),FALSE)*(Landbrug!$C$5)*Arealanvendelse!J$36</f>
        <v>#VALUE!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 t="e">
        <f>IF(Landbrug!$D$47&gt;0,SUMIF(Landbrug!$B$32:$B$45,$B34,IF(O33=År2,Landbrug!$D$32:$D$45,Landbrug!$E$32:$E$45)),'[1]Afgrødefordeling - jordtype'!$P5)*(Landbrug!$D$5)*Arealanvendelse!M$36</f>
        <v>#VALUE!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7.3980837014936114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2.9851376865918176</v>
      </c>
      <c r="R34" s="11" t="e">
        <f>IF(Landbrug!$E$47&gt;0,SUMIF(Landbrug!$B$32:$B$45,$B34,IF(R33=År2,Landbrug!$D$32:$D$45,Landbrug!$E$32:$E$45)),'[1]Afgrødefordeling - jordtype'!$P5)*(Landbrug!$E$5)*Arealanvendelse!P$36</f>
        <v>#VALUE!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9.5901085019361609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3.8696229270634666</v>
      </c>
      <c r="U34" s="53"/>
    </row>
    <row r="35" spans="1:21" x14ac:dyDescent="0.25">
      <c r="A35" s="56"/>
      <c r="B35" s="41" t="str">
        <f>[1]Afgrødefordeling!C4</f>
        <v>Raps</v>
      </c>
      <c r="C35" s="35" t="e">
        <f>VLOOKUP($B35,'[1]Afgrødefordeling - jordtype'!$O$4:$R$17,MATCH(C$5,'[1]Afgrødefordeling - jordtype'!$O$3:$R$3,0),FALSE)*(1-Landbrug!$C$5)*Arealanvendelse!J$36</f>
        <v>#VALUE!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 t="e">
        <f>IF(Landbrug!$D$47&gt;0,SUMIF(Landbrug!$B$32:$B$45,$B35,IF(F34=År2,Landbrug!$D$32:$D$45,Landbrug!$E$32:$E$45)),'[1]Afgrødefordeling - jordtype'!$P6)*(1-Landbrug!$D$5)*Arealanvendelse!M$36</f>
        <v>#VALUE!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191.46624906280843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93.430886843548848</v>
      </c>
      <c r="I35" s="11" t="e">
        <f>IF(Landbrug!$E$47&gt;0,SUMIF(Landbrug!$B$32:$B$45,$B35,IF(I34=År2,Landbrug!$D$32:$D$45,Landbrug!$E$32:$E$45)),'[1]Afgrødefordeling - jordtype'!$P6)*(1-Landbrug!$E$5)*Arealanvendelse!P$36</f>
        <v>#VALUE!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182.61231847030859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89.110383405696865</v>
      </c>
      <c r="L35" s="35" t="e">
        <f>VLOOKUP($B35,'[1]Afgrødefordeling - jordtype'!$O$4:$R$17,MATCH(C$5,'[1]Afgrødefordeling - jordtype'!$O$3:$R$3,0),FALSE)*(Landbrug!$C$5)*Arealanvendelse!J$36</f>
        <v>#VALUE!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 t="e">
        <f>IF(Landbrug!$D$47&gt;0,SUMIF(Landbrug!$B$32:$B$45,$B35,IF(O34=År2,Landbrug!$D$32:$D$45,Landbrug!$E$32:$E$45)),'[1]Afgrødefordeling - jordtype'!$P6)*(Landbrug!$D$5)*Arealanvendelse!M$36</f>
        <v>#VALUE!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29.882015749686865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14.581699102750399</v>
      </c>
      <c r="R35" s="11" t="e">
        <f>IF(Landbrug!$E$47&gt;0,SUMIF(Landbrug!$B$32:$B$45,$B35,IF(R34=År2,Landbrug!$D$32:$D$45,Landbrug!$E$32:$E$45)),'[1]Afgrødefordeling - jordtype'!$P6)*(Landbrug!$E$5)*Arealanvendelse!P$36</f>
        <v>#VALUE!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38.735946342186679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18.902202540602364</v>
      </c>
      <c r="U35" s="53"/>
    </row>
    <row r="36" spans="1:21" x14ac:dyDescent="0.25">
      <c r="A36" s="56"/>
      <c r="B36" s="41" t="str">
        <f>[1]Afgrødefordeling!C5</f>
        <v>Græs</v>
      </c>
      <c r="C36" s="35" t="e">
        <f>VLOOKUP($B36,'[1]Afgrødefordeling - jordtype'!$O$4:$R$17,MATCH(C$5,'[1]Afgrødefordeling - jordtype'!$O$3:$R$3,0),FALSE)*(1-Landbrug!$C$5)*Arealanvendelse!J$36</f>
        <v>#VALUE!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 t="e">
        <f>IF(Landbrug!$D$47&gt;0,SUMIF(Landbrug!$B$32:$B$45,$B36,IF(F35=År2,Landbrug!$D$32:$D$45,Landbrug!$E$32:$E$45)),'[1]Afgrødefordeling - jordtype'!$P7)*(1-Landbrug!$D$5)*Arealanvendelse!M$36</f>
        <v>#VALUE!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562.99099727781993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686.58489509283288</v>
      </c>
      <c r="I36" s="11" t="e">
        <f>IF(Landbrug!$E$47&gt;0,SUMIF(Landbrug!$B$32:$B$45,$B36,IF(I35=År2,Landbrug!$D$32:$D$45,Landbrug!$E$32:$E$45)),'[1]Afgrødefordeling - jordtype'!$P7)*(1-Landbrug!$E$5)*Arealanvendelse!P$36</f>
        <v>#VALUE!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536.95673150774724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654.83530456830886</v>
      </c>
      <c r="L36" s="35" t="e">
        <f>VLOOKUP($B36,'[1]Afgrødefordeling - jordtype'!$O$4:$R$17,MATCH(C$5,'[1]Afgrødefordeling - jordtype'!$O$3:$R$3,0),FALSE)*(Landbrug!$C$5)*Arealanvendelse!J$36</f>
        <v>#VALUE!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 t="e">
        <f>IF(Landbrug!$D$47&gt;0,SUMIF(Landbrug!$B$32:$B$45,$B36,IF(O35=År2,Landbrug!$D$32:$D$45,Landbrug!$E$32:$E$45)),'[1]Afgrødefordeling - jordtype'!$P7)*(Landbrug!$D$5)*Arealanvendelse!M$36</f>
        <v>#VALUE!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87.865646973995027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107.15486802026872</v>
      </c>
      <c r="R36" s="11" t="e">
        <f>IF(Landbrug!$E$47&gt;0,SUMIF(Landbrug!$B$32:$B$45,$B36,IF(R35=År2,Landbrug!$D$32:$D$45,Landbrug!$E$32:$E$45)),'[1]Afgrødefordeling - jordtype'!$P7)*(Landbrug!$E$5)*Arealanvendelse!P$36</f>
        <v>#VALUE!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113.89991274406761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138.90445854479279</v>
      </c>
      <c r="U36" s="53"/>
    </row>
    <row r="37" spans="1:21" x14ac:dyDescent="0.25">
      <c r="A37" s="56"/>
      <c r="B37" s="41" t="str">
        <f>[1]Afgrødefordeling!C6</f>
        <v>Grøntsager</v>
      </c>
      <c r="C37" s="35" t="e">
        <f>VLOOKUP($B37,'[1]Afgrødefordeling - jordtype'!$O$4:$R$17,MATCH(C$5,'[1]Afgrødefordeling - jordtype'!$O$3:$R$3,0),FALSE)*(1-Landbrug!$C$5)*Arealanvendelse!J$36</f>
        <v>#VALUE!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 t="e">
        <f>IF(Landbrug!$D$47&gt;0,SUMIF(Landbrug!$B$32:$B$45,$B37,IF(F36=År2,Landbrug!$D$32:$D$45,Landbrug!$E$32:$E$45)),'[1]Afgrødefordeling - jordtype'!$P8)*(1-Landbrug!$D$5)*Arealanvendelse!M$36</f>
        <v>#VALUE!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10.662439786194978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3.2314797199590726</v>
      </c>
      <c r="I37" s="11" t="e">
        <f>IF(Landbrug!$E$47&gt;0,SUMIF(Landbrug!$B$32:$B$45,$B37,IF(I36=År2,Landbrug!$D$32:$D$45,Landbrug!$E$32:$E$45)),'[1]Afgrødefordeling - jordtype'!$P8)*(1-Landbrug!$E$5)*Arealanvendelse!P$36</f>
        <v>#VALUE!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10.169378986833362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3.0820471317528724</v>
      </c>
      <c r="L37" s="35" t="e">
        <f>VLOOKUP($B37,'[1]Afgrødefordeling - jordtype'!$O$4:$R$17,MATCH(C$5,'[1]Afgrødefordeling - jordtype'!$O$3:$R$3,0),FALSE)*(Landbrug!$C$5)*Arealanvendelse!J$36</f>
        <v>#VALUE!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 t="e">
        <f>IF(Landbrug!$D$47&gt;0,SUMIF(Landbrug!$B$32:$B$45,$B37,IF(O36=År2,Landbrug!$D$32:$D$45,Landbrug!$E$32:$E$45)),'[1]Afgrødefordeling - jordtype'!$P8)*(Landbrug!$D$5)*Arealanvendelse!M$36</f>
        <v>#VALUE!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1.6640801978454596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0.50433498519592468</v>
      </c>
      <c r="R37" s="11" t="e">
        <f>IF(Landbrug!$E$47&gt;0,SUMIF(Landbrug!$B$32:$B$45,$B37,IF(R36=År2,Landbrug!$D$32:$D$45,Landbrug!$E$32:$E$45)),'[1]Afgrødefordeling - jordtype'!$P8)*(Landbrug!$E$5)*Arealanvendelse!P$36</f>
        <v>#VALUE!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2.1571409972070765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0.65376757340212444</v>
      </c>
      <c r="U37" s="53"/>
    </row>
    <row r="38" spans="1:21" x14ac:dyDescent="0.25">
      <c r="A38" s="56"/>
      <c r="B38" s="41" t="str">
        <f>[1]Afgrødefordeling!C7</f>
        <v>Kartofler</v>
      </c>
      <c r="C38" s="35" t="e">
        <f>VLOOKUP($B38,'[1]Afgrødefordeling - jordtype'!$O$4:$R$17,MATCH(C$5,'[1]Afgrødefordeling - jordtype'!$O$3:$R$3,0),FALSE)*(1-Landbrug!$C$5)*Arealanvendelse!J$36</f>
        <v>#VALUE!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 t="e">
        <f>IF(Landbrug!$D$47&gt;0,SUMIF(Landbrug!$B$32:$B$45,$B38,IF(F37=År2,Landbrug!$D$32:$D$45,Landbrug!$E$32:$E$45)),'[1]Afgrødefordeling - jordtype'!$P9)*(1-Landbrug!$D$5)*Arealanvendelse!M$36</f>
        <v>#VALUE!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18.127123488677832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18.419048913328059</v>
      </c>
      <c r="I38" s="11" t="e">
        <f>IF(Landbrug!$E$47&gt;0,SUMIF(Landbrug!$B$32:$B$45,$B38,IF(I37=År2,Landbrug!$D$32:$D$45,Landbrug!$E$32:$E$45)),'[1]Afgrødefordeling - jordtype'!$P9)*(1-Landbrug!$E$5)*Arealanvendelse!P$36</f>
        <v>#VALUE!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17.288875003652265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17.567300986700172</v>
      </c>
      <c r="L38" s="35" t="e">
        <f>VLOOKUP($B38,'[1]Afgrødefordeling - jordtype'!$O$4:$R$17,MATCH(C$5,'[1]Afgrødefordeling - jordtype'!$O$3:$R$3,0),FALSE)*(Landbrug!$C$5)*Arealanvendelse!J$36</f>
        <v>#VALUE!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 t="e">
        <f>IF(Landbrug!$D$47&gt;0,SUMIF(Landbrug!$B$32:$B$45,$B38,IF(O37=År2,Landbrug!$D$32:$D$45,Landbrug!$E$32:$E$45)),'[1]Afgrødefordeling - jordtype'!$P9)*(Landbrug!$D$5)*Arealanvendelse!M$36</f>
        <v>#VALUE!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2.8290886369612802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2.8746492523691192</v>
      </c>
      <c r="R38" s="11" t="e">
        <f>IF(Landbrug!$E$47&gt;0,SUMIF(Landbrug!$B$32:$B$45,$B38,IF(R37=År2,Landbrug!$D$32:$D$45,Landbrug!$E$32:$E$45)),'[1]Afgrødefordeling - jordtype'!$P9)*(Landbrug!$E$5)*Arealanvendelse!P$36</f>
        <v>#VALUE!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3.6673371219868445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3.7263971789970061</v>
      </c>
      <c r="U38" s="53"/>
    </row>
    <row r="39" spans="1:21" x14ac:dyDescent="0.25">
      <c r="A39" s="56"/>
      <c r="B39" s="41" t="str">
        <f>[1]Afgrødefordeling!C8</f>
        <v>Roer</v>
      </c>
      <c r="C39" s="35" t="e">
        <f>VLOOKUP($B39,'[1]Afgrødefordeling - jordtype'!$O$4:$R$17,MATCH(C$5,'[1]Afgrødefordeling - jordtype'!$O$3:$R$3,0),FALSE)*(1-Landbrug!$C$5)*Arealanvendelse!J$36</f>
        <v>#VALUE!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 t="e">
        <f>IF(Landbrug!$D$47&gt;0,SUMIF(Landbrug!$B$32:$B$45,$B39,IF(F38=År2,Landbrug!$D$32:$D$45,Landbrug!$E$32:$E$45)),'[1]Afgrødefordeling - jordtype'!$P10)*(1-Landbrug!$D$5)*Arealanvendelse!M$36</f>
        <v>#VALUE!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50.643369270114505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21.211111456389141</v>
      </c>
      <c r="I39" s="11" t="e">
        <f>IF(Landbrug!$E$47&gt;0,SUMIF(Landbrug!$B$32:$B$45,$B39,IF(I38=År2,Landbrug!$D$32:$D$45,Landbrug!$E$32:$E$45)),'[1]Afgrødefordeling - jordtype'!$P10)*(1-Landbrug!$E$5)*Arealanvendelse!P$36</f>
        <v>#VALUE!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48.301479361669905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20.230250811006982</v>
      </c>
      <c r="L39" s="35" t="e">
        <f>VLOOKUP($B39,'[1]Afgrødefordeling - jordtype'!$O$4:$R$17,MATCH(C$5,'[1]Afgrødefordeling - jordtype'!$O$3:$R$3,0),FALSE)*(Landbrug!$C$5)*Arealanvendelse!J$36</f>
        <v>#VALUE!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 t="e">
        <f>IF(Landbrug!$D$47&gt;0,SUMIF(Landbrug!$B$32:$B$45,$B39,IF(O38=År2,Landbrug!$D$32:$D$45,Landbrug!$E$32:$E$45)),'[1]Afgrødefordeling - jordtype'!$P10)*(Landbrug!$D$5)*Arealanvendelse!M$36</f>
        <v>#VALUE!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7.9038784410005301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3.3104046781647791</v>
      </c>
      <c r="R39" s="11" t="e">
        <f>IF(Landbrug!$E$47&gt;0,SUMIF(Landbrug!$B$32:$B$45,$B39,IF(R38=År2,Landbrug!$D$32:$D$45,Landbrug!$E$32:$E$45)),'[1]Afgrødefordeling - jordtype'!$P10)*(Landbrug!$E$5)*Arealanvendelse!P$36</f>
        <v>#VALUE!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10.245768349445131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4.291265323546936</v>
      </c>
      <c r="U39" s="53"/>
    </row>
    <row r="40" spans="1:21" x14ac:dyDescent="0.25">
      <c r="A40" s="56"/>
      <c r="B40" s="41" t="str">
        <f>[1]Afgrødefordeling!C9</f>
        <v>Majs</v>
      </c>
      <c r="C40" s="35" t="e">
        <f>VLOOKUP($B40,'[1]Afgrødefordeling - jordtype'!$O$4:$R$17,MATCH(C$5,'[1]Afgrødefordeling - jordtype'!$O$3:$R$3,0),FALSE)*(1-Landbrug!$C$5)*Arealanvendelse!J$36</f>
        <v>#VALUE!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 t="e">
        <f>IF(Landbrug!$D$47&gt;0,SUMIF(Landbrug!$B$32:$B$45,$B40,IF(F39=År2,Landbrug!$D$32:$D$45,Landbrug!$E$32:$E$45)),'[1]Afgrødefordeling - jordtype'!$P11)*(1-Landbrug!$D$5)*Arealanvendelse!M$36</f>
        <v>#VALUE!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53.993646777040333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21.786516121482823</v>
      </c>
      <c r="I40" s="11" t="e">
        <f>IF(Landbrug!$E$47&gt;0,SUMIF(Landbrug!$B$32:$B$45,$B40,IF(I39=År2,Landbrug!$D$32:$D$45,Landbrug!$E$32:$E$45)),'[1]Afgrødefordeling - jordtype'!$P11)*(1-Landbrug!$E$5)*Arealanvendelse!P$36</f>
        <v>#VALUE!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51.496830741107829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20.77904716788824</v>
      </c>
      <c r="L40" s="35" t="e">
        <f>VLOOKUP($B40,'[1]Afgrødefordeling - jordtype'!$O$4:$R$17,MATCH(C$5,'[1]Afgrødefordeling - jordtype'!$O$3:$R$3,0),FALSE)*(Landbrug!$C$5)*Arealanvendelse!J$36</f>
        <v>#VALUE!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 t="e">
        <f>IF(Landbrug!$D$47&gt;0,SUMIF(Landbrug!$B$32:$B$45,$B40,IF(O39=År2,Landbrug!$D$32:$D$45,Landbrug!$E$32:$E$45)),'[1]Afgrødefordeling - jordtype'!$P11)*(Landbrug!$D$5)*Arealanvendelse!M$36</f>
        <v>#VALUE!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8.4267541212721913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3.4002077183817128</v>
      </c>
      <c r="R40" s="11" t="e">
        <f>IF(Landbrug!$E$47&gt;0,SUMIF(Landbrug!$B$32:$B$45,$B40,IF(R39=År2,Landbrug!$D$32:$D$45,Landbrug!$E$32:$E$45)),'[1]Afgrødefordeling - jordtype'!$P11)*(Landbrug!$E$5)*Arealanvendelse!P$36</f>
        <v>#VALUE!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10.923570157204692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4.4076766719762936</v>
      </c>
      <c r="U40" s="53"/>
    </row>
    <row r="41" spans="1:21" x14ac:dyDescent="0.25">
      <c r="A41" s="56"/>
      <c r="B41" s="41" t="str">
        <f>[1]Afgrødefordeling!C10</f>
        <v>Frugt</v>
      </c>
      <c r="C41" s="35" t="e">
        <f>VLOOKUP($B41,'[1]Afgrødefordeling - jordtype'!$O$4:$R$17,MATCH(C$5,'[1]Afgrødefordeling - jordtype'!$O$3:$R$3,0),FALSE)*(1-Landbrug!$C$5)*Arealanvendelse!J$36</f>
        <v>#VALUE!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 t="e">
        <f>IF(Landbrug!$D$47&gt;0,SUMIF(Landbrug!$B$32:$B$45,$B41,IF(F40=År2,Landbrug!$D$32:$D$45,Landbrug!$E$32:$E$45)),'[1]Afgrødefordeling - jordtype'!$P12)*(1-Landbrug!$D$5)*Arealanvendelse!M$36</f>
        <v>#VALUE!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11.647539532185737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7.9057923278821436</v>
      </c>
      <c r="I41" s="11" t="e">
        <f>IF(Landbrug!$E$47&gt;0,SUMIF(Landbrug!$B$32:$B$45,$B41,IF(I40=År2,Landbrug!$D$32:$D$45,Landbrug!$E$32:$E$45)),'[1]Afgrødefordeling - jordtype'!$P12)*(1-Landbrug!$E$5)*Arealanvendelse!P$36</f>
        <v>#VALUE!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11.108924987344778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7.5402065554945299</v>
      </c>
      <c r="L41" s="35" t="e">
        <f>VLOOKUP($B41,'[1]Afgrødefordeling - jordtype'!$O$4:$R$17,MATCH(C$5,'[1]Afgrødefordeling - jordtype'!$O$3:$R$3,0),FALSE)*(Landbrug!$C$5)*Arealanvendelse!J$36</f>
        <v>#VALUE!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 t="e">
        <f>IF(Landbrug!$D$47&gt;0,SUMIF(Landbrug!$B$32:$B$45,$B41,IF(O40=År2,Landbrug!$D$32:$D$45,Landbrug!$E$32:$E$45)),'[1]Afgrødefordeling - jordtype'!$P12)*(Landbrug!$D$5)*Arealanvendelse!M$36</f>
        <v>#VALUE!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1.8178240888382367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1.2338519818081959</v>
      </c>
      <c r="R41" s="11" t="e">
        <f>IF(Landbrug!$E$47&gt;0,SUMIF(Landbrug!$B$32:$B$45,$B41,IF(R40=År2,Landbrug!$D$32:$D$45,Landbrug!$E$32:$E$45)),'[1]Afgrødefordeling - jordtype'!$P12)*(Landbrug!$E$5)*Arealanvendelse!P$36</f>
        <v>#VALUE!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2.3564386336791951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1.5994377541958094</v>
      </c>
      <c r="U41" s="53"/>
    </row>
    <row r="42" spans="1:21" x14ac:dyDescent="0.25">
      <c r="A42" s="56"/>
      <c r="B42" s="41" t="str">
        <f>[1]Afgrødefordeling!C11</f>
        <v>Øvrige</v>
      </c>
      <c r="C42" s="35" t="e">
        <f>VLOOKUP($B42,'[1]Afgrødefordeling - jordtype'!$O$4:$R$17,MATCH(C$5,'[1]Afgrødefordeling - jordtype'!$O$3:$R$3,0),FALSE)*(1-Landbrug!$C$5)*Arealanvendelse!J$36</f>
        <v>#VALUE!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 t="e">
        <f>IF(Landbrug!$D$47&gt;0,SUMIF(Landbrug!$B$32:$B$45,$B42,IF(F41=År2,Landbrug!$D$32:$D$45,Landbrug!$E$32:$E$45)),'[1]Afgrødefordeling - jordtype'!$P13)*(1-Landbrug!$D$5)*Arealanvendelse!M$36</f>
        <v>#VALUE!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83.169081452753318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56.451191622853806</v>
      </c>
      <c r="I42" s="11" t="e">
        <f>IF(Landbrug!$E$47&gt;0,SUMIF(Landbrug!$B$32:$B$45,$B42,IF(I41=År2,Landbrug!$D$32:$D$45,Landbrug!$E$32:$E$45)),'[1]Afgrødefordeling - jordtype'!$P13)*(1-Landbrug!$E$5)*Arealanvendelse!P$36</f>
        <v>#VALUE!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79.323112368232927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53.840731894629357</v>
      </c>
      <c r="L42" s="35" t="e">
        <f>VLOOKUP($B42,'[1]Afgrødefordeling - jordtype'!$O$4:$R$17,MATCH(C$5,'[1]Afgrødefordeling - jordtype'!$O$3:$R$3,0),FALSE)*(Landbrug!$C$5)*Arealanvendelse!J$36</f>
        <v>#VALUE!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 t="e">
        <f>IF(Landbrug!$D$47&gt;0,SUMIF(Landbrug!$B$32:$B$45,$B42,IF(O41=År2,Landbrug!$D$32:$D$45,Landbrug!$E$32:$E$45)),'[1]Afgrødefordeling - jordtype'!$P13)*(Landbrug!$D$5)*Arealanvendelse!M$36</f>
        <v>#VALUE!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12.9801456602563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8.8103015827575319</v>
      </c>
      <c r="R42" s="11" t="e">
        <f>IF(Landbrug!$E$47&gt;0,SUMIF(Landbrug!$B$32:$B$45,$B42,IF(R41=År2,Landbrug!$D$32:$D$45,Landbrug!$E$32:$E$45)),'[1]Afgrødefordeling - jordtype'!$P13)*(Landbrug!$E$5)*Arealanvendelse!P$36</f>
        <v>#VALUE!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16.826114744776682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11.420761310981984</v>
      </c>
      <c r="U42" s="53"/>
    </row>
    <row r="43" spans="1:21" x14ac:dyDescent="0.25">
      <c r="A43" s="56"/>
      <c r="B43" s="41" t="str">
        <f>[1]Afgrødefordeling!C12</f>
        <v>Frø</v>
      </c>
      <c r="C43" s="35" t="e">
        <f>VLOOKUP($B43,'[1]Afgrødefordeling - jordtype'!$O$4:$R$17,MATCH(C$5,'[1]Afgrødefordeling - jordtype'!$O$3:$R$3,0),FALSE)*(1-Landbrug!$C$5)*Arealanvendelse!J$36</f>
        <v>#VALUE!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 t="e">
        <f>IF(Landbrug!$D$47&gt;0,SUMIF(Landbrug!$B$32:$B$45,$B43,IF(F42=År2,Landbrug!$D$32:$D$45,Landbrug!$E$32:$E$45)),'[1]Afgrødefordeling - jordtype'!$P14)*(1-Landbrug!$D$5)*Arealanvendelse!M$36</f>
        <v>#VALUE!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603.80358732362868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528.28027242495364</v>
      </c>
      <c r="I43" s="11" t="e">
        <f>IF(Landbrug!$E$47&gt;0,SUMIF(Landbrug!$B$32:$B$45,$B43,IF(I42=År2,Landbrug!$D$32:$D$45,Landbrug!$E$32:$E$45)),'[1]Afgrødefordeling - jordtype'!$P14)*(1-Landbrug!$E$5)*Arealanvendelse!P$36</f>
        <v>#VALUE!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575.88203415259386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503.85112687929109</v>
      </c>
      <c r="L43" s="35" t="e">
        <f>VLOOKUP($B43,'[1]Afgrødefordeling - jordtype'!$O$4:$R$17,MATCH(C$5,'[1]Afgrødefordeling - jordtype'!$O$3:$R$3,0),FALSE)*(Landbrug!$C$5)*Arealanvendelse!J$36</f>
        <v>#VALUE!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 t="e">
        <f>IF(Landbrug!$D$47&gt;0,SUMIF(Landbrug!$B$32:$B$45,$B43,IF(O42=År2,Landbrug!$D$32:$D$45,Landbrug!$E$32:$E$45)),'[1]Afgrødefordeling - jordtype'!$P14)*(Landbrug!$D$5)*Arealanvendelse!M$36</f>
        <v>#VALUE!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94.235241952242646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82.448366216611277</v>
      </c>
      <c r="R43" s="11" t="e">
        <f>IF(Landbrug!$E$47&gt;0,SUMIF(Landbrug!$B$32:$B$45,$B43,IF(R42=År2,Landbrug!$D$32:$D$45,Landbrug!$E$32:$E$45)),'[1]Afgrødefordeling - jordtype'!$P14)*(Landbrug!$E$5)*Arealanvendelse!P$36</f>
        <v>#VALUE!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122.15679512327748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106.87751176227387</v>
      </c>
      <c r="U43" s="53"/>
    </row>
    <row r="44" spans="1:21" x14ac:dyDescent="0.25">
      <c r="A44" s="56"/>
      <c r="B44" s="42" t="str">
        <f>[1]Afgrødefordeling!C13</f>
        <v>Juletræer</v>
      </c>
      <c r="C44" s="35" t="e">
        <f>VLOOKUP($B44,'[1]Afgrødefordeling - jordtype'!$O$4:$R$17,MATCH(C$5,'[1]Afgrødefordeling - jordtype'!$O$3:$R$3,0),FALSE)*(1-Landbrug!$C$5)*Arealanvendelse!J$36</f>
        <v>#VALUE!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 t="e">
        <f>IF(Landbrug!$D$47&gt;0,SUMIF(Landbrug!$B$32:$B$45,$B44,IF(F43=År2,Landbrug!$D$32:$D$45,Landbrug!$E$32:$E$45)),'[1]Afgrødefordeling - jordtype'!$P15)*(1-Landbrug!$D$5)*Arealanvendelse!M$36</f>
        <v>#VALUE!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18.25162816502359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12.388331588802384</v>
      </c>
      <c r="I44" s="11" t="e">
        <f>IF(Landbrug!$E$47&gt;0,SUMIF(Landbrug!$B$32:$B$45,$B44,IF(I43=År2,Landbrug!$D$32:$D$45,Landbrug!$E$32:$E$45)),'[1]Afgrødefordeling - jordtype'!$P15)*(1-Landbrug!$E$5)*Arealanvendelse!P$36</f>
        <v>#VALUE!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17.407622238317295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11.815460763886664</v>
      </c>
      <c r="L44" s="35" t="e">
        <f>VLOOKUP($B44,'[1]Afgrødefordeling - jordtype'!$O$4:$R$17,MATCH(C$5,'[1]Afgrødefordeling - jordtype'!$O$3:$R$3,0),FALSE)*(Landbrug!$C$5)*Arealanvendelse!J$36</f>
        <v>#VALUE!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 t="e">
        <f>IF(Landbrug!$D$47&gt;0,SUMIF(Landbrug!$B$32:$B$45,$B44,IF(O43=År2,Landbrug!$D$32:$D$45,Landbrug!$E$32:$E$45)),'[1]Afgrødefordeling - jordtype'!$P15)*(Landbrug!$D$5)*Arealanvendelse!M$36</f>
        <v>#VALUE!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2.8485200026337401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1.9334390340905452</v>
      </c>
      <c r="R44" s="11" t="e">
        <f>IF(Landbrug!$E$47&gt;0,SUMIF(Landbrug!$B$32:$B$45,$B44,IF(R43=År2,Landbrug!$D$32:$D$45,Landbrug!$E$32:$E$45)),'[1]Afgrødefordeling - jordtype'!$P15)*(Landbrug!$E$5)*Arealanvendelse!P$36</f>
        <v>#VALUE!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3.6925259293400323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2.5063098590062625</v>
      </c>
      <c r="U44" s="53"/>
    </row>
    <row r="45" spans="1:21" x14ac:dyDescent="0.25">
      <c r="A45" s="56"/>
      <c r="B45" s="42" t="str">
        <f>[1]Afgrødefordeling!C14</f>
        <v>Pil &amp; poppel</v>
      </c>
      <c r="C45" s="35" t="e">
        <f>VLOOKUP($B45,'[1]Afgrødefordeling - jordtype'!$O$4:$R$17,MATCH(C$5,'[1]Afgrødefordeling - jordtype'!$O$3:$R$3,0),FALSE)*(1-Landbrug!$C$5)*Arealanvendelse!J$36</f>
        <v>#VALUE!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 t="e">
        <f>IF(Landbrug!$D$47&gt;0,SUMIF(Landbrug!$B$32:$B$45,$B45,IF(F44=År2,Landbrug!$D$32:$D$45,Landbrug!$E$32:$E$45)),'[1]Afgrødefordeling - jordtype'!$P16)*(1-Landbrug!$D$5)*Arealanvendelse!M$36</f>
        <v>#VALUE!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38.736771764982237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37.789605201644072</v>
      </c>
      <c r="I45" s="11" t="e">
        <f>IF(Landbrug!$E$47&gt;0,SUMIF(Landbrug!$B$32:$B$45,$B45,IF(I44=År2,Landbrug!$D$32:$D$45,Landbrug!$E$32:$E$45)),'[1]Afgrødefordeling - jordtype'!$P16)*(1-Landbrug!$E$5)*Arealanvendelse!P$36</f>
        <v>#VALUE!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36.945475960821213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36.042109007348387</v>
      </c>
      <c r="L45" s="35" t="e">
        <f>VLOOKUP($B45,'[1]Afgrødefordeling - jordtype'!$O$4:$R$17,MATCH(C$5,'[1]Afgrødefordeling - jordtype'!$O$3:$R$3,0),FALSE)*(Landbrug!$C$5)*Arealanvendelse!J$36</f>
        <v>#VALUE!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 t="e">
        <f>IF(Landbrug!$D$47&gt;0,SUMIF(Landbrug!$B$32:$B$45,$B45,IF(O44=År2,Landbrug!$D$32:$D$45,Landbrug!$E$32:$E$45)),'[1]Afgrødefordeling - jordtype'!$P16)*(Landbrug!$D$5)*Arealanvendelse!M$36</f>
        <v>#VALUE!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6.0456233390434706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5.8977996557479182</v>
      </c>
      <c r="R45" s="11" t="e">
        <f>IF(Landbrug!$E$47&gt;0,SUMIF(Landbrug!$B$32:$B$45,$B45,IF(R44=År2,Landbrug!$D$32:$D$45,Landbrug!$E$32:$E$45)),'[1]Afgrødefordeling - jordtype'!$P16)*(Landbrug!$E$5)*Arealanvendelse!P$36</f>
        <v>#VALUE!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7.8369191432044989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7.6452958500435964</v>
      </c>
      <c r="U45" s="53"/>
    </row>
    <row r="46" spans="1:21" x14ac:dyDescent="0.25">
      <c r="A46" s="56"/>
      <c r="B46" s="42" t="str">
        <f>[1]Afgrødefordeling!C15</f>
        <v>Permanent græs</v>
      </c>
      <c r="C46" s="35" t="e">
        <f>VLOOKUP($B46,'[1]Afgrødefordeling - jordtype'!$O$4:$R$17,MATCH(C$5,'[1]Afgrødefordeling - jordtype'!$O$3:$R$3,0),FALSE)*(1-Landbrug!$C$5)*Arealanvendelse!J$36</f>
        <v>#VALUE!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 t="e">
        <f>IF(Landbrug!$D$47&gt;0,SUMIF(Landbrug!$B$32:$B$45,$B46,IF(F45=År2,Landbrug!$D$32:$D$45,Landbrug!$E$32:$E$45)),'[1]Afgrødefordeling - jordtype'!$P17)*(1-Landbrug!$D$5)*Arealanvendelse!M$36</f>
        <v>#VALUE!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4383.0738282155862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3393.0422285443651</v>
      </c>
      <c r="I46" s="11" t="e">
        <f>IF(Landbrug!$E$47&gt;0,SUMIF(Landbrug!$B$32:$B$45,$B46,IF(I45=År2,Landbrug!$D$32:$D$45,Landbrug!$E$32:$E$45)),'[1]Afgrødefordeling - jordtype'!$P17)*(1-Landbrug!$E$5)*Arealanvendelse!P$36</f>
        <v>#VALUE!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4180.3883332692003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3236.1385416752614</v>
      </c>
      <c r="L46" s="35" t="e">
        <f>VLOOKUP($B46,'[1]Afgrødefordeling - jordtype'!$O$4:$R$17,MATCH(C$5,'[1]Afgrødefordeling - jordtype'!$O$3:$R$3,0),FALSE)*(Landbrug!$C$5)*Arealanvendelse!J$36</f>
        <v>#VALUE!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 t="e">
        <f>IF(Landbrug!$D$47&gt;0,SUMIF(Landbrug!$B$32:$B$45,$B46,IF(O45=År2,Landbrug!$D$32:$D$45,Landbrug!$E$32:$E$45)),'[1]Afgrødefordeling - jordtype'!$P17)*(Landbrug!$D$5)*Arealanvendelse!M$36</f>
        <v>#VALUE!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684.06354544405099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529.54994318322474</v>
      </c>
      <c r="R46" s="11" t="e">
        <f>IF(Landbrug!$E$47&gt;0,SUMIF(Landbrug!$B$32:$B$45,$B46,IF(R45=År2,Landbrug!$D$32:$D$45,Landbrug!$E$32:$E$45)),'[1]Afgrødefordeling - jordtype'!$P17)*(Landbrug!$E$5)*Arealanvendelse!P$36</f>
        <v>#VALUE!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886.74904039043645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686.45363005232821</v>
      </c>
      <c r="U46" s="53"/>
    </row>
    <row r="47" spans="1:21" ht="15.75" thickBot="1" x14ac:dyDescent="0.3">
      <c r="A47" s="56"/>
      <c r="B47" s="44" t="s">
        <v>30</v>
      </c>
      <c r="C47" s="36" t="e">
        <f t="shared" ref="C47:T47" si="3">SUM(C33:C46)</f>
        <v>#VALUE!</v>
      </c>
      <c r="D47" s="37">
        <f t="shared" si="3"/>
        <v>8669.6445113803693</v>
      </c>
      <c r="E47" s="37">
        <f t="shared" si="3"/>
        <v>6748.5585303208809</v>
      </c>
      <c r="F47" s="38" t="e">
        <f t="shared" si="3"/>
        <v>#VALUE!</v>
      </c>
      <c r="G47" s="38">
        <f t="shared" si="3"/>
        <v>7826.9175503849747</v>
      </c>
      <c r="H47" s="38">
        <f t="shared" si="3"/>
        <v>5952.705664112922</v>
      </c>
      <c r="I47" s="38" t="e">
        <f t="shared" si="3"/>
        <v>#VALUE!</v>
      </c>
      <c r="J47" s="38">
        <f t="shared" si="3"/>
        <v>7464.9791665521425</v>
      </c>
      <c r="K47" s="39">
        <f t="shared" si="3"/>
        <v>5677.4360380267753</v>
      </c>
      <c r="L47" s="36" t="e">
        <f t="shared" si="3"/>
        <v>#VALUE!</v>
      </c>
      <c r="M47" s="37">
        <f t="shared" si="3"/>
        <v>1108.5138755272228</v>
      </c>
      <c r="N47" s="37">
        <f t="shared" si="3"/>
        <v>862.88091291960029</v>
      </c>
      <c r="O47" s="38" t="e">
        <f t="shared" si="3"/>
        <v>#VALUE!</v>
      </c>
      <c r="P47" s="38">
        <f t="shared" si="3"/>
        <v>1221.5420454358054</v>
      </c>
      <c r="Q47" s="38">
        <f t="shared" si="3"/>
        <v>929.03498804074502</v>
      </c>
      <c r="R47" s="38" t="e">
        <f t="shared" si="3"/>
        <v>#VALUE!</v>
      </c>
      <c r="S47" s="38">
        <f t="shared" si="3"/>
        <v>1583.4804292686363</v>
      </c>
      <c r="T47" s="39">
        <f t="shared" si="3"/>
        <v>1204.3046141268917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368" t="s">
        <v>7</v>
      </c>
      <c r="D49" s="369"/>
      <c r="E49" s="370"/>
      <c r="F49" s="374" t="s">
        <v>8</v>
      </c>
      <c r="G49" s="369"/>
      <c r="H49" s="370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249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J33"/>
  <sheetViews>
    <sheetView topLeftCell="A2" workbookViewId="0">
      <selection activeCell="B5" sqref="B5:AG23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1.28515625" bestFit="1" customWidth="1"/>
    <col min="37" max="37" width="12" bestFit="1" customWidth="1"/>
    <col min="38" max="38" width="11.28515625" bestFit="1" customWidth="1"/>
    <col min="39" max="39" width="11.710937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6" x14ac:dyDescent="0.25">
      <c r="A3" s="77" t="s">
        <v>175</v>
      </c>
      <c r="B3" s="77" t="s">
        <v>62</v>
      </c>
    </row>
    <row r="4" spans="1:36" x14ac:dyDescent="0.25">
      <c r="A4" s="77" t="s">
        <v>60</v>
      </c>
      <c r="B4" s="171" t="s">
        <v>15</v>
      </c>
      <c r="C4" s="171" t="s">
        <v>49</v>
      </c>
      <c r="D4" s="171" t="s">
        <v>103</v>
      </c>
      <c r="E4" s="171" t="s">
        <v>102</v>
      </c>
      <c r="F4" s="171" t="s">
        <v>19</v>
      </c>
      <c r="G4" s="171" t="s">
        <v>138</v>
      </c>
      <c r="H4" s="171" t="s">
        <v>97</v>
      </c>
      <c r="I4" s="171" t="s">
        <v>54</v>
      </c>
      <c r="J4" s="171" t="s">
        <v>159</v>
      </c>
      <c r="K4" s="171" t="s">
        <v>51</v>
      </c>
      <c r="L4" s="171" t="s">
        <v>6</v>
      </c>
      <c r="M4" s="171" t="s">
        <v>68</v>
      </c>
      <c r="N4" s="171" t="s">
        <v>163</v>
      </c>
      <c r="O4" s="171" t="s">
        <v>160</v>
      </c>
      <c r="P4" s="171" t="s">
        <v>104</v>
      </c>
      <c r="Q4" s="171" t="s">
        <v>12</v>
      </c>
      <c r="R4" s="171" t="s">
        <v>48</v>
      </c>
      <c r="S4" s="171" t="s">
        <v>137</v>
      </c>
      <c r="T4" s="171" t="s">
        <v>109</v>
      </c>
      <c r="U4" s="171" t="s">
        <v>53</v>
      </c>
      <c r="V4" s="171" t="s">
        <v>117</v>
      </c>
      <c r="W4" s="171" t="s">
        <v>14</v>
      </c>
      <c r="X4" s="171" t="s">
        <v>50</v>
      </c>
      <c r="Y4" s="171" t="s">
        <v>52</v>
      </c>
      <c r="Z4" s="171" t="s">
        <v>108</v>
      </c>
      <c r="AA4" s="171" t="s">
        <v>141</v>
      </c>
      <c r="AB4" s="171" t="s">
        <v>136</v>
      </c>
      <c r="AC4" s="171" t="s">
        <v>13</v>
      </c>
      <c r="AD4" s="171" t="s">
        <v>96</v>
      </c>
      <c r="AE4" s="171" t="s">
        <v>120</v>
      </c>
      <c r="AF4" s="171" t="s">
        <v>240</v>
      </c>
      <c r="AG4" s="171" t="s">
        <v>233</v>
      </c>
      <c r="AH4" s="171" t="s">
        <v>111</v>
      </c>
      <c r="AI4" s="171" t="s">
        <v>116</v>
      </c>
      <c r="AJ4" s="171" t="s">
        <v>61</v>
      </c>
    </row>
    <row r="5" spans="1:36" x14ac:dyDescent="0.25">
      <c r="A5" s="78" t="s">
        <v>110</v>
      </c>
      <c r="B5" s="242"/>
      <c r="C5" s="242"/>
      <c r="D5" s="242">
        <v>1462906</v>
      </c>
      <c r="E5" s="242">
        <v>3840095.3813778022</v>
      </c>
      <c r="F5" s="242"/>
      <c r="G5" s="242">
        <v>20984.90236249438</v>
      </c>
      <c r="H5" s="242"/>
      <c r="I5" s="242"/>
      <c r="J5" s="242">
        <v>428226</v>
      </c>
      <c r="K5" s="242">
        <v>257031</v>
      </c>
      <c r="L5" s="242"/>
      <c r="M5" s="242">
        <v>227802</v>
      </c>
      <c r="N5" s="242">
        <v>234</v>
      </c>
      <c r="O5" s="242"/>
      <c r="P5" s="242">
        <v>2444654</v>
      </c>
      <c r="Q5" s="242"/>
      <c r="R5" s="242">
        <v>11357.999999999998</v>
      </c>
      <c r="S5" s="242">
        <v>29145673.580622546</v>
      </c>
      <c r="T5" s="242"/>
      <c r="U5" s="242">
        <v>990078</v>
      </c>
      <c r="V5" s="242"/>
      <c r="W5" s="242"/>
      <c r="X5" s="242"/>
      <c r="Y5" s="242">
        <v>85935</v>
      </c>
      <c r="Z5" s="242"/>
      <c r="AA5" s="242">
        <v>8334841.759060693</v>
      </c>
      <c r="AB5" s="242">
        <v>33319229.334160008</v>
      </c>
      <c r="AC5" s="242"/>
      <c r="AD5" s="242"/>
      <c r="AE5" s="242"/>
      <c r="AF5" s="242"/>
      <c r="AG5" s="242"/>
      <c r="AH5" s="242"/>
      <c r="AI5" s="242"/>
      <c r="AJ5" s="242">
        <v>80569048.957583547</v>
      </c>
    </row>
    <row r="6" spans="1:36" x14ac:dyDescent="0.25">
      <c r="A6" s="79">
        <v>2019</v>
      </c>
      <c r="B6" s="242"/>
      <c r="C6" s="242"/>
      <c r="D6" s="242">
        <v>729134</v>
      </c>
      <c r="E6" s="242">
        <v>757087.00000000012</v>
      </c>
      <c r="F6" s="242"/>
      <c r="G6" s="242">
        <v>4441.5</v>
      </c>
      <c r="H6" s="242"/>
      <c r="I6" s="242"/>
      <c r="J6" s="242">
        <v>142742</v>
      </c>
      <c r="K6" s="242">
        <v>85676.999999999985</v>
      </c>
      <c r="L6" s="242"/>
      <c r="M6" s="242">
        <v>75934</v>
      </c>
      <c r="N6" s="242">
        <v>78</v>
      </c>
      <c r="O6" s="242"/>
      <c r="P6" s="242">
        <v>995654</v>
      </c>
      <c r="Q6" s="242"/>
      <c r="R6" s="242">
        <v>3785.9999999999991</v>
      </c>
      <c r="S6" s="242">
        <v>4353509.666666667</v>
      </c>
      <c r="T6" s="242"/>
      <c r="U6" s="242">
        <v>330026</v>
      </c>
      <c r="V6" s="242"/>
      <c r="W6" s="242"/>
      <c r="X6" s="242"/>
      <c r="Y6" s="242">
        <v>28645.000000000004</v>
      </c>
      <c r="Z6" s="242"/>
      <c r="AA6" s="242">
        <v>2668834</v>
      </c>
      <c r="AB6" s="242">
        <v>2914869.3333333335</v>
      </c>
      <c r="AC6" s="242"/>
      <c r="AD6" s="242"/>
      <c r="AE6" s="242"/>
      <c r="AF6" s="242"/>
      <c r="AG6" s="242"/>
      <c r="AH6" s="242"/>
      <c r="AI6" s="242"/>
      <c r="AJ6" s="242">
        <v>13090417.500000002</v>
      </c>
    </row>
    <row r="7" spans="1:36" x14ac:dyDescent="0.25">
      <c r="A7" s="79">
        <v>2030</v>
      </c>
      <c r="B7" s="242"/>
      <c r="C7" s="242"/>
      <c r="D7" s="242">
        <v>363995</v>
      </c>
      <c r="E7" s="242">
        <v>1505490.464025514</v>
      </c>
      <c r="F7" s="242"/>
      <c r="G7" s="242">
        <v>8138.6352546285043</v>
      </c>
      <c r="H7" s="242"/>
      <c r="I7" s="242"/>
      <c r="J7" s="242">
        <v>142742</v>
      </c>
      <c r="K7" s="242">
        <v>85677</v>
      </c>
      <c r="L7" s="242"/>
      <c r="M7" s="242">
        <v>75934.000000000015</v>
      </c>
      <c r="N7" s="242">
        <v>78</v>
      </c>
      <c r="O7" s="242"/>
      <c r="P7" s="242">
        <v>725967.99999999977</v>
      </c>
      <c r="Q7" s="242"/>
      <c r="R7" s="242">
        <v>3785.9999999999991</v>
      </c>
      <c r="S7" s="242">
        <v>12515657.295601793</v>
      </c>
      <c r="T7" s="242"/>
      <c r="U7" s="242">
        <v>330026</v>
      </c>
      <c r="V7" s="242"/>
      <c r="W7" s="242"/>
      <c r="X7" s="242"/>
      <c r="Y7" s="242">
        <v>28645.000000000004</v>
      </c>
      <c r="Z7" s="242"/>
      <c r="AA7" s="242">
        <v>2775329.8009308982</v>
      </c>
      <c r="AB7" s="242">
        <v>15533219.712531526</v>
      </c>
      <c r="AC7" s="242"/>
      <c r="AD7" s="242"/>
      <c r="AE7" s="242"/>
      <c r="AF7" s="242"/>
      <c r="AG7" s="242"/>
      <c r="AH7" s="242"/>
      <c r="AI7" s="242"/>
      <c r="AJ7" s="242">
        <v>34094686.908344358</v>
      </c>
    </row>
    <row r="8" spans="1:36" x14ac:dyDescent="0.25">
      <c r="A8" s="79">
        <v>2050</v>
      </c>
      <c r="B8" s="242"/>
      <c r="C8" s="242"/>
      <c r="D8" s="242">
        <v>369777</v>
      </c>
      <c r="E8" s="242">
        <v>1577517.9173522878</v>
      </c>
      <c r="F8" s="242"/>
      <c r="G8" s="242">
        <v>8404.7671078658768</v>
      </c>
      <c r="H8" s="242"/>
      <c r="I8" s="242"/>
      <c r="J8" s="242">
        <v>142742</v>
      </c>
      <c r="K8" s="242">
        <v>85677.000000000015</v>
      </c>
      <c r="L8" s="242"/>
      <c r="M8" s="242">
        <v>75934</v>
      </c>
      <c r="N8" s="242">
        <v>78</v>
      </c>
      <c r="O8" s="242"/>
      <c r="P8" s="242">
        <v>723032.00000000023</v>
      </c>
      <c r="Q8" s="242"/>
      <c r="R8" s="242">
        <v>3786</v>
      </c>
      <c r="S8" s="242">
        <v>12276506.618354084</v>
      </c>
      <c r="T8" s="242"/>
      <c r="U8" s="242">
        <v>330026</v>
      </c>
      <c r="V8" s="242"/>
      <c r="W8" s="242"/>
      <c r="X8" s="242"/>
      <c r="Y8" s="242">
        <v>28645</v>
      </c>
      <c r="Z8" s="242"/>
      <c r="AA8" s="242">
        <v>2890677.9581297943</v>
      </c>
      <c r="AB8" s="242">
        <v>14871140.288295148</v>
      </c>
      <c r="AC8" s="242"/>
      <c r="AD8" s="242"/>
      <c r="AE8" s="242"/>
      <c r="AF8" s="242"/>
      <c r="AG8" s="242"/>
      <c r="AH8" s="242"/>
      <c r="AI8" s="242"/>
      <c r="AJ8" s="242">
        <v>33383944.549239181</v>
      </c>
    </row>
    <row r="9" spans="1:36" x14ac:dyDescent="0.25">
      <c r="A9" s="78" t="s">
        <v>113</v>
      </c>
      <c r="B9" s="242"/>
      <c r="C9" s="242">
        <v>217245.27668679622</v>
      </c>
      <c r="D9" s="242"/>
      <c r="E9" s="242"/>
      <c r="F9" s="242"/>
      <c r="G9" s="242"/>
      <c r="H9" s="242"/>
      <c r="I9" s="242"/>
      <c r="J9" s="242"/>
      <c r="K9" s="242">
        <v>41219273.95581004</v>
      </c>
      <c r="L9" s="242"/>
      <c r="M9" s="242">
        <v>2603926.024732016</v>
      </c>
      <c r="N9" s="242"/>
      <c r="O9" s="242">
        <v>16263222.796414331</v>
      </c>
      <c r="P9" s="242"/>
      <c r="Q9" s="242">
        <v>0</v>
      </c>
      <c r="R9" s="242">
        <v>19802510.429103382</v>
      </c>
      <c r="S9" s="242"/>
      <c r="T9" s="242">
        <v>5105264.0021397118</v>
      </c>
      <c r="U9" s="242">
        <v>19054221.142737754</v>
      </c>
      <c r="V9" s="242"/>
      <c r="W9" s="242"/>
      <c r="X9" s="242"/>
      <c r="Y9" s="242">
        <v>2833240.4834569679</v>
      </c>
      <c r="Z9" s="242">
        <v>132761.00241970882</v>
      </c>
      <c r="AA9" s="242"/>
      <c r="AB9" s="242"/>
      <c r="AC9" s="242"/>
      <c r="AD9" s="242"/>
      <c r="AE9" s="242"/>
      <c r="AF9" s="242">
        <v>721133.62677978189</v>
      </c>
      <c r="AG9" s="242"/>
      <c r="AH9" s="242"/>
      <c r="AI9" s="242"/>
      <c r="AJ9" s="242">
        <v>107952798.74028048</v>
      </c>
    </row>
    <row r="10" spans="1:36" x14ac:dyDescent="0.25">
      <c r="A10" s="79">
        <v>2019</v>
      </c>
      <c r="B10" s="242"/>
      <c r="C10" s="242">
        <v>72415.092228932088</v>
      </c>
      <c r="D10" s="242"/>
      <c r="E10" s="242"/>
      <c r="F10" s="242"/>
      <c r="G10" s="242"/>
      <c r="H10" s="242"/>
      <c r="I10" s="242"/>
      <c r="J10" s="242"/>
      <c r="K10" s="242">
        <v>13739757.985270014</v>
      </c>
      <c r="L10" s="242"/>
      <c r="M10" s="242">
        <v>867975.34157733875</v>
      </c>
      <c r="N10" s="242"/>
      <c r="O10" s="242">
        <v>5421074.2654714445</v>
      </c>
      <c r="P10" s="242"/>
      <c r="Q10" s="242">
        <v>0</v>
      </c>
      <c r="R10" s="242">
        <v>6600836.8097011279</v>
      </c>
      <c r="S10" s="242"/>
      <c r="T10" s="242">
        <v>1701754.6673799041</v>
      </c>
      <c r="U10" s="242">
        <v>6351407.0475792512</v>
      </c>
      <c r="V10" s="242"/>
      <c r="W10" s="242"/>
      <c r="X10" s="242"/>
      <c r="Y10" s="242">
        <v>944413.49448565592</v>
      </c>
      <c r="Z10" s="242">
        <v>44253.667473236274</v>
      </c>
      <c r="AA10" s="242"/>
      <c r="AB10" s="242"/>
      <c r="AC10" s="242"/>
      <c r="AD10" s="242"/>
      <c r="AE10" s="242"/>
      <c r="AF10" s="242">
        <v>240377.87559326066</v>
      </c>
      <c r="AG10" s="242"/>
      <c r="AH10" s="242"/>
      <c r="AI10" s="242"/>
      <c r="AJ10" s="242">
        <v>35984266.24676016</v>
      </c>
    </row>
    <row r="11" spans="1:36" x14ac:dyDescent="0.25">
      <c r="A11" s="79">
        <v>2030</v>
      </c>
      <c r="B11" s="242"/>
      <c r="C11" s="242">
        <v>72415.092228932073</v>
      </c>
      <c r="D11" s="242"/>
      <c r="E11" s="242"/>
      <c r="F11" s="242"/>
      <c r="G11" s="242"/>
      <c r="H11" s="242"/>
      <c r="I11" s="242"/>
      <c r="J11" s="242"/>
      <c r="K11" s="242">
        <v>13739757.985270012</v>
      </c>
      <c r="L11" s="242"/>
      <c r="M11" s="242">
        <v>867975.34157733864</v>
      </c>
      <c r="N11" s="242"/>
      <c r="O11" s="242">
        <v>5421074.2654714435</v>
      </c>
      <c r="P11" s="242"/>
      <c r="Q11" s="242">
        <v>0</v>
      </c>
      <c r="R11" s="242">
        <v>6600836.809701127</v>
      </c>
      <c r="S11" s="242"/>
      <c r="T11" s="242">
        <v>1701754.6673799036</v>
      </c>
      <c r="U11" s="242">
        <v>6351407.0475792503</v>
      </c>
      <c r="V11" s="242"/>
      <c r="W11" s="242"/>
      <c r="X11" s="242"/>
      <c r="Y11" s="242">
        <v>944413.49448565592</v>
      </c>
      <c r="Z11" s="242">
        <v>44253.667473236274</v>
      </c>
      <c r="AA11" s="242"/>
      <c r="AB11" s="242"/>
      <c r="AC11" s="242"/>
      <c r="AD11" s="242"/>
      <c r="AE11" s="242"/>
      <c r="AF11" s="242">
        <v>240377.87559326063</v>
      </c>
      <c r="AG11" s="242"/>
      <c r="AH11" s="242"/>
      <c r="AI11" s="242"/>
      <c r="AJ11" s="242">
        <v>35984266.246760152</v>
      </c>
    </row>
    <row r="12" spans="1:36" x14ac:dyDescent="0.25">
      <c r="A12" s="79">
        <v>2050</v>
      </c>
      <c r="B12" s="242"/>
      <c r="C12" s="242">
        <v>72415.092228932073</v>
      </c>
      <c r="D12" s="242"/>
      <c r="E12" s="242"/>
      <c r="F12" s="242"/>
      <c r="G12" s="242"/>
      <c r="H12" s="242"/>
      <c r="I12" s="242"/>
      <c r="J12" s="242"/>
      <c r="K12" s="242">
        <v>13739757.985270012</v>
      </c>
      <c r="L12" s="242"/>
      <c r="M12" s="242">
        <v>867975.34157733864</v>
      </c>
      <c r="N12" s="242"/>
      <c r="O12" s="242">
        <v>5421074.2654714435</v>
      </c>
      <c r="P12" s="242"/>
      <c r="Q12" s="242">
        <v>0</v>
      </c>
      <c r="R12" s="242">
        <v>6600836.809701127</v>
      </c>
      <c r="S12" s="242"/>
      <c r="T12" s="242">
        <v>1701754.6673799036</v>
      </c>
      <c r="U12" s="242">
        <v>6351407.0475792503</v>
      </c>
      <c r="V12" s="242"/>
      <c r="W12" s="242"/>
      <c r="X12" s="242"/>
      <c r="Y12" s="242">
        <v>944413.49448565592</v>
      </c>
      <c r="Z12" s="242">
        <v>44253.667473236274</v>
      </c>
      <c r="AA12" s="242"/>
      <c r="AB12" s="242"/>
      <c r="AC12" s="242"/>
      <c r="AD12" s="242"/>
      <c r="AE12" s="242"/>
      <c r="AF12" s="242">
        <v>240377.87559326063</v>
      </c>
      <c r="AG12" s="242"/>
      <c r="AH12" s="242"/>
      <c r="AI12" s="242"/>
      <c r="AJ12" s="242">
        <v>35984266.246760152</v>
      </c>
    </row>
    <row r="13" spans="1:36" x14ac:dyDescent="0.25">
      <c r="A13" s="78" t="s">
        <v>128</v>
      </c>
      <c r="B13" s="242">
        <v>182574.19618217932</v>
      </c>
      <c r="C13" s="242">
        <v>0</v>
      </c>
      <c r="D13" s="242"/>
      <c r="E13" s="242"/>
      <c r="F13" s="242">
        <v>281468.55244752642</v>
      </c>
      <c r="G13" s="242"/>
      <c r="H13" s="242">
        <v>197788.71253069426</v>
      </c>
      <c r="I13" s="242">
        <v>1445379.0531089196</v>
      </c>
      <c r="J13" s="242"/>
      <c r="K13" s="242"/>
      <c r="L13" s="242">
        <v>1513844.376677237</v>
      </c>
      <c r="M13" s="242"/>
      <c r="N13" s="242"/>
      <c r="O13" s="242"/>
      <c r="P13" s="242"/>
      <c r="Q13" s="242">
        <v>692260.49385742994</v>
      </c>
      <c r="R13" s="242">
        <v>1658382.281988129</v>
      </c>
      <c r="S13" s="242"/>
      <c r="T13" s="242"/>
      <c r="U13" s="242"/>
      <c r="V13" s="242">
        <v>2647325.8446415998</v>
      </c>
      <c r="W13" s="242">
        <v>336392.95646566537</v>
      </c>
      <c r="X13" s="242"/>
      <c r="Y13" s="242"/>
      <c r="Z13" s="242"/>
      <c r="AA13" s="242"/>
      <c r="AB13" s="242"/>
      <c r="AC13" s="242">
        <v>682979.63888483576</v>
      </c>
      <c r="AD13" s="242"/>
      <c r="AE13" s="242"/>
      <c r="AF13" s="242"/>
      <c r="AG13" s="242"/>
      <c r="AH13" s="242"/>
      <c r="AI13" s="242"/>
      <c r="AJ13" s="242">
        <v>9638396.1067842171</v>
      </c>
    </row>
    <row r="14" spans="1:36" x14ac:dyDescent="0.25">
      <c r="A14" s="79">
        <v>2019</v>
      </c>
      <c r="B14" s="242">
        <v>58403.100598004137</v>
      </c>
      <c r="C14" s="242">
        <v>0</v>
      </c>
      <c r="D14" s="242"/>
      <c r="E14" s="242"/>
      <c r="F14" s="242">
        <v>90038.113421923044</v>
      </c>
      <c r="G14" s="242"/>
      <c r="H14" s="242">
        <v>63270.025647837821</v>
      </c>
      <c r="I14" s="242">
        <v>462357.87973419944</v>
      </c>
      <c r="J14" s="242"/>
      <c r="K14" s="242"/>
      <c r="L14" s="242">
        <v>484259.042458451</v>
      </c>
      <c r="M14" s="242"/>
      <c r="N14" s="242"/>
      <c r="O14" s="242"/>
      <c r="P14" s="242"/>
      <c r="Q14" s="242">
        <v>221445.08976743236</v>
      </c>
      <c r="R14" s="242">
        <v>530494.83043187088</v>
      </c>
      <c r="S14" s="242"/>
      <c r="T14" s="242"/>
      <c r="U14" s="242"/>
      <c r="V14" s="242">
        <v>846844.95867106004</v>
      </c>
      <c r="W14" s="242">
        <v>107607.71285182264</v>
      </c>
      <c r="X14" s="242"/>
      <c r="Y14" s="242"/>
      <c r="Z14" s="242"/>
      <c r="AA14" s="242"/>
      <c r="AB14" s="242"/>
      <c r="AC14" s="242">
        <v>218476.26548703379</v>
      </c>
      <c r="AD14" s="242"/>
      <c r="AE14" s="242"/>
      <c r="AF14" s="242"/>
      <c r="AG14" s="242"/>
      <c r="AH14" s="242"/>
      <c r="AI14" s="242"/>
      <c r="AJ14" s="242">
        <v>3083197.0190696353</v>
      </c>
    </row>
    <row r="15" spans="1:36" x14ac:dyDescent="0.25">
      <c r="A15" s="79">
        <v>2030</v>
      </c>
      <c r="B15" s="242">
        <v>60789.12467762841</v>
      </c>
      <c r="C15" s="242">
        <v>0</v>
      </c>
      <c r="D15" s="242"/>
      <c r="E15" s="242"/>
      <c r="F15" s="242">
        <v>93716.56721134379</v>
      </c>
      <c r="G15" s="242"/>
      <c r="H15" s="242">
        <v>65854.885067430776</v>
      </c>
      <c r="I15" s="242">
        <v>481247.23703122488</v>
      </c>
      <c r="J15" s="242"/>
      <c r="K15" s="242"/>
      <c r="L15" s="242">
        <v>504043.1587853356</v>
      </c>
      <c r="M15" s="242"/>
      <c r="N15" s="242"/>
      <c r="O15" s="242"/>
      <c r="P15" s="242"/>
      <c r="Q15" s="242">
        <v>230492.09773600774</v>
      </c>
      <c r="R15" s="242">
        <v>552167.88248845807</v>
      </c>
      <c r="S15" s="242"/>
      <c r="T15" s="242"/>
      <c r="U15" s="242"/>
      <c r="V15" s="242">
        <v>881442.3078256119</v>
      </c>
      <c r="W15" s="242">
        <v>112003.96221853035</v>
      </c>
      <c r="X15" s="242"/>
      <c r="Y15" s="242"/>
      <c r="Z15" s="242"/>
      <c r="AA15" s="242"/>
      <c r="AB15" s="242"/>
      <c r="AC15" s="242">
        <v>227401.98389822827</v>
      </c>
      <c r="AD15" s="242"/>
      <c r="AE15" s="242"/>
      <c r="AF15" s="242"/>
      <c r="AG15" s="242"/>
      <c r="AH15" s="242"/>
      <c r="AI15" s="242"/>
      <c r="AJ15" s="242">
        <v>3209159.2069397997</v>
      </c>
    </row>
    <row r="16" spans="1:36" x14ac:dyDescent="0.25">
      <c r="A16" s="79">
        <v>2050</v>
      </c>
      <c r="B16" s="242">
        <v>63381.970906546776</v>
      </c>
      <c r="C16" s="242">
        <v>0</v>
      </c>
      <c r="D16" s="242"/>
      <c r="E16" s="242"/>
      <c r="F16" s="242">
        <v>97713.871814259604</v>
      </c>
      <c r="G16" s="242"/>
      <c r="H16" s="242">
        <v>68663.801815425672</v>
      </c>
      <c r="I16" s="242">
        <v>501773.93634349527</v>
      </c>
      <c r="J16" s="242"/>
      <c r="K16" s="242"/>
      <c r="L16" s="242">
        <v>525542.17543345026</v>
      </c>
      <c r="M16" s="242"/>
      <c r="N16" s="242"/>
      <c r="O16" s="242"/>
      <c r="P16" s="242"/>
      <c r="Q16" s="242">
        <v>240323.30635398987</v>
      </c>
      <c r="R16" s="242">
        <v>575719.56906779984</v>
      </c>
      <c r="S16" s="242"/>
      <c r="T16" s="242"/>
      <c r="U16" s="242"/>
      <c r="V16" s="242">
        <v>919038.57814492821</v>
      </c>
      <c r="W16" s="242">
        <v>116781.28139531243</v>
      </c>
      <c r="X16" s="242"/>
      <c r="Y16" s="242"/>
      <c r="Z16" s="242"/>
      <c r="AA16" s="242"/>
      <c r="AB16" s="242"/>
      <c r="AC16" s="242">
        <v>237101.38949957371</v>
      </c>
      <c r="AD16" s="242"/>
      <c r="AE16" s="242"/>
      <c r="AF16" s="242"/>
      <c r="AG16" s="242"/>
      <c r="AH16" s="242"/>
      <c r="AI16" s="242"/>
      <c r="AJ16" s="242">
        <v>3346039.8807747816</v>
      </c>
    </row>
    <row r="17" spans="1:36" x14ac:dyDescent="0.25">
      <c r="A17" s="78" t="s">
        <v>121</v>
      </c>
      <c r="B17" s="242"/>
      <c r="C17" s="242"/>
      <c r="D17" s="242">
        <v>0</v>
      </c>
      <c r="E17" s="242"/>
      <c r="F17" s="242"/>
      <c r="G17" s="242"/>
      <c r="H17" s="242"/>
      <c r="I17" s="242"/>
      <c r="J17" s="242"/>
      <c r="K17" s="242"/>
      <c r="L17" s="242"/>
      <c r="M17" s="242">
        <v>5904271.7605436053</v>
      </c>
      <c r="N17" s="242">
        <v>2948193</v>
      </c>
      <c r="O17" s="242"/>
      <c r="P17" s="242"/>
      <c r="Q17" s="242"/>
      <c r="R17" s="242"/>
      <c r="S17" s="242"/>
      <c r="T17" s="242"/>
      <c r="U17" s="242"/>
      <c r="V17" s="242"/>
      <c r="W17" s="242"/>
      <c r="X17" s="242"/>
      <c r="Y17" s="242"/>
      <c r="Z17" s="242"/>
      <c r="AA17" s="242"/>
      <c r="AB17" s="242"/>
      <c r="AC17" s="242"/>
      <c r="AD17" s="242">
        <v>608691.6287406272</v>
      </c>
      <c r="AE17" s="242">
        <v>8733568.819759516</v>
      </c>
      <c r="AF17" s="242"/>
      <c r="AG17" s="242">
        <v>425267.56849537406</v>
      </c>
      <c r="AH17" s="242"/>
      <c r="AI17" s="242"/>
      <c r="AJ17" s="242">
        <v>18619992.777539127</v>
      </c>
    </row>
    <row r="18" spans="1:36" x14ac:dyDescent="0.25">
      <c r="A18" s="79">
        <v>2019</v>
      </c>
      <c r="B18" s="242"/>
      <c r="C18" s="242"/>
      <c r="D18" s="242">
        <v>0</v>
      </c>
      <c r="E18" s="242"/>
      <c r="F18" s="242"/>
      <c r="G18" s="242"/>
      <c r="H18" s="242"/>
      <c r="I18" s="242"/>
      <c r="J18" s="242"/>
      <c r="K18" s="242"/>
      <c r="L18" s="242"/>
      <c r="M18" s="242">
        <v>1893765.2125355615</v>
      </c>
      <c r="N18" s="242">
        <v>982731</v>
      </c>
      <c r="O18" s="242"/>
      <c r="P18" s="242"/>
      <c r="Q18" s="242"/>
      <c r="R18" s="242"/>
      <c r="S18" s="242"/>
      <c r="T18" s="242"/>
      <c r="U18" s="242"/>
      <c r="V18" s="242"/>
      <c r="W18" s="242"/>
      <c r="X18" s="242"/>
      <c r="Y18" s="242"/>
      <c r="Z18" s="242"/>
      <c r="AA18" s="242"/>
      <c r="AB18" s="242"/>
      <c r="AC18" s="242"/>
      <c r="AD18" s="242">
        <v>209782.38739500003</v>
      </c>
      <c r="AE18" s="242">
        <v>3010238.4923246857</v>
      </c>
      <c r="AF18" s="242"/>
      <c r="AG18" s="242">
        <v>112887.06079513082</v>
      </c>
      <c r="AH18" s="242"/>
      <c r="AI18" s="242"/>
      <c r="AJ18" s="242">
        <v>6209404.1530503789</v>
      </c>
    </row>
    <row r="19" spans="1:36" x14ac:dyDescent="0.25">
      <c r="A19" s="79">
        <v>2030</v>
      </c>
      <c r="B19" s="242"/>
      <c r="C19" s="242"/>
      <c r="D19" s="242">
        <v>0</v>
      </c>
      <c r="E19" s="242"/>
      <c r="F19" s="242"/>
      <c r="G19" s="242"/>
      <c r="H19" s="242"/>
      <c r="I19" s="242"/>
      <c r="J19" s="242"/>
      <c r="K19" s="242"/>
      <c r="L19" s="242"/>
      <c r="M19" s="242">
        <v>2080333.682561968</v>
      </c>
      <c r="N19" s="242">
        <v>982731</v>
      </c>
      <c r="O19" s="242"/>
      <c r="P19" s="242"/>
      <c r="Q19" s="242"/>
      <c r="R19" s="242"/>
      <c r="S19" s="242"/>
      <c r="T19" s="242"/>
      <c r="U19" s="242"/>
      <c r="V19" s="242"/>
      <c r="W19" s="242"/>
      <c r="X19" s="242"/>
      <c r="Y19" s="242"/>
      <c r="Z19" s="242"/>
      <c r="AA19" s="242"/>
      <c r="AB19" s="242"/>
      <c r="AC19" s="242"/>
      <c r="AD19" s="242">
        <v>196559.60980685451</v>
      </c>
      <c r="AE19" s="242">
        <v>2863430.3661416383</v>
      </c>
      <c r="AF19" s="242"/>
      <c r="AG19" s="242">
        <v>154246.84100889968</v>
      </c>
      <c r="AH19" s="242"/>
      <c r="AI19" s="242"/>
      <c r="AJ19" s="242">
        <v>6277301.4995193612</v>
      </c>
    </row>
    <row r="20" spans="1:36" x14ac:dyDescent="0.25">
      <c r="A20" s="79">
        <v>2050</v>
      </c>
      <c r="B20" s="242"/>
      <c r="C20" s="242"/>
      <c r="D20" s="242">
        <v>0</v>
      </c>
      <c r="E20" s="242"/>
      <c r="F20" s="242"/>
      <c r="G20" s="242"/>
      <c r="H20" s="242"/>
      <c r="I20" s="242"/>
      <c r="J20" s="242"/>
      <c r="K20" s="242"/>
      <c r="L20" s="242"/>
      <c r="M20" s="242">
        <v>1930172.8654460763</v>
      </c>
      <c r="N20" s="242">
        <v>982731</v>
      </c>
      <c r="O20" s="242"/>
      <c r="P20" s="242"/>
      <c r="Q20" s="242"/>
      <c r="R20" s="242"/>
      <c r="S20" s="242"/>
      <c r="T20" s="242"/>
      <c r="U20" s="242"/>
      <c r="V20" s="242"/>
      <c r="W20" s="242"/>
      <c r="X20" s="242"/>
      <c r="Y20" s="242"/>
      <c r="Z20" s="242"/>
      <c r="AA20" s="242"/>
      <c r="AB20" s="242"/>
      <c r="AC20" s="242"/>
      <c r="AD20" s="242">
        <v>202349.63153877269</v>
      </c>
      <c r="AE20" s="242">
        <v>2859899.9612931921</v>
      </c>
      <c r="AF20" s="242"/>
      <c r="AG20" s="242">
        <v>158133.66669134353</v>
      </c>
      <c r="AH20" s="242"/>
      <c r="AI20" s="242"/>
      <c r="AJ20" s="242">
        <v>6133287.1249693846</v>
      </c>
    </row>
    <row r="21" spans="1:36" x14ac:dyDescent="0.25">
      <c r="A21" s="78" t="s">
        <v>165</v>
      </c>
      <c r="B21" s="242"/>
      <c r="C21" s="242"/>
      <c r="D21" s="242">
        <v>0</v>
      </c>
      <c r="E21" s="242"/>
      <c r="F21" s="242"/>
      <c r="G21" s="242"/>
      <c r="H21" s="242"/>
      <c r="I21" s="242"/>
      <c r="J21" s="242"/>
      <c r="K21" s="242"/>
      <c r="L21" s="242"/>
      <c r="M21" s="242">
        <v>0</v>
      </c>
      <c r="N21" s="242">
        <v>0</v>
      </c>
      <c r="O21" s="242"/>
      <c r="P21" s="242"/>
      <c r="Q21" s="242"/>
      <c r="R21" s="242"/>
      <c r="S21" s="242"/>
      <c r="T21" s="242"/>
      <c r="U21" s="242"/>
      <c r="V21" s="242"/>
      <c r="W21" s="242"/>
      <c r="X21" s="242"/>
      <c r="Y21" s="242"/>
      <c r="Z21" s="242"/>
      <c r="AA21" s="242"/>
      <c r="AB21" s="242"/>
      <c r="AC21" s="242"/>
      <c r="AD21" s="242">
        <v>0</v>
      </c>
      <c r="AE21" s="242">
        <v>0</v>
      </c>
      <c r="AF21" s="242"/>
      <c r="AG21" s="242">
        <v>104203.4407339669</v>
      </c>
      <c r="AH21" s="242"/>
      <c r="AI21" s="242"/>
      <c r="AJ21" s="242">
        <v>104203.4407339669</v>
      </c>
    </row>
    <row r="22" spans="1:36" x14ac:dyDescent="0.25">
      <c r="A22" s="79">
        <v>2019</v>
      </c>
      <c r="B22" s="242"/>
      <c r="C22" s="242"/>
      <c r="D22" s="242">
        <v>0</v>
      </c>
      <c r="E22" s="242"/>
      <c r="F22" s="242"/>
      <c r="G22" s="242"/>
      <c r="H22" s="242"/>
      <c r="I22" s="242"/>
      <c r="J22" s="242"/>
      <c r="K22" s="242"/>
      <c r="L22" s="242"/>
      <c r="M22" s="242">
        <v>0</v>
      </c>
      <c r="N22" s="242">
        <v>0</v>
      </c>
      <c r="O22" s="242"/>
      <c r="P22" s="242"/>
      <c r="Q22" s="242"/>
      <c r="R22" s="242"/>
      <c r="S22" s="242"/>
      <c r="T22" s="242"/>
      <c r="U22" s="242"/>
      <c r="V22" s="242"/>
      <c r="W22" s="242"/>
      <c r="X22" s="242"/>
      <c r="Y22" s="242"/>
      <c r="Z22" s="242"/>
      <c r="AA22" s="242"/>
      <c r="AB22" s="242"/>
      <c r="AC22" s="242"/>
      <c r="AD22" s="242">
        <v>0</v>
      </c>
      <c r="AE22" s="242">
        <v>0</v>
      </c>
      <c r="AF22" s="242"/>
      <c r="AG22" s="242">
        <v>104203.4407339669</v>
      </c>
      <c r="AH22" s="242"/>
      <c r="AI22" s="242"/>
      <c r="AJ22" s="242">
        <v>104203.4407339669</v>
      </c>
    </row>
    <row r="23" spans="1:36" x14ac:dyDescent="0.25">
      <c r="A23" s="79">
        <v>2030</v>
      </c>
      <c r="B23" s="242"/>
      <c r="C23" s="242"/>
      <c r="D23" s="242">
        <v>0</v>
      </c>
      <c r="E23" s="242"/>
      <c r="F23" s="242"/>
      <c r="G23" s="242"/>
      <c r="H23" s="242"/>
      <c r="I23" s="242"/>
      <c r="J23" s="242"/>
      <c r="K23" s="242"/>
      <c r="L23" s="242"/>
      <c r="M23" s="242">
        <v>0</v>
      </c>
      <c r="N23" s="242">
        <v>0</v>
      </c>
      <c r="O23" s="242"/>
      <c r="P23" s="242"/>
      <c r="Q23" s="242"/>
      <c r="R23" s="242"/>
      <c r="S23" s="242"/>
      <c r="T23" s="242"/>
      <c r="U23" s="242"/>
      <c r="V23" s="242"/>
      <c r="W23" s="242"/>
      <c r="X23" s="242"/>
      <c r="Y23" s="242"/>
      <c r="Z23" s="242"/>
      <c r="AA23" s="242"/>
      <c r="AB23" s="242"/>
      <c r="AC23" s="242"/>
      <c r="AD23" s="242">
        <v>0</v>
      </c>
      <c r="AE23" s="242">
        <v>0</v>
      </c>
      <c r="AF23" s="242"/>
      <c r="AG23" s="242">
        <v>0</v>
      </c>
      <c r="AH23" s="242"/>
      <c r="AI23" s="242"/>
      <c r="AJ23" s="242">
        <v>0</v>
      </c>
    </row>
    <row r="24" spans="1:36" x14ac:dyDescent="0.25">
      <c r="A24" s="79">
        <v>2050</v>
      </c>
      <c r="B24" s="242"/>
      <c r="C24" s="242"/>
      <c r="D24" s="242">
        <v>0</v>
      </c>
      <c r="E24" s="242"/>
      <c r="F24" s="242"/>
      <c r="G24" s="242"/>
      <c r="H24" s="242"/>
      <c r="I24" s="242"/>
      <c r="J24" s="242"/>
      <c r="K24" s="242"/>
      <c r="L24" s="242"/>
      <c r="M24" s="242">
        <v>0</v>
      </c>
      <c r="N24" s="242">
        <v>0</v>
      </c>
      <c r="O24" s="242"/>
      <c r="P24" s="242"/>
      <c r="Q24" s="242"/>
      <c r="R24" s="242"/>
      <c r="S24" s="242"/>
      <c r="T24" s="242"/>
      <c r="U24" s="242"/>
      <c r="V24" s="242"/>
      <c r="W24" s="242"/>
      <c r="X24" s="242"/>
      <c r="Y24" s="242"/>
      <c r="Z24" s="242"/>
      <c r="AA24" s="242"/>
      <c r="AB24" s="242"/>
      <c r="AC24" s="242"/>
      <c r="AD24" s="242">
        <v>0</v>
      </c>
      <c r="AE24" s="242">
        <v>0</v>
      </c>
      <c r="AF24" s="242"/>
      <c r="AG24" s="242">
        <v>0</v>
      </c>
      <c r="AH24" s="242"/>
      <c r="AI24" s="242"/>
      <c r="AJ24" s="242">
        <v>0</v>
      </c>
    </row>
    <row r="25" spans="1:36" x14ac:dyDescent="0.25">
      <c r="A25" s="78" t="s">
        <v>115</v>
      </c>
      <c r="B25" s="242"/>
      <c r="C25" s="242"/>
      <c r="D25" s="242"/>
      <c r="E25" s="242">
        <v>1990903.880093025</v>
      </c>
      <c r="F25" s="242"/>
      <c r="G25" s="242">
        <v>4754.5965479558763</v>
      </c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2">
        <v>8248903.5783884171</v>
      </c>
      <c r="T25" s="242"/>
      <c r="U25" s="242"/>
      <c r="V25" s="242"/>
      <c r="W25" s="242"/>
      <c r="X25" s="242"/>
      <c r="Y25" s="242"/>
      <c r="Z25" s="242"/>
      <c r="AA25" s="242"/>
      <c r="AB25" s="242">
        <v>18120392.888980739</v>
      </c>
      <c r="AC25" s="242"/>
      <c r="AD25" s="242"/>
      <c r="AE25" s="242"/>
      <c r="AF25" s="242"/>
      <c r="AG25" s="242"/>
      <c r="AH25" s="242">
        <v>65062728.84579356</v>
      </c>
      <c r="AI25" s="242">
        <v>2770306.7090697121</v>
      </c>
      <c r="AJ25" s="242">
        <v>96197990.498873413</v>
      </c>
    </row>
    <row r="26" spans="1:36" x14ac:dyDescent="0.25">
      <c r="A26" s="79">
        <v>2019</v>
      </c>
      <c r="B26" s="242"/>
      <c r="C26" s="242"/>
      <c r="D26" s="242"/>
      <c r="E26" s="242">
        <v>823764.99285714305</v>
      </c>
      <c r="F26" s="242"/>
      <c r="G26" s="242">
        <v>3362.8500000000004</v>
      </c>
      <c r="H26" s="242"/>
      <c r="I26" s="242"/>
      <c r="J26" s="242"/>
      <c r="K26" s="242"/>
      <c r="L26" s="242"/>
      <c r="M26" s="242"/>
      <c r="N26" s="242"/>
      <c r="O26" s="242"/>
      <c r="P26" s="242"/>
      <c r="Q26" s="242"/>
      <c r="R26" s="242"/>
      <c r="S26" s="242">
        <v>6423924.8458333323</v>
      </c>
      <c r="T26" s="242"/>
      <c r="U26" s="242"/>
      <c r="V26" s="242"/>
      <c r="W26" s="242"/>
      <c r="X26" s="242"/>
      <c r="Y26" s="242"/>
      <c r="Z26" s="242"/>
      <c r="AA26" s="242"/>
      <c r="AB26" s="242">
        <v>14742130.666666664</v>
      </c>
      <c r="AC26" s="242"/>
      <c r="AD26" s="242"/>
      <c r="AE26" s="242"/>
      <c r="AF26" s="242"/>
      <c r="AG26" s="242"/>
      <c r="AH26" s="242">
        <v>8803491.7355084848</v>
      </c>
      <c r="AI26" s="242">
        <v>1108490.5539925825</v>
      </c>
      <c r="AJ26" s="242">
        <v>31905165.644858211</v>
      </c>
    </row>
    <row r="27" spans="1:36" x14ac:dyDescent="0.25">
      <c r="A27" s="79">
        <v>2030</v>
      </c>
      <c r="B27" s="242"/>
      <c r="C27" s="242"/>
      <c r="D27" s="242"/>
      <c r="E27" s="242">
        <v>569935.67566680163</v>
      </c>
      <c r="F27" s="242"/>
      <c r="G27" s="242">
        <v>684.67883888144547</v>
      </c>
      <c r="H27" s="242"/>
      <c r="I27" s="242"/>
      <c r="J27" s="242"/>
      <c r="K27" s="242"/>
      <c r="L27" s="242"/>
      <c r="M27" s="242"/>
      <c r="N27" s="242"/>
      <c r="O27" s="242"/>
      <c r="P27" s="242"/>
      <c r="Q27" s="242"/>
      <c r="R27" s="242"/>
      <c r="S27" s="242">
        <v>921291.4398151316</v>
      </c>
      <c r="T27" s="242"/>
      <c r="U27" s="242"/>
      <c r="V27" s="242"/>
      <c r="W27" s="242"/>
      <c r="X27" s="242"/>
      <c r="Y27" s="242"/>
      <c r="Z27" s="242"/>
      <c r="AA27" s="242"/>
      <c r="AB27" s="242">
        <v>1725913.3013923911</v>
      </c>
      <c r="AC27" s="242"/>
      <c r="AD27" s="242"/>
      <c r="AE27" s="242"/>
      <c r="AF27" s="242"/>
      <c r="AG27" s="242"/>
      <c r="AH27" s="242">
        <v>28521927.915010508</v>
      </c>
      <c r="AI27" s="242">
        <v>855956.11724253604</v>
      </c>
      <c r="AJ27" s="242">
        <v>32595709.127966251</v>
      </c>
    </row>
    <row r="28" spans="1:36" x14ac:dyDescent="0.25">
      <c r="A28" s="79">
        <v>2050</v>
      </c>
      <c r="B28" s="242"/>
      <c r="C28" s="242"/>
      <c r="D28" s="242"/>
      <c r="E28" s="242">
        <v>597203.21156908036</v>
      </c>
      <c r="F28" s="242"/>
      <c r="G28" s="242">
        <v>707.0677090744307</v>
      </c>
      <c r="H28" s="242"/>
      <c r="I28" s="242"/>
      <c r="J28" s="242"/>
      <c r="K28" s="242"/>
      <c r="L28" s="242"/>
      <c r="M28" s="242"/>
      <c r="N28" s="242"/>
      <c r="O28" s="242"/>
      <c r="P28" s="242"/>
      <c r="Q28" s="242"/>
      <c r="R28" s="242"/>
      <c r="S28" s="242">
        <v>903687.29273995303</v>
      </c>
      <c r="T28" s="242"/>
      <c r="U28" s="242"/>
      <c r="V28" s="242"/>
      <c r="W28" s="242"/>
      <c r="X28" s="242"/>
      <c r="Y28" s="242"/>
      <c r="Z28" s="242"/>
      <c r="AA28" s="242"/>
      <c r="AB28" s="242">
        <v>1652348.9209216826</v>
      </c>
      <c r="AC28" s="242"/>
      <c r="AD28" s="242"/>
      <c r="AE28" s="242"/>
      <c r="AF28" s="242"/>
      <c r="AG28" s="242"/>
      <c r="AH28" s="242">
        <v>27737309.195274569</v>
      </c>
      <c r="AI28" s="242">
        <v>805860.03783459379</v>
      </c>
      <c r="AJ28" s="242">
        <v>31697115.726048954</v>
      </c>
    </row>
    <row r="29" spans="1:36" x14ac:dyDescent="0.25">
      <c r="A29" s="78" t="s">
        <v>239</v>
      </c>
      <c r="B29" s="242"/>
      <c r="C29" s="242"/>
      <c r="D29" s="242"/>
      <c r="E29" s="242"/>
      <c r="F29" s="242"/>
      <c r="G29" s="242"/>
      <c r="H29" s="242"/>
      <c r="I29" s="242"/>
      <c r="J29" s="242"/>
      <c r="K29" s="242"/>
      <c r="L29" s="242"/>
      <c r="M29" s="242"/>
      <c r="N29" s="242"/>
      <c r="O29" s="242"/>
      <c r="P29" s="242"/>
      <c r="Q29" s="242"/>
      <c r="R29" s="242"/>
      <c r="S29" s="242"/>
      <c r="T29" s="242"/>
      <c r="U29" s="242"/>
      <c r="V29" s="242"/>
      <c r="W29" s="242"/>
      <c r="X29" s="242">
        <v>1654596.9038416902</v>
      </c>
      <c r="Y29" s="242"/>
      <c r="Z29" s="242"/>
      <c r="AA29" s="242"/>
      <c r="AB29" s="242"/>
      <c r="AC29" s="242"/>
      <c r="AD29" s="242"/>
      <c r="AE29" s="242"/>
      <c r="AF29" s="242"/>
      <c r="AG29" s="242"/>
      <c r="AH29" s="242"/>
      <c r="AI29" s="242"/>
      <c r="AJ29" s="242">
        <v>1654596.9038416902</v>
      </c>
    </row>
    <row r="30" spans="1:36" x14ac:dyDescent="0.25">
      <c r="A30" s="79">
        <v>2019</v>
      </c>
      <c r="B30" s="242"/>
      <c r="C30" s="242"/>
      <c r="D30" s="242"/>
      <c r="E30" s="242"/>
      <c r="F30" s="242"/>
      <c r="G30" s="242"/>
      <c r="H30" s="242"/>
      <c r="I30" s="242"/>
      <c r="J30" s="242"/>
      <c r="K30" s="242"/>
      <c r="L30" s="242"/>
      <c r="M30" s="242"/>
      <c r="N30" s="242"/>
      <c r="O30" s="242"/>
      <c r="P30" s="242"/>
      <c r="Q30" s="242"/>
      <c r="R30" s="242"/>
      <c r="S30" s="242"/>
      <c r="T30" s="242"/>
      <c r="U30" s="242"/>
      <c r="V30" s="242"/>
      <c r="W30" s="242"/>
      <c r="X30" s="242">
        <v>678407.81727843033</v>
      </c>
      <c r="Y30" s="242"/>
      <c r="Z30" s="242"/>
      <c r="AA30" s="242"/>
      <c r="AB30" s="242"/>
      <c r="AC30" s="242"/>
      <c r="AD30" s="242"/>
      <c r="AE30" s="242"/>
      <c r="AF30" s="242"/>
      <c r="AG30" s="242"/>
      <c r="AH30" s="242"/>
      <c r="AI30" s="242"/>
      <c r="AJ30" s="242">
        <v>678407.81727843033</v>
      </c>
    </row>
    <row r="31" spans="1:36" x14ac:dyDescent="0.25">
      <c r="A31" s="79">
        <v>2030</v>
      </c>
      <c r="B31" s="242"/>
      <c r="C31" s="242"/>
      <c r="D31" s="242"/>
      <c r="E31" s="242"/>
      <c r="F31" s="242"/>
      <c r="G31" s="242"/>
      <c r="H31" s="242"/>
      <c r="I31" s="242"/>
      <c r="J31" s="242"/>
      <c r="K31" s="242"/>
      <c r="L31" s="242"/>
      <c r="M31" s="242"/>
      <c r="N31" s="242"/>
      <c r="O31" s="242"/>
      <c r="P31" s="242"/>
      <c r="Q31" s="242"/>
      <c r="R31" s="242"/>
      <c r="S31" s="242"/>
      <c r="T31" s="242"/>
      <c r="U31" s="242"/>
      <c r="V31" s="242"/>
      <c r="W31" s="242"/>
      <c r="X31" s="242">
        <v>482021.37815281149</v>
      </c>
      <c r="Y31" s="242"/>
      <c r="Z31" s="242"/>
      <c r="AA31" s="242"/>
      <c r="AB31" s="242"/>
      <c r="AC31" s="242"/>
      <c r="AD31" s="242"/>
      <c r="AE31" s="242"/>
      <c r="AF31" s="242"/>
      <c r="AG31" s="242"/>
      <c r="AH31" s="242"/>
      <c r="AI31" s="242"/>
      <c r="AJ31" s="242">
        <v>482021.37815281149</v>
      </c>
    </row>
    <row r="32" spans="1:36" x14ac:dyDescent="0.25">
      <c r="A32" s="79">
        <v>2050</v>
      </c>
      <c r="B32" s="242"/>
      <c r="C32" s="242"/>
      <c r="D32" s="242"/>
      <c r="E32" s="242"/>
      <c r="F32" s="242"/>
      <c r="G32" s="242"/>
      <c r="H32" s="242"/>
      <c r="I32" s="242"/>
      <c r="J32" s="242"/>
      <c r="K32" s="242"/>
      <c r="L32" s="242"/>
      <c r="M32" s="242"/>
      <c r="N32" s="242"/>
      <c r="O32" s="242"/>
      <c r="P32" s="242"/>
      <c r="Q32" s="242"/>
      <c r="R32" s="242"/>
      <c r="S32" s="242"/>
      <c r="T32" s="242"/>
      <c r="U32" s="242"/>
      <c r="V32" s="242"/>
      <c r="W32" s="242"/>
      <c r="X32" s="242">
        <v>494167.70841044851</v>
      </c>
      <c r="Y32" s="242"/>
      <c r="Z32" s="242"/>
      <c r="AA32" s="242"/>
      <c r="AB32" s="242"/>
      <c r="AC32" s="242"/>
      <c r="AD32" s="242"/>
      <c r="AE32" s="242"/>
      <c r="AF32" s="242"/>
      <c r="AG32" s="242"/>
      <c r="AH32" s="242"/>
      <c r="AI32" s="242"/>
      <c r="AJ32" s="242">
        <v>494167.70841044851</v>
      </c>
    </row>
    <row r="33" spans="1:36" x14ac:dyDescent="0.25">
      <c r="A33" s="78" t="s">
        <v>61</v>
      </c>
      <c r="B33" s="242">
        <v>182574.19618217932</v>
      </c>
      <c r="C33" s="242">
        <v>217245.27668679622</v>
      </c>
      <c r="D33" s="242">
        <v>1462906</v>
      </c>
      <c r="E33" s="242">
        <v>5830999.2614708273</v>
      </c>
      <c r="F33" s="242">
        <v>281468.55244752642</v>
      </c>
      <c r="G33" s="242">
        <v>25739.498910450257</v>
      </c>
      <c r="H33" s="242">
        <v>197788.71253069426</v>
      </c>
      <c r="I33" s="242">
        <v>1445379.0531089196</v>
      </c>
      <c r="J33" s="242">
        <v>428226</v>
      </c>
      <c r="K33" s="242">
        <v>41476304.95581004</v>
      </c>
      <c r="L33" s="242">
        <v>1513844.376677237</v>
      </c>
      <c r="M33" s="242">
        <v>8735999.7852756213</v>
      </c>
      <c r="N33" s="242">
        <v>2948427</v>
      </c>
      <c r="O33" s="242">
        <v>16263222.796414331</v>
      </c>
      <c r="P33" s="242">
        <v>2444654</v>
      </c>
      <c r="Q33" s="242">
        <v>692260.49385742994</v>
      </c>
      <c r="R33" s="242">
        <v>21472250.711091511</v>
      </c>
      <c r="S33" s="242">
        <v>37394577.159010962</v>
      </c>
      <c r="T33" s="242">
        <v>5105264.0021397118</v>
      </c>
      <c r="U33" s="242">
        <v>20044299.142737754</v>
      </c>
      <c r="V33" s="242">
        <v>2647325.8446415998</v>
      </c>
      <c r="W33" s="242">
        <v>336392.95646566537</v>
      </c>
      <c r="X33" s="242">
        <v>1654596.9038416902</v>
      </c>
      <c r="Y33" s="242">
        <v>2919175.4834569679</v>
      </c>
      <c r="Z33" s="242">
        <v>132761.00241970882</v>
      </c>
      <c r="AA33" s="242">
        <v>8334841.759060693</v>
      </c>
      <c r="AB33" s="242">
        <v>51439622.223140746</v>
      </c>
      <c r="AC33" s="242">
        <v>682979.63888483576</v>
      </c>
      <c r="AD33" s="242">
        <v>608691.6287406272</v>
      </c>
      <c r="AE33" s="242">
        <v>8733568.819759516</v>
      </c>
      <c r="AF33" s="242">
        <v>721133.62677978189</v>
      </c>
      <c r="AG33" s="242">
        <v>529471.00922934094</v>
      </c>
      <c r="AH33" s="242">
        <v>65062728.84579356</v>
      </c>
      <c r="AI33" s="242">
        <v>2770306.7090697121</v>
      </c>
      <c r="AJ33" s="242">
        <v>314737027.42563641</v>
      </c>
    </row>
  </sheetData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7.7109375" bestFit="1" customWidth="1"/>
    <col min="6" max="6" width="13.28515625" bestFit="1" customWidth="1"/>
    <col min="7" max="7" width="8.7109375" bestFit="1" customWidth="1"/>
    <col min="8" max="8" width="8.42578125" bestFit="1" customWidth="1"/>
    <col min="9" max="9" width="8.85546875" bestFit="1" customWidth="1"/>
    <col min="10" max="10" width="14.5703125" bestFit="1" customWidth="1"/>
    <col min="11" max="11" width="11.28515625" bestFit="1" customWidth="1"/>
    <col min="12" max="13" width="11.5703125" bestFit="1" customWidth="1"/>
    <col min="14" max="14" width="5.28515625" bestFit="1" customWidth="1"/>
    <col min="15" max="15" width="13.28515625" bestFit="1" customWidth="1"/>
    <col min="16" max="16" width="13.85546875" bestFit="1" customWidth="1"/>
    <col min="17" max="17" width="5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1" x14ac:dyDescent="0.25">
      <c r="A2" s="77" t="s">
        <v>288</v>
      </c>
      <c r="B2" s="78">
        <v>1</v>
      </c>
    </row>
    <row r="4" spans="1:11" x14ac:dyDescent="0.25">
      <c r="A4" s="77" t="s">
        <v>315</v>
      </c>
      <c r="B4" s="77" t="s">
        <v>62</v>
      </c>
    </row>
    <row r="5" spans="1:11" x14ac:dyDescent="0.25">
      <c r="A5" s="77" t="s">
        <v>60</v>
      </c>
      <c r="B5" s="171" t="s">
        <v>103</v>
      </c>
      <c r="C5" s="171" t="s">
        <v>6</v>
      </c>
      <c r="D5" s="171" t="s">
        <v>104</v>
      </c>
      <c r="E5" s="171" t="s">
        <v>48</v>
      </c>
      <c r="F5" s="171" t="s">
        <v>116</v>
      </c>
      <c r="G5" s="171" t="s">
        <v>14</v>
      </c>
      <c r="H5" s="171" t="s">
        <v>159</v>
      </c>
      <c r="I5" s="171" t="s">
        <v>54</v>
      </c>
      <c r="J5" s="171" t="s">
        <v>160</v>
      </c>
      <c r="K5" s="171" t="s">
        <v>61</v>
      </c>
    </row>
    <row r="6" spans="1:11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0</v>
      </c>
      <c r="F6" s="76">
        <v>1108490.5539925825</v>
      </c>
      <c r="G6" s="76">
        <v>0</v>
      </c>
      <c r="H6" s="76">
        <v>142742</v>
      </c>
      <c r="I6" s="76">
        <v>420629.98984142789</v>
      </c>
      <c r="J6" s="76">
        <v>5421074.2654714445</v>
      </c>
      <c r="K6" s="76">
        <v>7949378.1351335607</v>
      </c>
    </row>
    <row r="7" spans="1:11" x14ac:dyDescent="0.25">
      <c r="A7" s="78">
        <v>2030</v>
      </c>
      <c r="B7" s="76">
        <v>2.825725611182861E-2</v>
      </c>
      <c r="C7" s="76">
        <v>220017.54042545299</v>
      </c>
      <c r="D7" s="76">
        <v>0</v>
      </c>
      <c r="E7" s="76">
        <v>166931.44861219462</v>
      </c>
      <c r="F7" s="76">
        <v>855956.11724253604</v>
      </c>
      <c r="G7" s="76">
        <v>0</v>
      </c>
      <c r="H7" s="76">
        <v>142742</v>
      </c>
      <c r="I7" s="76">
        <v>439387.69075181423</v>
      </c>
      <c r="J7" s="76">
        <v>5421074.2654714435</v>
      </c>
      <c r="K7" s="76">
        <v>7246109.0907606976</v>
      </c>
    </row>
    <row r="8" spans="1:11" x14ac:dyDescent="0.25">
      <c r="A8" s="78">
        <v>2050</v>
      </c>
      <c r="B8" s="76">
        <v>0.18489040050189942</v>
      </c>
      <c r="C8" s="76">
        <v>236197.68983003267</v>
      </c>
      <c r="D8" s="76">
        <v>0.11492812394862995</v>
      </c>
      <c r="E8" s="76">
        <v>0</v>
      </c>
      <c r="F8" s="76">
        <v>805860.03783459379</v>
      </c>
      <c r="G8" s="76">
        <v>6687.6021110492293</v>
      </c>
      <c r="H8" s="76">
        <v>142742</v>
      </c>
      <c r="I8" s="76">
        <v>458817.74928054027</v>
      </c>
      <c r="J8" s="76">
        <v>5421074.2654714435</v>
      </c>
      <c r="K8" s="76">
        <v>7071379.6443461841</v>
      </c>
    </row>
    <row r="9" spans="1:11" x14ac:dyDescent="0.25">
      <c r="A9" s="78" t="s">
        <v>61</v>
      </c>
      <c r="B9" s="76">
        <v>370459.88762915425</v>
      </c>
      <c r="C9" s="76">
        <v>659864.85126099177</v>
      </c>
      <c r="D9" s="76">
        <v>282332.14526922622</v>
      </c>
      <c r="E9" s="76">
        <v>166931.44861219462</v>
      </c>
      <c r="F9" s="76">
        <v>2770306.7090697126</v>
      </c>
      <c r="G9" s="76">
        <v>6687.6021110492293</v>
      </c>
      <c r="H9" s="76">
        <v>428226</v>
      </c>
      <c r="I9" s="76">
        <v>1318835.4298737824</v>
      </c>
      <c r="J9" s="76">
        <v>16263222.796414331</v>
      </c>
      <c r="K9" s="76">
        <v>22266866.870240442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71" bestFit="1" customWidth="1"/>
    <col min="2" max="2" width="16.28515625" style="171" bestFit="1" customWidth="1"/>
    <col min="3" max="3" width="9.140625" style="171" bestFit="1" customWidth="1"/>
    <col min="4" max="4" width="11" style="171" bestFit="1" customWidth="1"/>
    <col min="5" max="5" width="11.5703125" style="171" bestFit="1" customWidth="1"/>
    <col min="6" max="6" width="11.140625" style="171" bestFit="1" customWidth="1"/>
    <col min="7" max="7" width="9.85546875" style="171" bestFit="1" customWidth="1"/>
    <col min="8" max="8" width="11" style="171" bestFit="1" customWidth="1"/>
    <col min="9" max="9" width="13.140625" style="171" bestFit="1" customWidth="1"/>
    <col min="10" max="11" width="9.85546875" style="171" bestFit="1" customWidth="1"/>
    <col min="12" max="12" width="13.85546875" style="171" bestFit="1" customWidth="1"/>
    <col min="13" max="13" width="9.85546875" style="171" bestFit="1" customWidth="1"/>
    <col min="14" max="14" width="16" style="171" bestFit="1" customWidth="1"/>
    <col min="15" max="15" width="10" style="171" bestFit="1" customWidth="1"/>
    <col min="16" max="16" width="8.7109375" style="171" bestFit="1" customWidth="1"/>
    <col min="17" max="18" width="11" style="171" bestFit="1" customWidth="1"/>
    <col min="19" max="19" width="21" style="171" bestFit="1" customWidth="1"/>
    <col min="20" max="20" width="20.7109375" style="171" bestFit="1" customWidth="1"/>
    <col min="21" max="21" width="9.85546875" style="171" bestFit="1" customWidth="1"/>
    <col min="22" max="22" width="7.140625" style="171" bestFit="1" customWidth="1"/>
    <col min="23" max="23" width="13.85546875" style="171" bestFit="1" customWidth="1"/>
    <col min="24" max="24" width="10.140625" style="171" bestFit="1" customWidth="1"/>
    <col min="25" max="25" width="12.140625" style="171" bestFit="1" customWidth="1"/>
    <col min="26" max="26" width="16" style="171" bestFit="1" customWidth="1"/>
    <col min="27" max="28" width="9.85546875" style="171" bestFit="1" customWidth="1"/>
    <col min="29" max="29" width="9.28515625" style="171" bestFit="1" customWidth="1"/>
    <col min="30" max="30" width="12" style="171" bestFit="1" customWidth="1"/>
    <col min="31" max="32" width="10.140625" style="171" bestFit="1" customWidth="1"/>
    <col min="33" max="33" width="12.140625" style="171" bestFit="1" customWidth="1"/>
    <col min="34" max="34" width="8.85546875" style="171" bestFit="1" customWidth="1"/>
    <col min="35" max="35" width="15.42578125" style="171" bestFit="1" customWidth="1"/>
    <col min="36" max="36" width="16" style="171" bestFit="1" customWidth="1"/>
    <col min="37" max="37" width="8.85546875" style="171" bestFit="1" customWidth="1"/>
    <col min="38" max="38" width="12.5703125" style="171" bestFit="1" customWidth="1"/>
    <col min="39" max="39" width="10.42578125" style="171" bestFit="1" customWidth="1"/>
    <col min="40" max="40" width="12.28515625" style="171" bestFit="1" customWidth="1"/>
    <col min="41" max="41" width="14.5703125" style="171" bestFit="1" customWidth="1"/>
    <col min="42" max="43" width="9.85546875" style="171" bestFit="1" customWidth="1"/>
    <col min="44" max="44" width="14" style="171" bestFit="1" customWidth="1"/>
    <col min="45" max="45" width="6.7109375" style="171" bestFit="1" customWidth="1"/>
    <col min="46" max="46" width="9.28515625" style="171" bestFit="1" customWidth="1"/>
    <col min="47" max="47" width="8.5703125" style="171" bestFit="1" customWidth="1"/>
    <col min="48" max="48" width="12" style="171" bestFit="1" customWidth="1"/>
    <col min="49" max="49" width="12.28515625" style="171" bestFit="1" customWidth="1"/>
    <col min="50" max="50" width="13.28515625" style="171" bestFit="1" customWidth="1"/>
    <col min="51" max="51" width="13.42578125" style="171" bestFit="1" customWidth="1"/>
    <col min="52" max="52" width="20.85546875" style="171" bestFit="1" customWidth="1"/>
    <col min="53" max="54" width="12.28515625" style="171" bestFit="1" customWidth="1"/>
    <col min="55" max="55" width="13.28515625" style="171" bestFit="1" customWidth="1"/>
    <col min="56" max="59" width="12.28515625" style="171" bestFit="1" customWidth="1"/>
    <col min="60" max="60" width="13.28515625" style="171" bestFit="1" customWidth="1"/>
    <col min="61" max="61" width="13.42578125" style="171" bestFit="1" customWidth="1"/>
    <col min="62" max="62" width="20.85546875" style="171" bestFit="1" customWidth="1"/>
    <col min="63" max="64" width="12.28515625" style="171" bestFit="1" customWidth="1"/>
    <col min="65" max="65" width="13.28515625" style="171" bestFit="1" customWidth="1"/>
    <col min="66" max="66" width="13.42578125" style="171" bestFit="1" customWidth="1"/>
    <col min="67" max="67" width="20.85546875" style="171" bestFit="1" customWidth="1"/>
    <col min="68" max="69" width="11.28515625" style="171" bestFit="1" customWidth="1"/>
    <col min="70" max="70" width="13.28515625" style="171" bestFit="1" customWidth="1"/>
    <col min="71" max="71" width="13.42578125" style="171" bestFit="1" customWidth="1"/>
    <col min="72" max="72" width="12.28515625" style="171" bestFit="1" customWidth="1"/>
    <col min="73" max="73" width="16.85546875" style="171" bestFit="1" customWidth="1"/>
    <col min="74" max="74" width="12.28515625" style="171" bestFit="1" customWidth="1"/>
    <col min="75" max="75" width="13.28515625" style="171" bestFit="1" customWidth="1"/>
    <col min="76" max="76" width="13.42578125" style="171" bestFit="1" customWidth="1"/>
    <col min="77" max="77" width="12.28515625" style="171" bestFit="1" customWidth="1"/>
    <col min="78" max="78" width="16.85546875" style="171" bestFit="1" customWidth="1"/>
    <col min="79" max="79" width="12.28515625" style="171" bestFit="1" customWidth="1"/>
    <col min="80" max="80" width="13.28515625" style="171" bestFit="1" customWidth="1"/>
    <col min="81" max="81" width="13.42578125" style="171" bestFit="1" customWidth="1"/>
    <col min="82" max="82" width="12.28515625" style="171" bestFit="1" customWidth="1"/>
    <col min="83" max="83" width="15.85546875" style="171" bestFit="1" customWidth="1"/>
    <col min="84" max="84" width="12.28515625" style="171" bestFit="1" customWidth="1"/>
    <col min="85" max="85" width="13.28515625" style="171" bestFit="1" customWidth="1"/>
    <col min="86" max="89" width="11.7109375" style="171" bestFit="1" customWidth="1"/>
    <col min="90" max="90" width="14.28515625" style="171" bestFit="1" customWidth="1"/>
    <col min="91" max="91" width="13.42578125" style="171" bestFit="1" customWidth="1"/>
    <col min="92" max="92" width="20.85546875" style="171" bestFit="1" customWidth="1"/>
    <col min="93" max="94" width="11.7109375" style="171" bestFit="1" customWidth="1"/>
    <col min="95" max="95" width="14.28515625" style="171" bestFit="1" customWidth="1"/>
    <col min="96" max="96" width="13.42578125" style="171" bestFit="1" customWidth="1"/>
    <col min="97" max="97" width="20.85546875" style="171" bestFit="1" customWidth="1"/>
    <col min="98" max="99" width="12.28515625" style="171" bestFit="1" customWidth="1"/>
    <col min="100" max="100" width="14.28515625" style="171" bestFit="1" customWidth="1"/>
    <col min="101" max="101" width="12.28515625" style="171" bestFit="1" customWidth="1"/>
    <col min="102" max="103" width="13.28515625" style="171" bestFit="1" customWidth="1"/>
    <col min="104" max="104" width="13.42578125" style="171" bestFit="1" customWidth="1"/>
    <col min="105" max="105" width="20.85546875" style="171" bestFit="1" customWidth="1"/>
    <col min="106" max="107" width="12.28515625" style="171" bestFit="1" customWidth="1"/>
    <col min="108" max="109" width="13.28515625" style="171" bestFit="1" customWidth="1"/>
    <col min="110" max="113" width="11.7109375" style="171" bestFit="1" customWidth="1"/>
    <col min="114" max="115" width="13.28515625" style="171" bestFit="1" customWidth="1"/>
    <col min="116" max="116" width="13.42578125" style="171" bestFit="1" customWidth="1"/>
    <col min="117" max="117" width="20.85546875" style="171" bestFit="1" customWidth="1"/>
    <col min="118" max="120" width="11.7109375" style="171" bestFit="1" customWidth="1"/>
    <col min="121" max="121" width="13.28515625" style="171" bestFit="1" customWidth="1"/>
    <col min="122" max="122" width="13.42578125" style="171" bestFit="1" customWidth="1"/>
    <col min="123" max="123" width="12.28515625" style="171" bestFit="1" customWidth="1"/>
    <col min="124" max="124" width="15.85546875" style="171" bestFit="1" customWidth="1"/>
    <col min="125" max="125" width="12.28515625" style="171" bestFit="1" customWidth="1"/>
    <col min="126" max="127" width="13.28515625" style="171" bestFit="1" customWidth="1"/>
    <col min="128" max="128" width="13.42578125" style="171" bestFit="1" customWidth="1"/>
    <col min="129" max="129" width="20.85546875" style="171" bestFit="1" customWidth="1"/>
    <col min="130" max="131" width="11.28515625" style="171" bestFit="1" customWidth="1"/>
    <col min="132" max="133" width="13.28515625" style="171" bestFit="1" customWidth="1"/>
    <col min="134" max="134" width="13.42578125" style="171" bestFit="1" customWidth="1"/>
    <col min="135" max="135" width="20.85546875" style="171" bestFit="1" customWidth="1"/>
    <col min="136" max="137" width="12.28515625" style="171" bestFit="1" customWidth="1"/>
    <col min="138" max="139" width="13.28515625" style="171" bestFit="1" customWidth="1"/>
    <col min="140" max="143" width="12.28515625" style="171" bestFit="1" customWidth="1"/>
    <col min="144" max="145" width="13.28515625" style="171" bestFit="1" customWidth="1"/>
    <col min="146" max="146" width="13.42578125" style="171" bestFit="1" customWidth="1"/>
    <col min="147" max="147" width="12.28515625" style="171" bestFit="1" customWidth="1"/>
    <col min="148" max="148" width="16.85546875" style="171" bestFit="1" customWidth="1"/>
    <col min="149" max="149" width="12.28515625" style="171" bestFit="1" customWidth="1"/>
    <col min="150" max="151" width="13.28515625" style="171" bestFit="1" customWidth="1"/>
    <col min="152" max="152" width="13.42578125" style="171" bestFit="1" customWidth="1"/>
    <col min="153" max="153" width="12.28515625" style="171" bestFit="1" customWidth="1"/>
    <col min="154" max="154" width="16.85546875" style="171" bestFit="1" customWidth="1"/>
    <col min="155" max="155" width="12.28515625" style="171" bestFit="1" customWidth="1"/>
    <col min="156" max="157" width="13.28515625" style="171" bestFit="1" customWidth="1"/>
    <col min="158" max="158" width="13.42578125" style="171" bestFit="1" customWidth="1"/>
    <col min="159" max="159" width="20.85546875" style="171" bestFit="1" customWidth="1"/>
    <col min="160" max="161" width="12.28515625" style="171" bestFit="1" customWidth="1"/>
    <col min="162" max="163" width="14.28515625" style="171" bestFit="1" customWidth="1"/>
    <col min="164" max="164" width="13.42578125" style="171" bestFit="1" customWidth="1"/>
    <col min="165" max="165" width="20.85546875" style="171" bestFit="1" customWidth="1"/>
    <col min="166" max="167" width="11.7109375" style="171" bestFit="1" customWidth="1"/>
    <col min="168" max="169" width="14.28515625" style="171" bestFit="1" customWidth="1"/>
    <col min="170" max="173" width="11.7109375" style="171" bestFit="1" customWidth="1"/>
    <col min="174" max="175" width="14.28515625" style="171" bestFit="1" customWidth="1"/>
    <col min="176" max="176" width="12.28515625" style="171" bestFit="1" customWidth="1"/>
    <col min="177" max="16384" width="9.140625" style="171"/>
  </cols>
  <sheetData>
    <row r="2" spans="1:48" x14ac:dyDescent="0.25">
      <c r="A2" s="77" t="s">
        <v>310</v>
      </c>
      <c r="B2" s="78">
        <v>1</v>
      </c>
    </row>
    <row r="4" spans="1:48" x14ac:dyDescent="0.25">
      <c r="A4" s="77" t="s">
        <v>258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71" t="s">
        <v>15</v>
      </c>
      <c r="C5" s="171" t="s">
        <v>49</v>
      </c>
      <c r="D5" s="171" t="s">
        <v>111</v>
      </c>
      <c r="E5" s="171" t="s">
        <v>102</v>
      </c>
      <c r="F5" s="171" t="s">
        <v>97</v>
      </c>
      <c r="G5" s="171" t="s">
        <v>114</v>
      </c>
      <c r="H5" s="171" t="s">
        <v>51</v>
      </c>
      <c r="I5" s="171" t="s">
        <v>104</v>
      </c>
      <c r="J5" s="171" t="s">
        <v>12</v>
      </c>
      <c r="K5" s="171" t="s">
        <v>48</v>
      </c>
      <c r="L5" s="171" t="s">
        <v>109</v>
      </c>
      <c r="M5" s="171" t="s">
        <v>53</v>
      </c>
      <c r="N5" s="171" t="s">
        <v>117</v>
      </c>
      <c r="O5" s="171" t="s">
        <v>107</v>
      </c>
      <c r="P5" s="171" t="s">
        <v>14</v>
      </c>
      <c r="Q5" s="171" t="s">
        <v>118</v>
      </c>
      <c r="R5" s="171" t="s">
        <v>52</v>
      </c>
      <c r="S5" s="171" t="s">
        <v>122</v>
      </c>
      <c r="T5" s="171" t="s">
        <v>108</v>
      </c>
      <c r="U5" s="171" t="s">
        <v>13</v>
      </c>
      <c r="V5" s="171" t="s">
        <v>100</v>
      </c>
      <c r="W5" s="171" t="s">
        <v>119</v>
      </c>
      <c r="X5" s="171" t="s">
        <v>137</v>
      </c>
      <c r="Y5" s="171" t="s">
        <v>138</v>
      </c>
      <c r="Z5" s="171" t="s">
        <v>141</v>
      </c>
      <c r="AA5" s="171" t="s">
        <v>56</v>
      </c>
      <c r="AB5" s="171" t="s">
        <v>55</v>
      </c>
      <c r="AC5" s="171" t="s">
        <v>240</v>
      </c>
      <c r="AD5" s="171" t="s">
        <v>61</v>
      </c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>
        <v>2040873.7508661344</v>
      </c>
      <c r="K6" s="98">
        <v>1974670.329311419</v>
      </c>
      <c r="L6" s="98">
        <v>51892.132620096323</v>
      </c>
      <c r="M6" s="98">
        <v>1266262.2462674922</v>
      </c>
      <c r="N6" s="98">
        <v>2536783.2413289398</v>
      </c>
      <c r="O6" s="98">
        <v>880.09999999999991</v>
      </c>
      <c r="P6" s="98">
        <v>8064.2063400965635</v>
      </c>
      <c r="Q6" s="98">
        <v>5269000</v>
      </c>
      <c r="R6" s="98">
        <v>1656364.6415009145</v>
      </c>
      <c r="S6" s="98">
        <v>217010.36743552322</v>
      </c>
      <c r="T6" s="98">
        <v>105946.31157195524</v>
      </c>
      <c r="U6" s="98">
        <v>1382651.4311789067</v>
      </c>
      <c r="V6" s="98">
        <v>76.5</v>
      </c>
      <c r="W6" s="98">
        <v>827693.20492220437</v>
      </c>
      <c r="X6" s="98">
        <v>3272565.4875000007</v>
      </c>
      <c r="Y6" s="98">
        <v>1078.6499999999999</v>
      </c>
      <c r="Z6" s="98">
        <v>4368323.901678659</v>
      </c>
      <c r="AA6" s="98">
        <v>911574.64248506655</v>
      </c>
      <c r="AB6" s="98">
        <v>2005102.1714007764</v>
      </c>
      <c r="AC6" s="98">
        <v>98826.033045954537</v>
      </c>
      <c r="AD6" s="98">
        <v>38726531.363933533</v>
      </c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170946.30461315686</v>
      </c>
      <c r="C7" s="98">
        <v>218475.89285786889</v>
      </c>
      <c r="D7" s="98">
        <v>2821317.759830459</v>
      </c>
      <c r="E7" s="98">
        <v>935554.7883587121</v>
      </c>
      <c r="F7" s="98">
        <v>131018.05015567706</v>
      </c>
      <c r="G7" s="98">
        <v>1462811.7838699373</v>
      </c>
      <c r="H7" s="98">
        <v>22498503.824004248</v>
      </c>
      <c r="I7" s="98">
        <v>0.40288562423666008</v>
      </c>
      <c r="J7" s="98">
        <v>2063763.1734135598</v>
      </c>
      <c r="K7" s="98"/>
      <c r="L7" s="98">
        <v>34449.731880352119</v>
      </c>
      <c r="M7" s="98">
        <v>952519.64833213156</v>
      </c>
      <c r="N7" s="98">
        <v>2468531.1111667752</v>
      </c>
      <c r="O7" s="98">
        <v>148232.6739623498</v>
      </c>
      <c r="P7" s="98">
        <v>1709.9716434609509</v>
      </c>
      <c r="Q7" s="98">
        <v>5216592.6341052745</v>
      </c>
      <c r="R7" s="98">
        <v>5458842.7210985618</v>
      </c>
      <c r="S7" s="98">
        <v>213658.900448664</v>
      </c>
      <c r="T7" s="98">
        <v>103730.08649485061</v>
      </c>
      <c r="U7" s="98">
        <v>1350281.1539118693</v>
      </c>
      <c r="V7" s="98">
        <v>14400</v>
      </c>
      <c r="W7" s="98">
        <v>792440.79236345144</v>
      </c>
      <c r="X7" s="98">
        <v>469337.14858506783</v>
      </c>
      <c r="Y7" s="98">
        <v>219.61396718838785</v>
      </c>
      <c r="Z7" s="98">
        <v>4542635.2873380352</v>
      </c>
      <c r="AA7" s="98">
        <v>925011.48221335816</v>
      </c>
      <c r="AB7" s="98">
        <v>1327226.7147852567</v>
      </c>
      <c r="AC7" s="98">
        <v>632.81348314511342</v>
      </c>
      <c r="AD7" s="98">
        <v>54322844.465769023</v>
      </c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162317.36767727343</v>
      </c>
      <c r="C8" s="98">
        <v>226110.4756866793</v>
      </c>
      <c r="D8" s="98">
        <v>2952551.0288410094</v>
      </c>
      <c r="E8" s="98">
        <v>980314.70578320744</v>
      </c>
      <c r="F8" s="98">
        <v>119570.06432731522</v>
      </c>
      <c r="G8" s="98">
        <v>1502781.1107008122</v>
      </c>
      <c r="H8" s="98">
        <v>23911523.721627589</v>
      </c>
      <c r="I8" s="98"/>
      <c r="J8" s="98">
        <v>2114999.9774601497</v>
      </c>
      <c r="K8" s="98">
        <v>26163.144336591125</v>
      </c>
      <c r="L8" s="98">
        <v>2199.2700615431677</v>
      </c>
      <c r="M8" s="98">
        <v>1243684.2219918412</v>
      </c>
      <c r="N8" s="98">
        <v>2368708.1871831375</v>
      </c>
      <c r="O8" s="98">
        <v>243411.82603765032</v>
      </c>
      <c r="P8" s="98"/>
      <c r="Q8" s="98">
        <v>5119693.0284815514</v>
      </c>
      <c r="R8" s="98">
        <v>5622703.3534848932</v>
      </c>
      <c r="S8" s="98">
        <v>207462.14120035616</v>
      </c>
      <c r="T8" s="98">
        <v>99632.354577237478</v>
      </c>
      <c r="U8" s="98">
        <v>1297233.4809750344</v>
      </c>
      <c r="V8" s="98">
        <v>18000</v>
      </c>
      <c r="W8" s="98">
        <v>871392.37125140009</v>
      </c>
      <c r="X8" s="98">
        <v>460368.99818827701</v>
      </c>
      <c r="Y8" s="98">
        <v>226.79530291066658</v>
      </c>
      <c r="Z8" s="98">
        <v>4731436.1314918958</v>
      </c>
      <c r="AA8" s="98">
        <v>949345.99548394862</v>
      </c>
      <c r="AB8" s="98">
        <v>1362725.53997907</v>
      </c>
      <c r="AC8" s="98">
        <v>6705.9786119636192</v>
      </c>
      <c r="AD8" s="98">
        <v>56601261.270743325</v>
      </c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509860.57169242611</v>
      </c>
      <c r="C9" s="98">
        <v>657297.37830029498</v>
      </c>
      <c r="D9" s="98">
        <v>9004397.8609129805</v>
      </c>
      <c r="E9" s="98">
        <v>3268087.5012847767</v>
      </c>
      <c r="F9" s="98">
        <v>388863.39451189141</v>
      </c>
      <c r="G9" s="98">
        <v>4468150.9301789645</v>
      </c>
      <c r="H9" s="98">
        <v>50528031.255932003</v>
      </c>
      <c r="I9" s="98">
        <v>0.40288562423666008</v>
      </c>
      <c r="J9" s="98">
        <v>6219636.9017398441</v>
      </c>
      <c r="K9" s="98">
        <v>2000833.4736480103</v>
      </c>
      <c r="L9" s="98">
        <v>88541.13456199161</v>
      </c>
      <c r="M9" s="98">
        <v>3462466.1165914652</v>
      </c>
      <c r="N9" s="98">
        <v>7374022.539678853</v>
      </c>
      <c r="O9" s="98">
        <v>392524.60000000009</v>
      </c>
      <c r="P9" s="98">
        <v>9774.1779835575144</v>
      </c>
      <c r="Q9" s="98">
        <v>15605285.662586827</v>
      </c>
      <c r="R9" s="98">
        <v>12737910.716084369</v>
      </c>
      <c r="S9" s="98">
        <v>638131.40908454335</v>
      </c>
      <c r="T9" s="98">
        <v>309308.7526440433</v>
      </c>
      <c r="U9" s="98">
        <v>4030166.0660658106</v>
      </c>
      <c r="V9" s="98">
        <v>32476.5</v>
      </c>
      <c r="W9" s="98">
        <v>2491526.3685370558</v>
      </c>
      <c r="X9" s="98">
        <v>4202271.6342733456</v>
      </c>
      <c r="Y9" s="98">
        <v>1525.0592700990542</v>
      </c>
      <c r="Z9" s="98">
        <v>13642395.32050859</v>
      </c>
      <c r="AA9" s="98">
        <v>2785932.1201823736</v>
      </c>
      <c r="AB9" s="98">
        <v>4695054.426165103</v>
      </c>
      <c r="AC9" s="98">
        <v>106164.82514106328</v>
      </c>
      <c r="AD9" s="98">
        <v>149650637.10044587</v>
      </c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8.5703125" bestFit="1" customWidth="1"/>
    <col min="9" max="9" width="10.140625" bestFit="1" customWidth="1"/>
    <col min="10" max="10" width="17.710937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71" t="s">
        <v>232</v>
      </c>
      <c r="C4" s="171" t="s">
        <v>159</v>
      </c>
      <c r="D4" s="171" t="s">
        <v>226</v>
      </c>
      <c r="E4" s="171" t="s">
        <v>229</v>
      </c>
      <c r="F4" s="171" t="s">
        <v>228</v>
      </c>
      <c r="G4" s="171" t="s">
        <v>224</v>
      </c>
      <c r="H4" s="171" t="s">
        <v>233</v>
      </c>
      <c r="I4" s="171" t="s">
        <v>227</v>
      </c>
      <c r="J4" s="171" t="s">
        <v>322</v>
      </c>
      <c r="K4" s="171" t="s">
        <v>61</v>
      </c>
    </row>
    <row r="5" spans="1:11" x14ac:dyDescent="0.25">
      <c r="A5" s="78" t="s">
        <v>295</v>
      </c>
      <c r="B5" s="240"/>
      <c r="C5" s="240"/>
      <c r="D5" s="240"/>
      <c r="E5" s="240"/>
      <c r="F5" s="240"/>
      <c r="G5" s="240"/>
      <c r="H5" s="240"/>
      <c r="I5" s="240"/>
      <c r="J5" s="240"/>
      <c r="K5" s="240"/>
    </row>
    <row r="6" spans="1:11" x14ac:dyDescent="0.25">
      <c r="A6" s="79">
        <v>2019</v>
      </c>
      <c r="B6" s="240">
        <v>17.543930524502301</v>
      </c>
      <c r="C6" s="240">
        <v>0</v>
      </c>
      <c r="D6" s="240">
        <v>0</v>
      </c>
      <c r="E6" s="240">
        <v>19.573590488557194</v>
      </c>
      <c r="F6" s="240">
        <v>0</v>
      </c>
      <c r="G6" s="240">
        <v>0</v>
      </c>
      <c r="H6" s="240">
        <v>3.951047127829578</v>
      </c>
      <c r="I6" s="240">
        <v>47.489094924341849</v>
      </c>
      <c r="J6" s="240">
        <v>0</v>
      </c>
      <c r="K6" s="240">
        <v>88.557663065230912</v>
      </c>
    </row>
    <row r="7" spans="1:11" x14ac:dyDescent="0.25">
      <c r="A7" s="79">
        <v>2030</v>
      </c>
      <c r="B7" s="240">
        <v>19.810752704992638</v>
      </c>
      <c r="C7" s="240">
        <v>0</v>
      </c>
      <c r="D7" s="240">
        <v>59.629497759472514</v>
      </c>
      <c r="E7" s="240">
        <v>21.501926063738726</v>
      </c>
      <c r="F7" s="240">
        <v>0.14596282488120896</v>
      </c>
      <c r="G7" s="240">
        <v>2.2528620676195708</v>
      </c>
      <c r="H7" s="240">
        <v>5.3986394353114884</v>
      </c>
      <c r="I7" s="240">
        <v>45.11802212469226</v>
      </c>
      <c r="J7" s="240">
        <v>0</v>
      </c>
      <c r="K7" s="240">
        <v>153.85766298070843</v>
      </c>
    </row>
    <row r="8" spans="1:11" x14ac:dyDescent="0.25">
      <c r="A8" s="79">
        <v>2050</v>
      </c>
      <c r="B8" s="240">
        <v>19.90496446847807</v>
      </c>
      <c r="C8" s="240">
        <v>0</v>
      </c>
      <c r="D8" s="240">
        <v>63.719282873772414</v>
      </c>
      <c r="E8" s="240">
        <v>20.039498044815318</v>
      </c>
      <c r="F8" s="240">
        <v>0.23461711386879117</v>
      </c>
      <c r="G8" s="240">
        <v>2.3447387190129585</v>
      </c>
      <c r="H8" s="240">
        <v>5.5346783341970225</v>
      </c>
      <c r="I8" s="240">
        <v>45.173390358640965</v>
      </c>
      <c r="J8" s="240">
        <v>0</v>
      </c>
      <c r="K8" s="240">
        <v>156.95116991278553</v>
      </c>
    </row>
    <row r="9" spans="1:11" x14ac:dyDescent="0.25">
      <c r="A9" s="78" t="s">
        <v>247</v>
      </c>
      <c r="B9" s="240"/>
      <c r="C9" s="240"/>
      <c r="D9" s="240"/>
      <c r="E9" s="240"/>
      <c r="F9" s="240"/>
      <c r="G9" s="240"/>
      <c r="H9" s="240"/>
      <c r="I9" s="240"/>
      <c r="J9" s="240"/>
      <c r="K9" s="240"/>
    </row>
    <row r="10" spans="1:11" x14ac:dyDescent="0.25">
      <c r="A10" s="79">
        <v>2019</v>
      </c>
      <c r="B10" s="240">
        <v>7.483154704207001</v>
      </c>
      <c r="C10" s="240">
        <v>2.1694819870080004</v>
      </c>
      <c r="D10" s="240">
        <v>1.4201719861750002</v>
      </c>
      <c r="E10" s="240">
        <v>0.45076703431999998</v>
      </c>
      <c r="F10" s="240">
        <v>0</v>
      </c>
      <c r="G10" s="240">
        <v>5.0922829580050024</v>
      </c>
      <c r="H10" s="240">
        <v>0</v>
      </c>
      <c r="I10" s="240">
        <v>0</v>
      </c>
      <c r="J10" s="240">
        <v>0</v>
      </c>
      <c r="K10" s="240">
        <v>16.615858669715003</v>
      </c>
    </row>
    <row r="11" spans="1:11" x14ac:dyDescent="0.25">
      <c r="A11" s="79">
        <v>2030</v>
      </c>
      <c r="B11" s="240">
        <v>5.299004640736527</v>
      </c>
      <c r="C11" s="240">
        <v>2.1694819870080004</v>
      </c>
      <c r="D11" s="240">
        <v>1.4201719861750002</v>
      </c>
      <c r="E11" s="240">
        <v>0.45076703432000015</v>
      </c>
      <c r="F11" s="240">
        <v>0</v>
      </c>
      <c r="G11" s="240">
        <v>16.27366559690411</v>
      </c>
      <c r="H11" s="240">
        <v>0</v>
      </c>
      <c r="I11" s="240">
        <v>0</v>
      </c>
      <c r="J11" s="240">
        <v>0</v>
      </c>
      <c r="K11" s="240">
        <v>25.613091245143636</v>
      </c>
    </row>
    <row r="12" spans="1:11" x14ac:dyDescent="0.25">
      <c r="A12" s="79">
        <v>2050</v>
      </c>
      <c r="B12" s="240">
        <v>5.3654495190523503</v>
      </c>
      <c r="C12" s="240">
        <v>2.1694819870080004</v>
      </c>
      <c r="D12" s="240">
        <v>1.4201719861750002</v>
      </c>
      <c r="E12" s="240">
        <v>0.45076703432000009</v>
      </c>
      <c r="F12" s="240">
        <v>0</v>
      </c>
      <c r="G12" s="240">
        <v>16.022658393242192</v>
      </c>
      <c r="H12" s="240">
        <v>0</v>
      </c>
      <c r="I12" s="240">
        <v>0</v>
      </c>
      <c r="J12" s="240">
        <v>0</v>
      </c>
      <c r="K12" s="240">
        <v>25.428528919797543</v>
      </c>
    </row>
    <row r="13" spans="1:11" x14ac:dyDescent="0.25">
      <c r="A13" s="78" t="s">
        <v>296</v>
      </c>
      <c r="B13" s="240">
        <v>57.259647697973008</v>
      </c>
      <c r="C13" s="240">
        <v>0</v>
      </c>
      <c r="D13" s="240">
        <v>123.34878063324493</v>
      </c>
      <c r="E13" s="240">
        <v>61.115014597111241</v>
      </c>
      <c r="F13" s="240">
        <v>0.38057993875000012</v>
      </c>
      <c r="G13" s="240">
        <v>4.5976007866325297</v>
      </c>
      <c r="H13" s="240">
        <v>14.884364897338088</v>
      </c>
      <c r="I13" s="240">
        <v>137.78050740767509</v>
      </c>
      <c r="J13" s="240">
        <v>0</v>
      </c>
      <c r="K13" s="240">
        <v>399.36649595872484</v>
      </c>
    </row>
    <row r="14" spans="1:11" x14ac:dyDescent="0.25">
      <c r="A14" s="78" t="s">
        <v>248</v>
      </c>
      <c r="B14" s="240">
        <v>18.147608863995877</v>
      </c>
      <c r="C14" s="240">
        <v>6.5084459610240017</v>
      </c>
      <c r="D14" s="240">
        <v>4.2605159585250005</v>
      </c>
      <c r="E14" s="240">
        <v>1.3523011029600003</v>
      </c>
      <c r="F14" s="240">
        <v>0</v>
      </c>
      <c r="G14" s="240">
        <v>37.388606948151306</v>
      </c>
      <c r="H14" s="240">
        <v>0</v>
      </c>
      <c r="I14" s="240">
        <v>0</v>
      </c>
      <c r="J14" s="240">
        <v>0</v>
      </c>
      <c r="K14" s="240">
        <v>67.657478834656189</v>
      </c>
    </row>
  </sheetData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241</v>
      </c>
      <c r="B1" s="77" t="s">
        <v>62</v>
      </c>
    </row>
    <row r="2" spans="1:9" x14ac:dyDescent="0.25">
      <c r="A2" s="77" t="s">
        <v>60</v>
      </c>
      <c r="B2" s="171" t="s">
        <v>232</v>
      </c>
      <c r="C2" s="171" t="s">
        <v>159</v>
      </c>
      <c r="D2" s="171" t="s">
        <v>226</v>
      </c>
      <c r="E2" s="171" t="s">
        <v>229</v>
      </c>
      <c r="F2" s="171" t="s">
        <v>228</v>
      </c>
      <c r="G2" s="171" t="s">
        <v>224</v>
      </c>
      <c r="H2" s="171" t="s">
        <v>227</v>
      </c>
      <c r="I2" s="171" t="s">
        <v>61</v>
      </c>
    </row>
    <row r="3" spans="1:9" x14ac:dyDescent="0.25">
      <c r="A3" s="78">
        <v>2019</v>
      </c>
      <c r="B3" s="241">
        <v>1077304.94</v>
      </c>
      <c r="C3" s="241">
        <v>128467.8</v>
      </c>
      <c r="D3" s="241">
        <v>128726.35999999999</v>
      </c>
      <c r="E3" s="241">
        <v>1675417.9906552273</v>
      </c>
      <c r="F3" s="241">
        <v>0</v>
      </c>
      <c r="G3" s="241">
        <v>704016.11583333346</v>
      </c>
      <c r="H3" s="241">
        <v>1575873.4784311759</v>
      </c>
      <c r="I3" s="241">
        <v>5289806.6849197373</v>
      </c>
    </row>
    <row r="4" spans="1:9" x14ac:dyDescent="0.25">
      <c r="A4" s="78">
        <v>2030</v>
      </c>
      <c r="B4" s="241">
        <v>1140745.9345080981</v>
      </c>
      <c r="C4" s="241">
        <v>128467.8</v>
      </c>
      <c r="D4" s="241">
        <v>7805831.8694405425</v>
      </c>
      <c r="E4" s="241">
        <v>1834001.1901776728</v>
      </c>
      <c r="F4" s="241">
        <v>24394.90109435247</v>
      </c>
      <c r="G4" s="241">
        <v>2496360.7088010199</v>
      </c>
      <c r="H4" s="241">
        <v>1497777.1733240632</v>
      </c>
      <c r="I4" s="241">
        <v>14927579.577345751</v>
      </c>
    </row>
    <row r="5" spans="1:9" x14ac:dyDescent="0.25">
      <c r="A5" s="78">
        <v>2050</v>
      </c>
      <c r="B5" s="241">
        <v>1159380.5453773015</v>
      </c>
      <c r="C5" s="241">
        <v>128467.8</v>
      </c>
      <c r="D5" s="241">
        <v>8321598.9393502567</v>
      </c>
      <c r="E5" s="241">
        <v>1714475.0703735081</v>
      </c>
      <c r="F5" s="241">
        <v>39211.773905647548</v>
      </c>
      <c r="G5" s="241">
        <v>2479453.136644504</v>
      </c>
      <c r="H5" s="241">
        <v>1498433.9529448485</v>
      </c>
      <c r="I5" s="241">
        <v>15341021.218596067</v>
      </c>
    </row>
    <row r="6" spans="1:9" x14ac:dyDescent="0.25">
      <c r="A6" s="78" t="s">
        <v>61</v>
      </c>
      <c r="B6" s="241">
        <v>3377431.4198853993</v>
      </c>
      <c r="C6" s="241">
        <v>385403.4</v>
      </c>
      <c r="D6" s="241">
        <v>16256157.168790799</v>
      </c>
      <c r="E6" s="241">
        <v>5223894.2512064083</v>
      </c>
      <c r="F6" s="241">
        <v>63606.675000000017</v>
      </c>
      <c r="G6" s="241">
        <v>5679829.9612788577</v>
      </c>
      <c r="H6" s="241">
        <v>4572084.6047000876</v>
      </c>
      <c r="I6" s="241">
        <v>35558407.48086156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I6"/>
  <sheetViews>
    <sheetView workbookViewId="0">
      <selection activeCell="F4" sqref="F4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7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1.28515625" bestFit="1" customWidth="1"/>
    <col min="10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9" x14ac:dyDescent="0.25">
      <c r="A1" s="77" t="s">
        <v>200</v>
      </c>
      <c r="B1" s="77" t="s">
        <v>62</v>
      </c>
    </row>
    <row r="2" spans="1:9" x14ac:dyDescent="0.25">
      <c r="A2" s="77" t="s">
        <v>60</v>
      </c>
      <c r="B2" s="171" t="s">
        <v>112</v>
      </c>
      <c r="C2" s="171" t="s">
        <v>202</v>
      </c>
      <c r="D2" s="171" t="s">
        <v>195</v>
      </c>
      <c r="E2" s="171" t="s">
        <v>196</v>
      </c>
      <c r="F2" s="171" t="s">
        <v>10</v>
      </c>
      <c r="G2" s="171" t="s">
        <v>267</v>
      </c>
      <c r="H2" s="171" t="s">
        <v>320</v>
      </c>
      <c r="I2" s="171" t="s">
        <v>61</v>
      </c>
    </row>
    <row r="3" spans="1:9" x14ac:dyDescent="0.25">
      <c r="A3" s="78">
        <v>2019</v>
      </c>
      <c r="B3" s="98">
        <v>14517462.442375844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29034924.884751678</v>
      </c>
    </row>
    <row r="4" spans="1:9" x14ac:dyDescent="0.25">
      <c r="A4" s="78">
        <v>2030</v>
      </c>
      <c r="B4" s="98">
        <v>12061659.217710676</v>
      </c>
      <c r="C4" s="98">
        <v>-24610.813181900667</v>
      </c>
      <c r="D4" s="98">
        <v>5507316.8818720337</v>
      </c>
      <c r="E4" s="98">
        <v>8852683.6564139053</v>
      </c>
      <c r="F4" s="98">
        <v>-1707739.728033402</v>
      </c>
      <c r="G4" s="98">
        <v>-565990.77935995674</v>
      </c>
      <c r="H4" s="98">
        <v>0</v>
      </c>
      <c r="I4" s="98">
        <v>24123318.435421359</v>
      </c>
    </row>
    <row r="5" spans="1:9" x14ac:dyDescent="0.25">
      <c r="A5" s="78">
        <v>2050</v>
      </c>
      <c r="B5" s="98">
        <v>11381001.09678873</v>
      </c>
      <c r="C5" s="98">
        <v>-40179.115818099352</v>
      </c>
      <c r="D5" s="98">
        <v>5485230.909845111</v>
      </c>
      <c r="E5" s="98">
        <v>8714081.1908516288</v>
      </c>
      <c r="F5" s="98">
        <v>-2227605.1235059141</v>
      </c>
      <c r="G5" s="98">
        <v>-550526.76458399382</v>
      </c>
      <c r="H5" s="98">
        <v>0</v>
      </c>
      <c r="I5" s="98">
        <v>22762002.193577465</v>
      </c>
    </row>
    <row r="6" spans="1:9" x14ac:dyDescent="0.25">
      <c r="A6" s="78" t="s">
        <v>61</v>
      </c>
      <c r="B6" s="98">
        <v>37960122.756875247</v>
      </c>
      <c r="C6" s="98">
        <v>-64948.366200000019</v>
      </c>
      <c r="D6" s="98">
        <v>16511809.692453861</v>
      </c>
      <c r="E6" s="98">
        <v>27292231.036999717</v>
      </c>
      <c r="F6" s="98">
        <v>-4497244.8515393157</v>
      </c>
      <c r="G6" s="98">
        <v>-1281724.7548390103</v>
      </c>
      <c r="H6" s="98">
        <v>0</v>
      </c>
      <c r="I6" s="98">
        <v>75920245.513750508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55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201</v>
      </c>
      <c r="E1" t="s">
        <v>203</v>
      </c>
    </row>
    <row r="2" spans="1:9" x14ac:dyDescent="0.25">
      <c r="A2" t="s">
        <v>23</v>
      </c>
      <c r="B2">
        <f t="shared" ref="B2:B10" si="0">År1</f>
        <v>2019</v>
      </c>
      <c r="C2" s="98" t="e">
        <f>SUMIF('Resultater - Vestdanmark'!$F$3:$F$487,'CO2-udledning'!$D$2,'Resultater - Vestdanmark'!H$3:H$487)</f>
        <v>#REF!</v>
      </c>
      <c r="D2" s="98" t="s">
        <v>112</v>
      </c>
      <c r="E2" s="98" t="s">
        <v>112</v>
      </c>
    </row>
    <row r="3" spans="1:9" x14ac:dyDescent="0.25">
      <c r="A3" t="s">
        <v>23</v>
      </c>
      <c r="B3" s="171">
        <f t="shared" si="0"/>
        <v>2019</v>
      </c>
      <c r="C3" s="98" t="e">
        <f>SUMIFS('Resultater - Vestdanmark'!H$3:H$474,'Resultater - Vestdanmark'!$F$3:$F$474,'CO2-udledning'!$D$2,'Resultater - Vestdanmark'!$A$3:$A$474,'CO2-udledning'!$G3)+SUMIFS('Resultater - Vestdanmark'!H$3:H$474,'Resultater - Vestdanmark'!$F$3:$F$474,'CO2-udledning'!$D$2,'Resultater - Vestdanmark'!$A$3:$A$474,'CO2-udledning'!$H3)+SUMIFS('Resultater - Vestdanmark'!H$3:H$474,'Resultater - Vestdanmark'!$F$3:$F$474,'CO2-udledning'!$D$2,'Resultater - Vestdanmark'!$A$3:$A$474,'CO2-udledning'!$I3)</f>
        <v>#REF!</v>
      </c>
      <c r="D3" t="s">
        <v>70</v>
      </c>
      <c r="E3" t="s">
        <v>195</v>
      </c>
      <c r="G3" s="98" t="s">
        <v>168</v>
      </c>
      <c r="H3" s="98" t="s">
        <v>169</v>
      </c>
      <c r="I3" s="98" t="s">
        <v>170</v>
      </c>
    </row>
    <row r="4" spans="1:9" x14ac:dyDescent="0.25">
      <c r="A4" t="s">
        <v>23</v>
      </c>
      <c r="B4" s="171">
        <f t="shared" si="0"/>
        <v>2019</v>
      </c>
      <c r="C4" s="98" t="e">
        <f>SUMIFS('Resultater - Vestdanmark'!H$3:H$474,'Resultater - Vestdanmark'!$F$3:$F$474,'CO2-udledning'!$D$2,'Resultater - Vestdanmark'!$C$3:$C$474,'CO2-udledning'!$F4)+SUMIFS('Resultater - Vestdanmark'!H$3:H$474,'Resultater - Vestdanmark'!$F$3:$F$474,$D$2,'Resultater - Vestdanmark'!$A$3:$A$474,"Grøntsager I drivhus")</f>
        <v>#REF!</v>
      </c>
      <c r="D4" t="s">
        <v>70</v>
      </c>
      <c r="E4" t="s">
        <v>196</v>
      </c>
      <c r="F4" t="str">
        <f>Jordbund1</f>
        <v>JB1-10</v>
      </c>
    </row>
    <row r="5" spans="1:9" x14ac:dyDescent="0.25">
      <c r="A5" t="s">
        <v>23</v>
      </c>
      <c r="B5" s="171">
        <f t="shared" si="0"/>
        <v>2019</v>
      </c>
      <c r="C5" s="98" t="e">
        <f>SUMIFS('Resultater - Vestdanmark'!H$3:H$474,'Resultater - Vestdanmark'!$F$3:$F$474,'CO2-udledning'!$D$2,'Resultater - Vestdanmark'!$C$3:$C$474,'CO2-udledning'!$F5)</f>
        <v>#REF!</v>
      </c>
      <c r="D5" t="s">
        <v>70</v>
      </c>
      <c r="E5" t="s">
        <v>196</v>
      </c>
      <c r="F5" t="str">
        <f>Organ6</f>
        <v>OC6</v>
      </c>
    </row>
    <row r="6" spans="1:9" x14ac:dyDescent="0.25">
      <c r="A6" t="s">
        <v>23</v>
      </c>
      <c r="B6" s="171">
        <f t="shared" si="0"/>
        <v>2019</v>
      </c>
      <c r="C6" s="98" t="e">
        <f>SUMIFS('Resultater - Vestdanmark'!H$3:H$474,'Resultater - Vestdanmark'!$F$3:$F$474,'CO2-udledning'!$D$2,'Resultater - Vestdanmark'!$C$3:$C$474,'CO2-udledning'!$F6)</f>
        <v>#REF!</v>
      </c>
      <c r="D6" t="s">
        <v>70</v>
      </c>
      <c r="E6" t="s">
        <v>196</v>
      </c>
      <c r="F6" t="str">
        <f>Organ12</f>
        <v>OC12</v>
      </c>
    </row>
    <row r="7" spans="1:9" x14ac:dyDescent="0.25">
      <c r="A7" t="s">
        <v>23</v>
      </c>
      <c r="B7" s="171">
        <f t="shared" si="0"/>
        <v>2019</v>
      </c>
      <c r="C7" s="98" t="e">
        <f>SUMIFS('Resultater - Vestdanmark'!H$3:H$474,'Resultater - Vestdanmark'!$F$3:$F$474,'CO2-udledning'!$D$2,'Resultater - Vestdanmark'!$A$3:$A$474,'CO2-udledning'!$G7)+SUMIFS('Resultater - Vestdanmark'!H$3:H$474,'Resultater - Vestdanmark'!$F$3:$F$474,'CO2-udledning'!$D$2,'Resultater - Vestdanmark'!$A$3:$A$474,'CO2-udledning'!$H7)</f>
        <v>#REF!</v>
      </c>
      <c r="D7" t="s">
        <v>202</v>
      </c>
      <c r="E7" t="s">
        <v>202</v>
      </c>
      <c r="G7" t="s">
        <v>197</v>
      </c>
      <c r="H7" t="s">
        <v>198</v>
      </c>
    </row>
    <row r="8" spans="1:9" x14ac:dyDescent="0.25">
      <c r="A8" t="s">
        <v>23</v>
      </c>
      <c r="B8" s="171">
        <f t="shared" si="0"/>
        <v>2019</v>
      </c>
      <c r="C8" s="98" t="e">
        <f>SUMIFS('Resultater - Vestdanmark'!H$3:H$474,'Resultater - Vestdanmark'!$F$3:$F$474,'CO2-udledning'!$D$2,'Resultater - Vestdanmark'!$A$3:$A$474,'CO2-udledning'!$G8)</f>
        <v>#REF!</v>
      </c>
      <c r="D8" t="s">
        <v>10</v>
      </c>
      <c r="E8" t="s">
        <v>10</v>
      </c>
      <c r="G8" t="s">
        <v>199</v>
      </c>
    </row>
    <row r="9" spans="1:9" s="171" customFormat="1" x14ac:dyDescent="0.25">
      <c r="A9" s="171" t="s">
        <v>23</v>
      </c>
      <c r="B9" s="171">
        <f t="shared" si="0"/>
        <v>2019</v>
      </c>
      <c r="C9" s="98" t="e">
        <f>SUMIFS('Resultater - Vestdanmark'!H$3:H$474,'Resultater - Vestdanmark'!$F$3:$F$474,'CO2-udledning'!$D$2,'Resultater - Vestdanmark'!$A$3:$A$474,'CO2-udledning'!$G9)</f>
        <v>#REF!</v>
      </c>
      <c r="D9" s="171" t="s">
        <v>267</v>
      </c>
      <c r="E9" s="171" t="s">
        <v>267</v>
      </c>
      <c r="G9" s="171" t="s">
        <v>267</v>
      </c>
    </row>
    <row r="10" spans="1:9" s="171" customFormat="1" x14ac:dyDescent="0.25">
      <c r="A10" s="171" t="s">
        <v>23</v>
      </c>
      <c r="B10" s="171">
        <f t="shared" si="0"/>
        <v>2019</v>
      </c>
      <c r="C10" s="98" t="e">
        <f>SUMIFS('Resultater - Vestdanmark'!H$3:H$474,'Resultater - Vestdanmark'!$F$3:$F$474,'CO2-udledning'!$D$2,'Resultater - Vestdanmark'!$A$3:$A$474,'CO2-udledning'!$G10)</f>
        <v>#REF!</v>
      </c>
      <c r="D10" s="171" t="s">
        <v>320</v>
      </c>
      <c r="E10" s="171" t="s">
        <v>320</v>
      </c>
      <c r="G10" s="171" t="s">
        <v>320</v>
      </c>
    </row>
    <row r="11" spans="1:9" x14ac:dyDescent="0.25">
      <c r="A11" t="s">
        <v>23</v>
      </c>
      <c r="B11">
        <f t="shared" ref="B11:B19" si="1">År2</f>
        <v>2030</v>
      </c>
      <c r="C11" s="98" t="e">
        <f>SUMIF('Resultater - Vestdanmark'!$F$3:$F$487,'CO2-udledning'!$D$2,'Resultater - Vestdanmark'!I$3:I$487)</f>
        <v>#REF!</v>
      </c>
      <c r="D11" s="98" t="str">
        <f>IF(D2&lt;&gt;"",D2,"")</f>
        <v>CO2 - atmosfære</v>
      </c>
      <c r="E11" s="98" t="str">
        <f t="shared" ref="E11:I11" si="2">IF(E2&lt;&gt;"",E2,"")</f>
        <v>CO2 - atmosfære</v>
      </c>
      <c r="F11" s="98" t="str">
        <f t="shared" si="2"/>
        <v/>
      </c>
      <c r="G11" s="98" t="str">
        <f t="shared" si="2"/>
        <v/>
      </c>
      <c r="H11" s="98" t="str">
        <f t="shared" si="2"/>
        <v/>
      </c>
      <c r="I11" s="98" t="str">
        <f t="shared" si="2"/>
        <v/>
      </c>
    </row>
    <row r="12" spans="1:9" x14ac:dyDescent="0.25">
      <c r="A12" t="s">
        <v>23</v>
      </c>
      <c r="B12" s="171">
        <f t="shared" si="1"/>
        <v>2030</v>
      </c>
      <c r="C12" s="98" t="e">
        <f>SUMIFS('Resultater - Vestdanmark'!I$3:I$474,'Resultater - Vestdanmark'!$F$3:$F$474,'CO2-udledning'!$D$2,'Resultater - Vestdanmark'!$A$3:$A$474,'CO2-udledning'!$G3)+SUMIFS('Resultater - Vestdanmark'!I$3:I$474,'Resultater - Vestdanmark'!$F$3:$F$474,'CO2-udledning'!$D$2,'Resultater - Vestdanmark'!$A$3:$A$474,'CO2-udledning'!$H3)+SUMIFS('Resultater - Vestdanmark'!I$3:I$474,'Resultater - Vestdanmark'!$F$3:$F$474,'CO2-udledning'!$D$2,'Resultater - Vestdanmark'!$A$3:$A$474,'CO2-udledning'!$I3)</f>
        <v>#REF!</v>
      </c>
      <c r="D12" s="98" t="str">
        <f t="shared" ref="D12:I12" si="3">IF(D3&lt;&gt;"",D3,"")</f>
        <v>Landbrug</v>
      </c>
      <c r="E12" s="98" t="str">
        <f t="shared" si="3"/>
        <v>Husdyr</v>
      </c>
      <c r="F12" s="98" t="str">
        <f t="shared" si="3"/>
        <v/>
      </c>
      <c r="G12" s="98" t="str">
        <f t="shared" si="3"/>
        <v>Grisestald</v>
      </c>
      <c r="H12" s="98" t="str">
        <f t="shared" si="3"/>
        <v>Kostald</v>
      </c>
      <c r="I12" s="98" t="str">
        <f t="shared" si="3"/>
        <v>Fjerkræbrug</v>
      </c>
    </row>
    <row r="13" spans="1:9" x14ac:dyDescent="0.25">
      <c r="A13" t="s">
        <v>23</v>
      </c>
      <c r="B13" s="171">
        <f t="shared" si="1"/>
        <v>2030</v>
      </c>
      <c r="C13" s="98" t="e">
        <f>SUMIFS('Resultater - Vestdanmark'!I$3:I$474,'Resultater - Vestdanmark'!$F$3:$F$474,'CO2-udledning'!$D$2,'Resultater - Vestdanmark'!$C$3:$C$474,'CO2-udledning'!$F4)+SUMIFS('Resultater - Vestdanmark'!I$3:I$474,'Resultater - Vestdanmark'!$F$3:$F$474,$D$2,'Resultater - Vestdanmark'!$A$3:$A$474,"Grøntsager I drivhus")</f>
        <v>#REF!</v>
      </c>
      <c r="D13" s="98" t="str">
        <f t="shared" ref="D13:I13" si="4">IF(D4&lt;&gt;"",D4,"")</f>
        <v>Landbrug</v>
      </c>
      <c r="E13" s="98" t="str">
        <f t="shared" si="4"/>
        <v>Marker</v>
      </c>
      <c r="F13" s="98" t="str">
        <f t="shared" si="4"/>
        <v>JB1-10</v>
      </c>
      <c r="G13" s="98" t="str">
        <f t="shared" si="4"/>
        <v/>
      </c>
      <c r="H13" s="98" t="str">
        <f t="shared" si="4"/>
        <v/>
      </c>
      <c r="I13" s="98" t="str">
        <f t="shared" si="4"/>
        <v/>
      </c>
    </row>
    <row r="14" spans="1:9" x14ac:dyDescent="0.25">
      <c r="A14" t="s">
        <v>23</v>
      </c>
      <c r="B14" s="171">
        <f t="shared" si="1"/>
        <v>2030</v>
      </c>
      <c r="C14" s="98" t="e">
        <f>SUMIFS('Resultater - Vestdanmark'!I$3:I$474,'Resultater - Vestdanmark'!$F$3:$F$474,'CO2-udledning'!$D$2,'Resultater - Vestdanmark'!$C$3:$C$474,'CO2-udledning'!$F5)</f>
        <v>#REF!</v>
      </c>
      <c r="D14" s="98" t="str">
        <f t="shared" ref="D14:I14" si="5">IF(D5&lt;&gt;"",D5,"")</f>
        <v>Landbrug</v>
      </c>
      <c r="E14" s="98" t="str">
        <f t="shared" si="5"/>
        <v>Marker</v>
      </c>
      <c r="F14" s="98" t="str">
        <f t="shared" si="5"/>
        <v>OC6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71">
        <f t="shared" si="1"/>
        <v>2030</v>
      </c>
      <c r="C15" s="98" t="e">
        <f>SUMIFS('Resultater - Vestdanmark'!I$3:I$474,'Resultater - Vestdanmark'!$F$3:$F$474,'CO2-udledning'!$D$2,'Resultater - Vestdanmark'!$C$3:$C$474,'CO2-udledning'!$F6)</f>
        <v>#REF!</v>
      </c>
      <c r="D15" s="98" t="str">
        <f t="shared" ref="D15:I15" si="6">IF(D6&lt;&gt;"",D6,"")</f>
        <v>Landbrug</v>
      </c>
      <c r="E15" s="98" t="str">
        <f t="shared" si="6"/>
        <v>Marker</v>
      </c>
      <c r="F15" s="98" t="str">
        <f t="shared" si="6"/>
        <v>OC12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71">
        <f t="shared" si="1"/>
        <v>2030</v>
      </c>
      <c r="C16" s="98" t="e">
        <f>SUMIFS('Resultater - Vestdanmark'!I$3:I$474,'Resultater - Vestdanmark'!$F$3:$F$474,'CO2-udledning'!$D$2,'Resultater - Vestdanmark'!$A$3:$A$474,'CO2-udledning'!$G7)+SUMIFS('Resultater - Vestdanmark'!I$3:I$474,'Resultater - Vestdanmark'!$F$3:$F$474,'CO2-udledning'!$D$2,'Resultater - Vestdanmark'!$A$3:$A$474,'CO2-udledning'!$H7)</f>
        <v>#REF!</v>
      </c>
      <c r="D16" s="98" t="str">
        <f t="shared" ref="D16:I16" si="7">IF(D7&lt;&gt;"",D7,"")</f>
        <v>Hav</v>
      </c>
      <c r="E16" s="98" t="str">
        <f t="shared" si="7"/>
        <v>Hav</v>
      </c>
      <c r="F16" s="98" t="str">
        <f t="shared" si="7"/>
        <v/>
      </c>
      <c r="G16" s="98" t="str">
        <f t="shared" si="7"/>
        <v>Muslingefarm</v>
      </c>
      <c r="H16" s="98" t="str">
        <f t="shared" si="7"/>
        <v>Tangfarm</v>
      </c>
      <c r="I16" s="98" t="str">
        <f t="shared" si="7"/>
        <v/>
      </c>
    </row>
    <row r="17" spans="1:9" x14ac:dyDescent="0.25">
      <c r="A17" t="s">
        <v>23</v>
      </c>
      <c r="B17" s="171">
        <f t="shared" si="1"/>
        <v>2030</v>
      </c>
      <c r="C17" s="98" t="e">
        <f>SUMIFS('Resultater - Vestdanmark'!I$3:I$474,'Resultater - Vestdanmark'!$F$3:$F$474,'CO2-udledning'!$D$2,'Resultater - Vestdanmark'!$A$3:$A$474,'CO2-udledning'!$G8)</f>
        <v>#REF!</v>
      </c>
      <c r="D17" s="98" t="str">
        <f t="shared" ref="D17:I17" si="8">IF(D8&lt;&gt;"",D8,"")</f>
        <v>Skov</v>
      </c>
      <c r="E17" s="98" t="str">
        <f t="shared" si="8"/>
        <v>Skov</v>
      </c>
      <c r="F17" s="98" t="str">
        <f t="shared" si="8"/>
        <v/>
      </c>
      <c r="G17" s="98" t="str">
        <f t="shared" si="8"/>
        <v>Skovproduktion</v>
      </c>
      <c r="H17" s="98" t="str">
        <f t="shared" si="8"/>
        <v/>
      </c>
      <c r="I17" s="98" t="str">
        <f t="shared" si="8"/>
        <v/>
      </c>
    </row>
    <row r="18" spans="1:9" s="171" customFormat="1" x14ac:dyDescent="0.25">
      <c r="A18" s="171" t="s">
        <v>23</v>
      </c>
      <c r="B18" s="171">
        <f t="shared" si="1"/>
        <v>2030</v>
      </c>
      <c r="C18" s="98" t="e">
        <f>SUMIFS('Resultater - Vestdanmark'!I$3:I$474,'Resultater - Vestdanmark'!$F$3:$F$474,'CO2-udledning'!$D$2,'Resultater - Vestdanmark'!$A$3:$A$474,'CO2-udledning'!$G9)</f>
        <v>#REF!</v>
      </c>
      <c r="D18" s="98" t="str">
        <f t="shared" ref="D18:I18" si="9">IF(D9&lt;&gt;"",D9,"")</f>
        <v>Biogasanlæg</v>
      </c>
      <c r="E18" s="98" t="str">
        <f t="shared" si="9"/>
        <v>Biogasanlæg</v>
      </c>
      <c r="F18" s="98" t="str">
        <f t="shared" si="9"/>
        <v/>
      </c>
      <c r="G18" s="98" t="str">
        <f t="shared" si="9"/>
        <v>Biogasanlæg</v>
      </c>
      <c r="H18" s="98" t="str">
        <f t="shared" si="9"/>
        <v/>
      </c>
      <c r="I18" s="98" t="str">
        <f t="shared" si="9"/>
        <v/>
      </c>
    </row>
    <row r="19" spans="1:9" s="171" customFormat="1" x14ac:dyDescent="0.25">
      <c r="A19" s="171" t="s">
        <v>23</v>
      </c>
      <c r="B19" s="171">
        <f t="shared" si="1"/>
        <v>2030</v>
      </c>
      <c r="C19" s="98" t="e">
        <f>SUMIFS('Resultater - Vestdanmark'!I$3:I$474,'Resultater - Vestdanmark'!$F$3:$F$474,'CO2-udledning'!$D$2,'Resultater - Vestdanmark'!$A$3:$A$474,'CO2-udledning'!$G10)</f>
        <v>#REF!</v>
      </c>
      <c r="D19" s="98" t="str">
        <f t="shared" ref="D19:I19" si="10">IF(D10&lt;&gt;"",D10,"")</f>
        <v>Pyrolyseproces</v>
      </c>
      <c r="E19" s="98" t="str">
        <f t="shared" si="10"/>
        <v>Pyrolyseproces</v>
      </c>
      <c r="F19" s="98" t="str">
        <f t="shared" si="10"/>
        <v/>
      </c>
      <c r="G19" s="98" t="str">
        <f t="shared" si="10"/>
        <v>Pyrolyseproces</v>
      </c>
      <c r="H19" s="98" t="str">
        <f t="shared" si="10"/>
        <v/>
      </c>
      <c r="I19" s="98" t="str">
        <f t="shared" si="10"/>
        <v/>
      </c>
    </row>
    <row r="20" spans="1:9" x14ac:dyDescent="0.25">
      <c r="A20" t="s">
        <v>23</v>
      </c>
      <c r="B20">
        <f t="shared" ref="B20:B28" si="11">År3</f>
        <v>2050</v>
      </c>
      <c r="C20" s="98" t="e">
        <f>SUMIF('Resultater - Vestdanmark'!$F$3:$F$487,'CO2-udledning'!$D$2,'Resultater - Vestdanmark'!J$3:J$487)</f>
        <v>#REF!</v>
      </c>
      <c r="D20" s="98" t="str">
        <f t="shared" ref="D20:I20" si="12">IF(D11&lt;&gt;"",D11,"")</f>
        <v>CO2 - atmosfære</v>
      </c>
      <c r="E20" s="98" t="str">
        <f t="shared" si="12"/>
        <v>CO2 - atmosfære</v>
      </c>
      <c r="F20" s="98" t="str">
        <f t="shared" si="12"/>
        <v/>
      </c>
      <c r="G20" s="98" t="str">
        <f t="shared" si="12"/>
        <v/>
      </c>
      <c r="H20" s="98" t="str">
        <f t="shared" si="12"/>
        <v/>
      </c>
      <c r="I20" s="98" t="str">
        <f t="shared" si="12"/>
        <v/>
      </c>
    </row>
    <row r="21" spans="1:9" x14ac:dyDescent="0.25">
      <c r="A21" t="s">
        <v>23</v>
      </c>
      <c r="B21">
        <f t="shared" si="11"/>
        <v>2050</v>
      </c>
      <c r="C21" s="98" t="e">
        <f>SUMIFS('Resultater - Vestdanmark'!J$3:J$474,'Resultater - Vestdanmark'!$F$3:$F$474,'CO2-udledning'!$D$2,'Resultater - Vestdanmark'!$A$3:$A$474,'CO2-udledning'!$G3)+SUMIFS('Resultater - Vestdanmark'!J$3:J$474,'Resultater - Vestdanmark'!$F$3:$F$474,'CO2-udledning'!$D$2,'Resultater - Vestdanmark'!$A$3:$A$474,'CO2-udledning'!$H3)+SUMIFS('Resultater - Vestdanmark'!J$3:J$474,'Resultater - Vestdanmark'!$F$3:$F$474,'CO2-udledning'!$D$2,'Resultater - Vestdanmark'!$A$3:$A$474,'CO2-udledning'!$I3)</f>
        <v>#REF!</v>
      </c>
      <c r="D21" s="98" t="str">
        <f t="shared" ref="D21:I21" si="13">IF(D12&lt;&gt;"",D12,"")</f>
        <v>Landbrug</v>
      </c>
      <c r="E21" s="98" t="str">
        <f t="shared" si="13"/>
        <v>Husdyr</v>
      </c>
      <c r="F21" s="98" t="str">
        <f t="shared" si="13"/>
        <v/>
      </c>
      <c r="G21" s="98" t="str">
        <f t="shared" si="13"/>
        <v>Grisestald</v>
      </c>
      <c r="H21" s="98" t="str">
        <f t="shared" si="13"/>
        <v>Kostald</v>
      </c>
      <c r="I21" s="98" t="str">
        <f t="shared" si="13"/>
        <v>Fjerkræbrug</v>
      </c>
    </row>
    <row r="22" spans="1:9" x14ac:dyDescent="0.25">
      <c r="A22" t="s">
        <v>23</v>
      </c>
      <c r="B22">
        <f t="shared" si="11"/>
        <v>2050</v>
      </c>
      <c r="C22" s="98" t="e">
        <f>SUMIFS('Resultater - Vestdanmark'!J$3:J$474,'Resultater - Vestdanmark'!$F$3:$F$474,'CO2-udledning'!$D$2,'Resultater - Vestdanmark'!$C$3:$C$474,'CO2-udledning'!$F4)+SUMIFS('Resultater - Vestdanmark'!J$3:J$474,'Resultater - Vestdanmark'!$F$3:$F$474,$D$2,'Resultater - Vestdanmark'!$A$3:$A$474,"Grøntsager I drivhus")</f>
        <v>#REF!</v>
      </c>
      <c r="D22" s="98" t="str">
        <f t="shared" ref="D22:I22" si="14">IF(D13&lt;&gt;"",D13,"")</f>
        <v>Landbrug</v>
      </c>
      <c r="E22" s="98" t="str">
        <f t="shared" si="14"/>
        <v>Marker</v>
      </c>
      <c r="F22" s="98" t="str">
        <f t="shared" si="14"/>
        <v>JB1-10</v>
      </c>
      <c r="G22" s="98" t="str">
        <f t="shared" si="14"/>
        <v/>
      </c>
      <c r="H22" s="98" t="str">
        <f t="shared" si="14"/>
        <v/>
      </c>
      <c r="I22" s="98" t="str">
        <f t="shared" si="14"/>
        <v/>
      </c>
    </row>
    <row r="23" spans="1:9" x14ac:dyDescent="0.25">
      <c r="A23" t="s">
        <v>23</v>
      </c>
      <c r="B23">
        <f t="shared" si="11"/>
        <v>2050</v>
      </c>
      <c r="C23" s="98" t="e">
        <f>SUMIFS('Resultater - Vestdanmark'!J$3:J$474,'Resultater - Vestdanmark'!$F$3:$F$474,'CO2-udledning'!$D$2,'Resultater - Vestdanmark'!$C$3:$C$474,'CO2-udledning'!$F5)</f>
        <v>#REF!</v>
      </c>
      <c r="D23" s="98" t="str">
        <f t="shared" ref="D23:I23" si="15">IF(D14&lt;&gt;"",D14,"")</f>
        <v>Landbrug</v>
      </c>
      <c r="E23" s="98" t="str">
        <f t="shared" si="15"/>
        <v>Marker</v>
      </c>
      <c r="F23" s="98" t="str">
        <f t="shared" si="15"/>
        <v>OC6</v>
      </c>
      <c r="G23" s="98" t="str">
        <f t="shared" si="15"/>
        <v/>
      </c>
      <c r="H23" s="98" t="str">
        <f t="shared" si="15"/>
        <v/>
      </c>
      <c r="I23" s="98" t="str">
        <f t="shared" si="15"/>
        <v/>
      </c>
    </row>
    <row r="24" spans="1:9" x14ac:dyDescent="0.25">
      <c r="A24" t="s">
        <v>23</v>
      </c>
      <c r="B24">
        <f t="shared" si="11"/>
        <v>2050</v>
      </c>
      <c r="C24" s="98" t="e">
        <f>SUMIFS('Resultater - Vestdanmark'!J$3:J$474,'Resultater - Vestdanmark'!$F$3:$F$474,'CO2-udledning'!$D$2,'Resultater - Vestdanmark'!$C$3:$C$474,'CO2-udledning'!$F6)</f>
        <v>#REF!</v>
      </c>
      <c r="D24" s="98" t="str">
        <f t="shared" ref="D24:I24" si="16">IF(D15&lt;&gt;"",D15,"")</f>
        <v>Landbrug</v>
      </c>
      <c r="E24" s="98" t="str">
        <f t="shared" si="16"/>
        <v>Marker</v>
      </c>
      <c r="F24" s="98" t="str">
        <f t="shared" si="16"/>
        <v>OC12</v>
      </c>
      <c r="G24" s="98" t="str">
        <f t="shared" si="16"/>
        <v/>
      </c>
      <c r="H24" s="98" t="str">
        <f t="shared" si="16"/>
        <v/>
      </c>
      <c r="I24" s="98" t="str">
        <f t="shared" si="16"/>
        <v/>
      </c>
    </row>
    <row r="25" spans="1:9" x14ac:dyDescent="0.25">
      <c r="A25" t="s">
        <v>23</v>
      </c>
      <c r="B25">
        <f t="shared" si="11"/>
        <v>2050</v>
      </c>
      <c r="C25" s="98" t="e">
        <f>SUMIFS('Resultater - Vestdanmark'!J$3:J$474,'Resultater - Vestdanmark'!$F$3:$F$474,'CO2-udledning'!$D$2,'Resultater - Vestdanmark'!$A$3:$A$474,'CO2-udledning'!$G7)+SUMIFS('Resultater - Vestdanmark'!J$3:J$474,'Resultater - Vestdanmark'!$F$3:$F$474,'CO2-udledning'!$D$2,'Resultater - Vestdanmark'!$A$3:$A$474,'CO2-udledning'!$H7)</f>
        <v>#REF!</v>
      </c>
      <c r="D25" s="98" t="str">
        <f t="shared" ref="D25:I25" si="17">IF(D16&lt;&gt;"",D16,"")</f>
        <v>Hav</v>
      </c>
      <c r="E25" s="98" t="str">
        <f t="shared" si="17"/>
        <v>Hav</v>
      </c>
      <c r="F25" s="98" t="str">
        <f t="shared" si="17"/>
        <v/>
      </c>
      <c r="G25" s="98" t="str">
        <f t="shared" si="17"/>
        <v>Muslingefarm</v>
      </c>
      <c r="H25" s="98" t="str">
        <f t="shared" si="17"/>
        <v>Tangfarm</v>
      </c>
      <c r="I25" s="98" t="str">
        <f t="shared" si="17"/>
        <v/>
      </c>
    </row>
    <row r="26" spans="1:9" x14ac:dyDescent="0.25">
      <c r="A26" t="s">
        <v>23</v>
      </c>
      <c r="B26">
        <f t="shared" si="11"/>
        <v>2050</v>
      </c>
      <c r="C26" s="98" t="e">
        <f>SUMIFS('Resultater - Vestdanmark'!J$3:J$474,'Resultater - Vestdanmark'!$F$3:$F$474,'CO2-udledning'!$D$2,'Resultater - Vestdanmark'!$A$3:$A$474,'CO2-udledning'!$G8)</f>
        <v>#REF!</v>
      </c>
      <c r="D26" s="98" t="str">
        <f t="shared" ref="D26:I26" si="18">IF(D17&lt;&gt;"",D17,"")</f>
        <v>Skov</v>
      </c>
      <c r="E26" s="98" t="str">
        <f t="shared" si="18"/>
        <v>Skov</v>
      </c>
      <c r="F26" s="98" t="str">
        <f t="shared" si="18"/>
        <v/>
      </c>
      <c r="G26" s="98" t="str">
        <f t="shared" si="18"/>
        <v>Skovproduktion</v>
      </c>
      <c r="H26" s="98" t="str">
        <f t="shared" si="18"/>
        <v/>
      </c>
      <c r="I26" s="98" t="str">
        <f t="shared" si="18"/>
        <v/>
      </c>
    </row>
    <row r="27" spans="1:9" s="171" customFormat="1" x14ac:dyDescent="0.25">
      <c r="A27" s="171" t="s">
        <v>23</v>
      </c>
      <c r="B27" s="171">
        <f t="shared" si="11"/>
        <v>2050</v>
      </c>
      <c r="C27" s="98" t="e">
        <f>SUMIFS('Resultater - Vestdanmark'!J$3:J$474,'Resultater - Vestdanmark'!$F$3:$F$474,'CO2-udledning'!$D$2,'Resultater - Vestdanmark'!$A$3:$A$474,'CO2-udledning'!$G9)</f>
        <v>#REF!</v>
      </c>
      <c r="D27" s="98" t="str">
        <f t="shared" ref="D27:I27" si="19">IF(D18&lt;&gt;"",D18,"")</f>
        <v>Biogasanlæg</v>
      </c>
      <c r="E27" s="98" t="str">
        <f t="shared" si="19"/>
        <v>Biogasanlæg</v>
      </c>
      <c r="F27" s="98" t="str">
        <f t="shared" si="19"/>
        <v/>
      </c>
      <c r="G27" s="98" t="str">
        <f t="shared" si="19"/>
        <v>Biogasanlæg</v>
      </c>
      <c r="H27" s="98" t="str">
        <f t="shared" si="19"/>
        <v/>
      </c>
      <c r="I27" s="98" t="str">
        <f t="shared" si="19"/>
        <v/>
      </c>
    </row>
    <row r="28" spans="1:9" s="171" customFormat="1" x14ac:dyDescent="0.25">
      <c r="A28" s="171" t="s">
        <v>23</v>
      </c>
      <c r="B28" s="171">
        <f t="shared" si="11"/>
        <v>2050</v>
      </c>
      <c r="C28" s="98" t="e">
        <f>SUMIFS('Resultater - Vestdanmark'!J$3:J$474,'Resultater - Vestdanmark'!$F$3:$F$474,'CO2-udledning'!$D$2,'Resultater - Vestdanmark'!$A$3:$A$474,'CO2-udledning'!$G10)</f>
        <v>#REF!</v>
      </c>
      <c r="D28" s="98" t="str">
        <f t="shared" ref="D28:I28" si="20">IF(D19&lt;&gt;"",D19,"")</f>
        <v>Pyrolyseproces</v>
      </c>
      <c r="E28" s="98" t="str">
        <f t="shared" si="20"/>
        <v>Pyrolyseproces</v>
      </c>
      <c r="F28" s="98" t="str">
        <f t="shared" si="20"/>
        <v/>
      </c>
      <c r="G28" s="98" t="str">
        <f t="shared" si="20"/>
        <v>Pyrolyseproces</v>
      </c>
      <c r="H28" s="98" t="str">
        <f t="shared" si="20"/>
        <v/>
      </c>
      <c r="I28" s="98" t="str">
        <f t="shared" si="20"/>
        <v/>
      </c>
    </row>
    <row r="29" spans="1:9" x14ac:dyDescent="0.25">
      <c r="A29" t="s">
        <v>24</v>
      </c>
      <c r="B29" s="171">
        <f t="shared" ref="B29:B37" si="21">År1</f>
        <v>2019</v>
      </c>
      <c r="C29" s="98" t="e">
        <f>SUMIF('Resultater - Østdanmark'!$F$3:$F$487,'CO2-udledning'!$D$2,'Resultater - Østdanmark'!H$3:H$487)</f>
        <v>#REF!</v>
      </c>
      <c r="D29" s="98" t="str">
        <f t="shared" ref="D29:I29" si="22">IF(D20&lt;&gt;"",D20,"")</f>
        <v>CO2 - atmosfære</v>
      </c>
      <c r="E29" s="98" t="str">
        <f t="shared" si="22"/>
        <v>CO2 - atmosfære</v>
      </c>
      <c r="F29" s="98" t="str">
        <f t="shared" si="22"/>
        <v/>
      </c>
      <c r="G29" s="98" t="str">
        <f t="shared" si="22"/>
        <v/>
      </c>
      <c r="H29" s="98" t="str">
        <f t="shared" si="22"/>
        <v/>
      </c>
      <c r="I29" s="98" t="str">
        <f t="shared" si="22"/>
        <v/>
      </c>
    </row>
    <row r="30" spans="1:9" x14ac:dyDescent="0.25">
      <c r="A30" t="s">
        <v>24</v>
      </c>
      <c r="B30" s="171">
        <f t="shared" si="21"/>
        <v>2019</v>
      </c>
      <c r="C30" s="98" t="e">
        <f>SUMIFS('Resultater - Østdanmark'!H$3:H$474,'Resultater - Østdanmark'!$F$3:$F$474,'CO2-udledning'!$D$2,'Resultater - Østdanmark'!$A$3:$A$474,'CO2-udledning'!$G30)+SUMIFS('Resultater - Østdanmark'!H$3:H$474,'Resultater - Østdanmark'!$F$3:$F$474,'CO2-udledning'!$D$2,'Resultater - Østdanmark'!$A$3:$A$474,'CO2-udledning'!$H30)+SUMIFS('Resultater - Østdanmark'!H$3:H$474,'Resultater - Østdanmark'!$F$3:$F$474,'CO2-udledning'!$D$2,'Resultater - Østdanmark'!$A$3:$A$474,'CO2-udledning'!$I30)</f>
        <v>#REF!</v>
      </c>
      <c r="D30" s="98" t="str">
        <f t="shared" ref="D30:I30" si="23">IF(D21&lt;&gt;"",D21,"")</f>
        <v>Landbrug</v>
      </c>
      <c r="E30" s="98" t="str">
        <f t="shared" si="23"/>
        <v>Husdyr</v>
      </c>
      <c r="F30" s="98" t="str">
        <f t="shared" si="23"/>
        <v/>
      </c>
      <c r="G30" s="98" t="str">
        <f t="shared" si="23"/>
        <v>Grisestald</v>
      </c>
      <c r="H30" s="98" t="str">
        <f t="shared" si="23"/>
        <v>Kostald</v>
      </c>
      <c r="I30" s="98" t="str">
        <f t="shared" si="23"/>
        <v>Fjerkræbrug</v>
      </c>
    </row>
    <row r="31" spans="1:9" x14ac:dyDescent="0.25">
      <c r="A31" t="s">
        <v>24</v>
      </c>
      <c r="B31" s="171">
        <f t="shared" si="21"/>
        <v>2019</v>
      </c>
      <c r="C31" s="76" t="e">
        <f>SUMIFS('Resultater - Østdanmark'!H$3:H$474,'Resultater - Østdanmark'!$F$3:$F$474,'CO2-udledning'!$D$2,'Resultater - Østdanmark'!$C$3:$C$474,'CO2-udledning'!$F4)+SUMIFS('Resultater - Østdanmark'!H$3:H$474,'Resultater - Østdanmark'!$F$3:$F$474,$D$2,'Resultater - Østdanmark'!$A$3:$A$474,"Grøntsager I drivhus")</f>
        <v>#REF!</v>
      </c>
      <c r="D31" s="98" t="str">
        <f t="shared" ref="D31:I31" si="24">IF(D22&lt;&gt;"",D22,"")</f>
        <v>Landbrug</v>
      </c>
      <c r="E31" s="98" t="str">
        <f t="shared" si="24"/>
        <v>Marker</v>
      </c>
      <c r="F31" s="98" t="str">
        <f t="shared" si="24"/>
        <v>JB1-10</v>
      </c>
      <c r="G31" s="98" t="str">
        <f t="shared" si="24"/>
        <v/>
      </c>
      <c r="H31" s="98" t="str">
        <f t="shared" si="24"/>
        <v/>
      </c>
      <c r="I31" s="98" t="str">
        <f t="shared" si="24"/>
        <v/>
      </c>
    </row>
    <row r="32" spans="1:9" x14ac:dyDescent="0.25">
      <c r="A32" t="s">
        <v>24</v>
      </c>
      <c r="B32" s="171">
        <f t="shared" si="21"/>
        <v>2019</v>
      </c>
      <c r="C32" s="76" t="e">
        <f>SUMIFS('Resultater - Østdanmark'!H$3:H$474,'Resultater - Østdanmark'!$F$3:$F$474,'CO2-udledning'!$D$2,'Resultater - Østdanmark'!$C$3:$C$474,'CO2-udledning'!$F5)</f>
        <v>#REF!</v>
      </c>
      <c r="D32" s="98" t="str">
        <f t="shared" ref="D32:I32" si="25">IF(D23&lt;&gt;"",D23,"")</f>
        <v>Landbrug</v>
      </c>
      <c r="E32" s="98" t="str">
        <f t="shared" si="25"/>
        <v>Marker</v>
      </c>
      <c r="F32" s="98" t="str">
        <f t="shared" si="25"/>
        <v>OC6</v>
      </c>
      <c r="G32" s="98" t="str">
        <f t="shared" si="25"/>
        <v/>
      </c>
      <c r="H32" s="98" t="str">
        <f t="shared" si="25"/>
        <v/>
      </c>
      <c r="I32" s="98" t="str">
        <f t="shared" si="25"/>
        <v/>
      </c>
    </row>
    <row r="33" spans="1:9" x14ac:dyDescent="0.25">
      <c r="A33" t="s">
        <v>24</v>
      </c>
      <c r="B33" s="171">
        <f t="shared" si="21"/>
        <v>2019</v>
      </c>
      <c r="C33" s="76" t="e">
        <f>SUMIFS('Resultater - Østdanmark'!H$3:H$474,'Resultater - Østdanmark'!$F$3:$F$474,'CO2-udledning'!$D$2,'Resultater - Østdanmark'!$C$3:$C$474,'CO2-udledning'!$F6)</f>
        <v>#REF!</v>
      </c>
      <c r="D33" s="98" t="str">
        <f t="shared" ref="D33:I33" si="26">IF(D24&lt;&gt;"",D24,"")</f>
        <v>Landbrug</v>
      </c>
      <c r="E33" s="98" t="str">
        <f t="shared" si="26"/>
        <v>Marker</v>
      </c>
      <c r="F33" s="98" t="str">
        <f t="shared" si="26"/>
        <v>OC12</v>
      </c>
      <c r="G33" s="98" t="str">
        <f t="shared" si="26"/>
        <v/>
      </c>
      <c r="H33" s="98" t="str">
        <f t="shared" si="26"/>
        <v/>
      </c>
      <c r="I33" s="98" t="str">
        <f t="shared" si="26"/>
        <v/>
      </c>
    </row>
    <row r="34" spans="1:9" x14ac:dyDescent="0.25">
      <c r="A34" t="s">
        <v>24</v>
      </c>
      <c r="B34" s="171">
        <f t="shared" si="21"/>
        <v>2019</v>
      </c>
      <c r="C34" s="98" t="e">
        <f>SUMIFS('Resultater - Østdanmark'!H$3:H$474,'Resultater - Østdanmark'!$F$3:$F$474,'CO2-udledning'!$D$2,'Resultater - Østdanmark'!$A$3:$A$474,'CO2-udledning'!$G34)+SUMIFS('Resultater - Østdanmark'!H$3:H$474,'Resultater - Østdanmark'!$F$3:$F$474,'CO2-udledning'!$D$2,'Resultater - Østdanmark'!$A$3:$A$474,'CO2-udledning'!$H34)</f>
        <v>#REF!</v>
      </c>
      <c r="D34" s="98" t="str">
        <f t="shared" ref="D34:I34" si="27">IF(D25&lt;&gt;"",D25,"")</f>
        <v>Hav</v>
      </c>
      <c r="E34" s="98" t="str">
        <f t="shared" si="27"/>
        <v>Hav</v>
      </c>
      <c r="F34" s="98" t="str">
        <f t="shared" si="27"/>
        <v/>
      </c>
      <c r="G34" s="98" t="str">
        <f t="shared" si="27"/>
        <v>Muslingefarm</v>
      </c>
      <c r="H34" s="98" t="str">
        <f t="shared" si="27"/>
        <v>Tangfarm</v>
      </c>
      <c r="I34" s="98" t="str">
        <f t="shared" si="27"/>
        <v/>
      </c>
    </row>
    <row r="35" spans="1:9" x14ac:dyDescent="0.25">
      <c r="A35" t="s">
        <v>24</v>
      </c>
      <c r="B35" s="171">
        <f t="shared" si="21"/>
        <v>2019</v>
      </c>
      <c r="C35" s="98" t="e">
        <f>SUMIFS('Resultater - Østdanmark'!H$3:H$474,'Resultater - Østdanmark'!$F$3:$F$474,'CO2-udledning'!$D$2,'Resultater - Østdanmark'!$A$3:$A$474,'CO2-udledning'!$G35)</f>
        <v>#REF!</v>
      </c>
      <c r="D35" s="98" t="str">
        <f t="shared" ref="D35:I35" si="28">IF(D26&lt;&gt;"",D26,"")</f>
        <v>Skov</v>
      </c>
      <c r="E35" s="98" t="str">
        <f t="shared" si="28"/>
        <v>Skov</v>
      </c>
      <c r="F35" s="98" t="str">
        <f t="shared" si="28"/>
        <v/>
      </c>
      <c r="G35" s="98" t="str">
        <f t="shared" si="28"/>
        <v>Skovproduktion</v>
      </c>
      <c r="H35" s="98" t="str">
        <f t="shared" si="28"/>
        <v/>
      </c>
      <c r="I35" s="98" t="str">
        <f t="shared" si="28"/>
        <v/>
      </c>
    </row>
    <row r="36" spans="1:9" s="171" customFormat="1" x14ac:dyDescent="0.25">
      <c r="A36" s="171" t="s">
        <v>24</v>
      </c>
      <c r="B36" s="171">
        <f t="shared" si="21"/>
        <v>2019</v>
      </c>
      <c r="C36" s="98" t="e">
        <f>SUMIFS('Resultater - Østdanmark'!H$3:H$474,'Resultater - Østdanmark'!$F$3:$F$474,'CO2-udledning'!$D$2,'Resultater - Østdanmark'!$A$3:$A$474,'CO2-udledning'!$G36)</f>
        <v>#REF!</v>
      </c>
      <c r="D36" s="98" t="str">
        <f t="shared" ref="D36:I36" si="29">IF(D27&lt;&gt;"",D27,"")</f>
        <v>Biogasanlæg</v>
      </c>
      <c r="E36" s="98" t="str">
        <f t="shared" si="29"/>
        <v>Biogasanlæg</v>
      </c>
      <c r="F36" s="98" t="str">
        <f t="shared" si="29"/>
        <v/>
      </c>
      <c r="G36" s="98" t="str">
        <f t="shared" si="29"/>
        <v>Biogasanlæg</v>
      </c>
      <c r="H36" s="98" t="str">
        <f t="shared" si="29"/>
        <v/>
      </c>
      <c r="I36" s="98" t="str">
        <f t="shared" si="29"/>
        <v/>
      </c>
    </row>
    <row r="37" spans="1:9" s="171" customFormat="1" x14ac:dyDescent="0.25">
      <c r="A37" s="171" t="s">
        <v>24</v>
      </c>
      <c r="B37" s="171">
        <f t="shared" si="21"/>
        <v>2019</v>
      </c>
      <c r="C37" s="98" t="e">
        <f>SUMIFS('Resultater - Østdanmark'!H$3:H$474,'Resultater - Østdanmark'!$F$3:$F$474,'CO2-udledning'!$D$2,'Resultater - Østdanmark'!$A$3:$A$474,'CO2-udledning'!$G37)</f>
        <v>#REF!</v>
      </c>
      <c r="D37" s="98" t="str">
        <f t="shared" ref="D37:I37" si="30">IF(D28&lt;&gt;"",D28,"")</f>
        <v>Pyrolyseproces</v>
      </c>
      <c r="E37" s="98" t="str">
        <f t="shared" si="30"/>
        <v>Pyrolyseproces</v>
      </c>
      <c r="F37" s="98" t="str">
        <f t="shared" si="30"/>
        <v/>
      </c>
      <c r="G37" s="98" t="str">
        <f t="shared" si="30"/>
        <v>Pyrolyseproces</v>
      </c>
      <c r="H37" s="98" t="str">
        <f t="shared" si="30"/>
        <v/>
      </c>
      <c r="I37" s="98" t="str">
        <f t="shared" si="30"/>
        <v/>
      </c>
    </row>
    <row r="38" spans="1:9" x14ac:dyDescent="0.25">
      <c r="A38" s="171" t="s">
        <v>24</v>
      </c>
      <c r="B38" s="171">
        <f t="shared" ref="B38:B46" si="31">År2</f>
        <v>2030</v>
      </c>
      <c r="C38" s="98" t="e">
        <f>SUMIF('Resultater - Østdanmark'!$F$3:$F$487,'CO2-udledning'!$D$2,'Resultater - Østdanmark'!I$3:I$487)</f>
        <v>#REF!</v>
      </c>
      <c r="D38" s="98" t="str">
        <f t="shared" ref="D38:I38" si="32">IF(D29&lt;&gt;"",D29,"")</f>
        <v>CO2 - atmosfære</v>
      </c>
      <c r="E38" s="98" t="str">
        <f t="shared" si="32"/>
        <v>CO2 - atmosfære</v>
      </c>
      <c r="F38" s="98" t="str">
        <f t="shared" si="32"/>
        <v/>
      </c>
      <c r="G38" s="98" t="str">
        <f t="shared" si="32"/>
        <v/>
      </c>
      <c r="H38" s="98" t="str">
        <f t="shared" si="32"/>
        <v/>
      </c>
      <c r="I38" s="98" t="str">
        <f t="shared" si="32"/>
        <v/>
      </c>
    </row>
    <row r="39" spans="1:9" x14ac:dyDescent="0.25">
      <c r="A39" s="171" t="s">
        <v>24</v>
      </c>
      <c r="B39" s="171">
        <f t="shared" si="31"/>
        <v>2030</v>
      </c>
      <c r="C39" s="98" t="e">
        <f>SUMIFS('Resultater - Østdanmark'!I$3:I$474,'Resultater - Østdanmark'!$F$3:$F$474,'CO2-udledning'!$D$2,'Resultater - Østdanmark'!$A$3:$A$474,'CO2-udledning'!$G30)+SUMIFS('Resultater - Østdanmark'!I$3:I$474,'Resultater - Østdanmark'!$F$3:$F$474,'CO2-udledning'!$D$2,'Resultater - Østdanmark'!$A$3:$A$474,'CO2-udledning'!$H30)+SUMIFS('Resultater - Østdanmark'!I$3:I$474,'Resultater - Østdanmark'!$F$3:$F$474,'CO2-udledning'!$D$2,'Resultater - Østdanmark'!$A$3:$A$474,'CO2-udledning'!$I30)</f>
        <v>#REF!</v>
      </c>
      <c r="D39" s="98" t="str">
        <f t="shared" ref="D39:I39" si="33">IF(D30&lt;&gt;"",D30,"")</f>
        <v>Landbrug</v>
      </c>
      <c r="E39" s="98" t="str">
        <f t="shared" si="33"/>
        <v>Husdyr</v>
      </c>
      <c r="F39" s="98" t="str">
        <f t="shared" si="33"/>
        <v/>
      </c>
      <c r="G39" s="98" t="str">
        <f t="shared" si="33"/>
        <v>Grisestald</v>
      </c>
      <c r="H39" s="98" t="str">
        <f t="shared" si="33"/>
        <v>Kostald</v>
      </c>
      <c r="I39" s="98" t="str">
        <f t="shared" si="33"/>
        <v>Fjerkræbrug</v>
      </c>
    </row>
    <row r="40" spans="1:9" x14ac:dyDescent="0.25">
      <c r="A40" s="171" t="s">
        <v>24</v>
      </c>
      <c r="B40" s="171">
        <f t="shared" si="31"/>
        <v>2030</v>
      </c>
      <c r="C40" s="76" t="e">
        <f>SUMIFS('Resultater - Østdanmark'!I$3:I$474,'Resultater - Østdanmark'!$F$3:$F$474,'CO2-udledning'!$D$2,'Resultater - Østdanmark'!$C$3:$C$474,'CO2-udledning'!$F4)+SUMIFS('Resultater - Østdanmark'!I$3:I$474,'Resultater - Østdanmark'!$F$3:$F$474,$D$2,'Resultater - Østdanmark'!$A$3:$A$474,"Grøntsager I drivhus")</f>
        <v>#REF!</v>
      </c>
      <c r="D40" s="98" t="str">
        <f t="shared" ref="D40:I40" si="34">IF(D31&lt;&gt;"",D31,"")</f>
        <v>Landbrug</v>
      </c>
      <c r="E40" s="98" t="str">
        <f t="shared" si="34"/>
        <v>Marker</v>
      </c>
      <c r="F40" s="98" t="str">
        <f t="shared" si="34"/>
        <v>JB1-10</v>
      </c>
      <c r="G40" s="98" t="str">
        <f t="shared" si="34"/>
        <v/>
      </c>
      <c r="H40" s="98" t="str">
        <f t="shared" si="34"/>
        <v/>
      </c>
      <c r="I40" s="98" t="str">
        <f t="shared" si="34"/>
        <v/>
      </c>
    </row>
    <row r="41" spans="1:9" x14ac:dyDescent="0.25">
      <c r="A41" s="171" t="s">
        <v>24</v>
      </c>
      <c r="B41" s="171">
        <f t="shared" si="31"/>
        <v>2030</v>
      </c>
      <c r="C41" s="76" t="e">
        <f>SUMIFS('Resultater - Østdanmark'!I$3:I$474,'Resultater - Østdanmark'!$F$3:$F$474,'CO2-udledning'!$D$2,'Resultater - Østdanmark'!$C$3:$C$474,'CO2-udledning'!$F5)</f>
        <v>#REF!</v>
      </c>
      <c r="D41" s="98" t="str">
        <f t="shared" ref="D41:I41" si="35">IF(D32&lt;&gt;"",D32,"")</f>
        <v>Landbrug</v>
      </c>
      <c r="E41" s="98" t="str">
        <f t="shared" si="35"/>
        <v>Marker</v>
      </c>
      <c r="F41" s="98" t="str">
        <f t="shared" si="35"/>
        <v>OC6</v>
      </c>
      <c r="G41" s="98" t="str">
        <f t="shared" si="35"/>
        <v/>
      </c>
      <c r="H41" s="98" t="str">
        <f t="shared" si="35"/>
        <v/>
      </c>
      <c r="I41" s="98" t="str">
        <f t="shared" si="35"/>
        <v/>
      </c>
    </row>
    <row r="42" spans="1:9" x14ac:dyDescent="0.25">
      <c r="A42" s="171" t="s">
        <v>24</v>
      </c>
      <c r="B42" s="171">
        <f t="shared" si="31"/>
        <v>2030</v>
      </c>
      <c r="C42" s="76" t="e">
        <f>SUMIFS('Resultater - Østdanmark'!I$3:I$474,'Resultater - Østdanmark'!$F$3:$F$474,'CO2-udledning'!$D$2,'Resultater - Østdanmark'!$C$3:$C$474,'CO2-udledning'!$F6)</f>
        <v>#REF!</v>
      </c>
      <c r="D42" s="98" t="str">
        <f t="shared" ref="D42:I42" si="36">IF(D33&lt;&gt;"",D33,"")</f>
        <v>Landbrug</v>
      </c>
      <c r="E42" s="98" t="str">
        <f t="shared" si="36"/>
        <v>Marker</v>
      </c>
      <c r="F42" s="98" t="str">
        <f t="shared" si="36"/>
        <v>OC12</v>
      </c>
      <c r="G42" s="98" t="str">
        <f t="shared" si="36"/>
        <v/>
      </c>
      <c r="H42" s="98" t="str">
        <f t="shared" si="36"/>
        <v/>
      </c>
      <c r="I42" s="98" t="str">
        <f t="shared" si="36"/>
        <v/>
      </c>
    </row>
    <row r="43" spans="1:9" x14ac:dyDescent="0.25">
      <c r="A43" s="171" t="s">
        <v>24</v>
      </c>
      <c r="B43" s="171">
        <f t="shared" si="31"/>
        <v>2030</v>
      </c>
      <c r="C43" s="98" t="e">
        <f>SUMIFS('Resultater - Østdanmark'!I$3:I$474,'Resultater - Østdanmark'!$F$3:$F$474,'CO2-udledning'!$D$2,'Resultater - Østdanmark'!$A$3:$A$474,'CO2-udledning'!$G34)+SUMIFS('Resultater - Østdanmark'!I$3:I$474,'Resultater - Østdanmark'!$F$3:$F$474,'CO2-udledning'!$D$2,'Resultater - Østdanmark'!$A$3:$A$474,'CO2-udledning'!$H34)</f>
        <v>#REF!</v>
      </c>
      <c r="D43" s="98" t="str">
        <f t="shared" ref="D43:I43" si="37">IF(D34&lt;&gt;"",D34,"")</f>
        <v>Hav</v>
      </c>
      <c r="E43" s="98" t="str">
        <f t="shared" si="37"/>
        <v>Hav</v>
      </c>
      <c r="F43" s="98" t="str">
        <f t="shared" si="37"/>
        <v/>
      </c>
      <c r="G43" s="98" t="str">
        <f t="shared" si="37"/>
        <v>Muslingefarm</v>
      </c>
      <c r="H43" s="98" t="str">
        <f t="shared" si="37"/>
        <v>Tangfarm</v>
      </c>
      <c r="I43" s="98" t="str">
        <f t="shared" si="37"/>
        <v/>
      </c>
    </row>
    <row r="44" spans="1:9" x14ac:dyDescent="0.25">
      <c r="A44" s="171" t="s">
        <v>24</v>
      </c>
      <c r="B44" s="171">
        <f t="shared" si="31"/>
        <v>2030</v>
      </c>
      <c r="C44" s="98" t="e">
        <f>SUMIFS('Resultater - Østdanmark'!I$3:I$474,'Resultater - Østdanmark'!$F$3:$F$474,'CO2-udledning'!$D$2,'Resultater - Østdanmark'!$A$3:$A$474,'CO2-udledning'!$G35)</f>
        <v>#REF!</v>
      </c>
      <c r="D44" s="98" t="str">
        <f t="shared" ref="D44:I44" si="38">IF(D35&lt;&gt;"",D35,"")</f>
        <v>Skov</v>
      </c>
      <c r="E44" s="98" t="str">
        <f t="shared" si="38"/>
        <v>Skov</v>
      </c>
      <c r="F44" s="98" t="str">
        <f t="shared" si="38"/>
        <v/>
      </c>
      <c r="G44" s="98" t="str">
        <f t="shared" si="38"/>
        <v>Skovproduktion</v>
      </c>
      <c r="H44" s="98" t="str">
        <f t="shared" si="38"/>
        <v/>
      </c>
      <c r="I44" s="98" t="str">
        <f t="shared" si="38"/>
        <v/>
      </c>
    </row>
    <row r="45" spans="1:9" s="171" customFormat="1" x14ac:dyDescent="0.25">
      <c r="A45" s="171" t="s">
        <v>24</v>
      </c>
      <c r="B45" s="171">
        <f t="shared" si="31"/>
        <v>2030</v>
      </c>
      <c r="C45" s="98" t="e">
        <f>SUMIFS('Resultater - Østdanmark'!I$3:I$474,'Resultater - Østdanmark'!$F$3:$F$474,'CO2-udledning'!$D$2,'Resultater - Østdanmark'!$A$3:$A$474,'CO2-udledning'!$G36)</f>
        <v>#REF!</v>
      </c>
      <c r="D45" s="98" t="str">
        <f t="shared" ref="D45:I45" si="39">IF(D36&lt;&gt;"",D36,"")</f>
        <v>Biogasanlæg</v>
      </c>
      <c r="E45" s="98" t="str">
        <f t="shared" si="39"/>
        <v>Biogasanlæg</v>
      </c>
      <c r="F45" s="98" t="str">
        <f t="shared" si="39"/>
        <v/>
      </c>
      <c r="G45" s="98" t="str">
        <f t="shared" si="39"/>
        <v>Biogasanlæg</v>
      </c>
      <c r="H45" s="98" t="str">
        <f t="shared" si="39"/>
        <v/>
      </c>
      <c r="I45" s="98" t="str">
        <f t="shared" si="39"/>
        <v/>
      </c>
    </row>
    <row r="46" spans="1:9" s="171" customFormat="1" x14ac:dyDescent="0.25">
      <c r="A46" s="171" t="s">
        <v>24</v>
      </c>
      <c r="B46" s="171">
        <f t="shared" si="31"/>
        <v>2030</v>
      </c>
      <c r="C46" s="98" t="e">
        <f>SUMIFS('Resultater - Østdanmark'!I$3:I$474,'Resultater - Østdanmark'!$F$3:$F$474,'CO2-udledning'!$D$2,'Resultater - Østdanmark'!$A$3:$A$474,'CO2-udledning'!$G37)</f>
        <v>#REF!</v>
      </c>
      <c r="D46" s="98" t="str">
        <f t="shared" ref="D46:I46" si="40">IF(D37&lt;&gt;"",D37,"")</f>
        <v>Pyrolyseproces</v>
      </c>
      <c r="E46" s="98" t="str">
        <f t="shared" si="40"/>
        <v>Pyrolyseproces</v>
      </c>
      <c r="F46" s="98" t="str">
        <f t="shared" si="40"/>
        <v/>
      </c>
      <c r="G46" s="98" t="str">
        <f t="shared" si="40"/>
        <v>Pyrolyseproces</v>
      </c>
      <c r="H46" s="98" t="str">
        <f t="shared" si="40"/>
        <v/>
      </c>
      <c r="I46" s="98" t="str">
        <f t="shared" si="40"/>
        <v/>
      </c>
    </row>
    <row r="47" spans="1:9" x14ac:dyDescent="0.25">
      <c r="A47" s="171" t="s">
        <v>24</v>
      </c>
      <c r="B47" s="171">
        <f t="shared" ref="B47:B55" si="41">År3</f>
        <v>2050</v>
      </c>
      <c r="C47" s="98" t="e">
        <f>SUMIF('Resultater - Østdanmark'!$F$3:$F$487,'CO2-udledning'!$D$2,'Resultater - Østdanmark'!J$3:J$487)</f>
        <v>#REF!</v>
      </c>
      <c r="D47" s="98" t="str">
        <f t="shared" ref="D47:I47" si="42">IF(D38&lt;&gt;"",D38,"")</f>
        <v>CO2 - atmosfære</v>
      </c>
      <c r="E47" s="98" t="str">
        <f t="shared" si="42"/>
        <v>CO2 - atmosfære</v>
      </c>
      <c r="F47" s="98" t="str">
        <f t="shared" si="42"/>
        <v/>
      </c>
      <c r="G47" s="98" t="str">
        <f t="shared" si="42"/>
        <v/>
      </c>
      <c r="H47" s="98" t="str">
        <f t="shared" si="42"/>
        <v/>
      </c>
      <c r="I47" s="98" t="str">
        <f t="shared" si="42"/>
        <v/>
      </c>
    </row>
    <row r="48" spans="1:9" x14ac:dyDescent="0.25">
      <c r="A48" s="171" t="s">
        <v>24</v>
      </c>
      <c r="B48" s="171">
        <f t="shared" si="41"/>
        <v>2050</v>
      </c>
      <c r="C48" s="98" t="e">
        <f>SUMIFS('Resultater - Østdanmark'!J$3:J$474,'Resultater - Østdanmark'!$F$3:$F$474,'CO2-udledning'!$D$2,'Resultater - Østdanmark'!$A$3:$A$474,'CO2-udledning'!$G30)+SUMIFS('Resultater - Østdanmark'!J$3:J$474,'Resultater - Østdanmark'!$F$3:$F$474,'CO2-udledning'!$D$2,'Resultater - Østdanmark'!$A$3:$A$474,'CO2-udledning'!$H30)+SUMIFS('Resultater - Østdanmark'!J$3:J$474,'Resultater - Østdanmark'!$F$3:$F$474,'CO2-udledning'!$D$2,'Resultater - Østdanmark'!$A$3:$A$474,'CO2-udledning'!$I30)</f>
        <v>#REF!</v>
      </c>
      <c r="D48" s="98" t="str">
        <f t="shared" ref="D48:I48" si="43">IF(D39&lt;&gt;"",D39,"")</f>
        <v>Landbrug</v>
      </c>
      <c r="E48" s="98" t="str">
        <f t="shared" si="43"/>
        <v>Husdyr</v>
      </c>
      <c r="F48" s="98" t="str">
        <f t="shared" si="43"/>
        <v/>
      </c>
      <c r="G48" s="98" t="str">
        <f t="shared" si="43"/>
        <v>Grisestald</v>
      </c>
      <c r="H48" s="98" t="str">
        <f t="shared" si="43"/>
        <v>Kostald</v>
      </c>
      <c r="I48" s="98" t="str">
        <f t="shared" si="43"/>
        <v>Fjerkræbrug</v>
      </c>
    </row>
    <row r="49" spans="1:9" x14ac:dyDescent="0.25">
      <c r="A49" s="171" t="s">
        <v>24</v>
      </c>
      <c r="B49" s="171">
        <f t="shared" si="41"/>
        <v>2050</v>
      </c>
      <c r="C49" s="76" t="e">
        <f>SUMIFS('Resultater - Østdanmark'!J$3:J$474,'Resultater - Østdanmark'!$F$3:$F$474,'CO2-udledning'!$D$2,'Resultater - Østdanmark'!$C$3:$C$474,'CO2-udledning'!$F4)+SUMIFS('Resultater - Østdanmark'!J$3:J$474,'Resultater - Østdanmark'!$F$3:$F$474,$D$2,'Resultater - Østdanmark'!$A$3:$A$474,"Grøntsager I drivhus")</f>
        <v>#REF!</v>
      </c>
      <c r="D49" s="98" t="str">
        <f t="shared" ref="D49:I49" si="44">IF(D40&lt;&gt;"",D40,"")</f>
        <v>Landbrug</v>
      </c>
      <c r="E49" s="98" t="str">
        <f t="shared" si="44"/>
        <v>Marker</v>
      </c>
      <c r="F49" s="98" t="str">
        <f t="shared" si="44"/>
        <v>JB1-10</v>
      </c>
      <c r="G49" s="98" t="str">
        <f t="shared" si="44"/>
        <v/>
      </c>
      <c r="H49" s="98" t="str">
        <f t="shared" si="44"/>
        <v/>
      </c>
      <c r="I49" s="98" t="str">
        <f t="shared" si="44"/>
        <v/>
      </c>
    </row>
    <row r="50" spans="1:9" x14ac:dyDescent="0.25">
      <c r="A50" s="171" t="s">
        <v>24</v>
      </c>
      <c r="B50" s="171">
        <f t="shared" si="41"/>
        <v>2050</v>
      </c>
      <c r="C50" s="76" t="e">
        <f>SUMIFS('Resultater - Østdanmark'!J$3:J$474,'Resultater - Østdanmark'!$F$3:$F$474,'CO2-udledning'!$D$2,'Resultater - Østdanmark'!$C$3:$C$474,'CO2-udledning'!$F5)</f>
        <v>#REF!</v>
      </c>
      <c r="D50" s="98" t="str">
        <f t="shared" ref="D50:I50" si="45">IF(D41&lt;&gt;"",D41,"")</f>
        <v>Landbrug</v>
      </c>
      <c r="E50" s="98" t="str">
        <f t="shared" si="45"/>
        <v>Marker</v>
      </c>
      <c r="F50" s="98" t="str">
        <f t="shared" si="45"/>
        <v>OC6</v>
      </c>
      <c r="G50" s="98" t="str">
        <f t="shared" si="45"/>
        <v/>
      </c>
      <c r="H50" s="98" t="str">
        <f t="shared" si="45"/>
        <v/>
      </c>
      <c r="I50" s="98" t="str">
        <f t="shared" si="45"/>
        <v/>
      </c>
    </row>
    <row r="51" spans="1:9" x14ac:dyDescent="0.25">
      <c r="A51" s="171" t="s">
        <v>24</v>
      </c>
      <c r="B51" s="171">
        <f t="shared" si="41"/>
        <v>2050</v>
      </c>
      <c r="C51" s="76" t="e">
        <f>SUMIFS('Resultater - Østdanmark'!J$3:J$474,'Resultater - Østdanmark'!$F$3:$F$474,'CO2-udledning'!$D$2,'Resultater - Østdanmark'!$C$3:$C$474,'CO2-udledning'!$F6)</f>
        <v>#REF!</v>
      </c>
      <c r="D51" s="98" t="str">
        <f t="shared" ref="D51:I51" si="46">IF(D42&lt;&gt;"",D42,"")</f>
        <v>Landbrug</v>
      </c>
      <c r="E51" s="98" t="str">
        <f t="shared" si="46"/>
        <v>Marker</v>
      </c>
      <c r="F51" s="98" t="str">
        <f t="shared" si="46"/>
        <v>OC12</v>
      </c>
      <c r="G51" s="98" t="str">
        <f t="shared" si="46"/>
        <v/>
      </c>
      <c r="H51" s="98" t="str">
        <f t="shared" si="46"/>
        <v/>
      </c>
      <c r="I51" s="98" t="str">
        <f t="shared" si="46"/>
        <v/>
      </c>
    </row>
    <row r="52" spans="1:9" x14ac:dyDescent="0.25">
      <c r="A52" s="171" t="s">
        <v>24</v>
      </c>
      <c r="B52" s="171">
        <f t="shared" si="41"/>
        <v>2050</v>
      </c>
      <c r="C52" s="98" t="e">
        <f>SUMIFS('Resultater - Østdanmark'!J$3:J$474,'Resultater - Østdanmark'!$F$3:$F$474,'CO2-udledning'!$D$2,'Resultater - Østdanmark'!$A$3:$A$474,'CO2-udledning'!$G34)+SUMIFS('Resultater - Østdanmark'!J$3:J$474,'Resultater - Østdanmark'!$F$3:$F$474,'CO2-udledning'!$D$2,'Resultater - Østdanmark'!$A$3:$A$474,'CO2-udledning'!$H34)</f>
        <v>#REF!</v>
      </c>
      <c r="D52" s="98" t="str">
        <f t="shared" ref="D52:I52" si="47">IF(D43&lt;&gt;"",D43,"")</f>
        <v>Hav</v>
      </c>
      <c r="E52" s="98" t="str">
        <f t="shared" si="47"/>
        <v>Hav</v>
      </c>
      <c r="F52" s="98" t="str">
        <f t="shared" si="47"/>
        <v/>
      </c>
      <c r="G52" s="98" t="str">
        <f t="shared" si="47"/>
        <v>Muslingefarm</v>
      </c>
      <c r="H52" s="98" t="str">
        <f t="shared" si="47"/>
        <v>Tangfarm</v>
      </c>
      <c r="I52" s="98" t="str">
        <f t="shared" si="47"/>
        <v/>
      </c>
    </row>
    <row r="53" spans="1:9" x14ac:dyDescent="0.25">
      <c r="A53" s="171" t="s">
        <v>24</v>
      </c>
      <c r="B53" s="171">
        <f t="shared" si="41"/>
        <v>2050</v>
      </c>
      <c r="C53" s="98" t="e">
        <f>SUMIFS('Resultater - Østdanmark'!J$3:J$474,'Resultater - Østdanmark'!$F$3:$F$474,'CO2-udledning'!$D$2,'Resultater - Østdanmark'!$A$3:$A$474,'CO2-udledning'!$G35)</f>
        <v>#REF!</v>
      </c>
      <c r="D53" s="98" t="str">
        <f t="shared" ref="D53:I53" si="48">IF(D44&lt;&gt;"",D44,"")</f>
        <v>Skov</v>
      </c>
      <c r="E53" s="98" t="str">
        <f t="shared" si="48"/>
        <v>Skov</v>
      </c>
      <c r="F53" s="98" t="str">
        <f t="shared" si="48"/>
        <v/>
      </c>
      <c r="G53" s="98" t="str">
        <f t="shared" si="48"/>
        <v>Skovproduktion</v>
      </c>
      <c r="H53" s="98" t="str">
        <f t="shared" si="48"/>
        <v/>
      </c>
      <c r="I53" s="98" t="str">
        <f t="shared" si="48"/>
        <v/>
      </c>
    </row>
    <row r="54" spans="1:9" s="171" customFormat="1" x14ac:dyDescent="0.25">
      <c r="A54" s="171" t="s">
        <v>24</v>
      </c>
      <c r="B54" s="171">
        <f t="shared" si="41"/>
        <v>2050</v>
      </c>
      <c r="C54" s="98" t="e">
        <f>SUMIFS('Resultater - Østdanmark'!J$3:J$474,'Resultater - Østdanmark'!$F$3:$F$474,'CO2-udledning'!$D$2,'Resultater - Østdanmark'!$A$3:$A$474,'CO2-udledning'!$G36)</f>
        <v>#REF!</v>
      </c>
      <c r="D54" s="98" t="str">
        <f t="shared" ref="D54:I54" si="49">IF(D45&lt;&gt;"",D45,"")</f>
        <v>Biogasanlæg</v>
      </c>
      <c r="E54" s="98" t="str">
        <f t="shared" si="49"/>
        <v>Biogasanlæg</v>
      </c>
      <c r="F54" s="98" t="str">
        <f t="shared" si="49"/>
        <v/>
      </c>
      <c r="G54" s="98" t="str">
        <f t="shared" si="49"/>
        <v>Biogasanlæg</v>
      </c>
      <c r="H54" s="98" t="str">
        <f t="shared" si="49"/>
        <v/>
      </c>
      <c r="I54" s="98" t="str">
        <f t="shared" si="49"/>
        <v/>
      </c>
    </row>
    <row r="55" spans="1:9" x14ac:dyDescent="0.25">
      <c r="A55" s="171" t="s">
        <v>24</v>
      </c>
      <c r="B55" s="171">
        <f t="shared" si="41"/>
        <v>2050</v>
      </c>
      <c r="C55" s="98" t="e">
        <f>SUMIFS('Resultater - Østdanmark'!J$3:J$474,'Resultater - Østdanmark'!$F$3:$F$474,'CO2-udledning'!$D$2,'Resultater - Østdanmark'!$A$3:$A$474,'CO2-udledning'!$G37)</f>
        <v>#REF!</v>
      </c>
      <c r="D55" s="98" t="str">
        <f t="shared" ref="D55:I55" si="50">IF(D46&lt;&gt;"",D46,"")</f>
        <v>Pyrolyseproces</v>
      </c>
      <c r="E55" s="98" t="str">
        <f t="shared" si="50"/>
        <v>Pyrolyseproces</v>
      </c>
      <c r="F55" s="98" t="str">
        <f t="shared" si="50"/>
        <v/>
      </c>
      <c r="G55" s="98" t="str">
        <f t="shared" si="50"/>
        <v>Pyrolyseproces</v>
      </c>
      <c r="H55" s="98" t="str">
        <f t="shared" si="50"/>
        <v/>
      </c>
      <c r="I55" s="98" t="str">
        <f t="shared" si="50"/>
        <v/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3" width="9.140625" bestFit="1" customWidth="1"/>
    <col min="14" max="14" width="10.140625" bestFit="1" customWidth="1"/>
    <col min="15" max="15" width="11.28515625" bestFit="1" customWidth="1"/>
  </cols>
  <sheetData>
    <row r="1" spans="1:15" x14ac:dyDescent="0.25">
      <c r="A1" s="77" t="s">
        <v>64</v>
      </c>
      <c r="B1" s="171" t="s">
        <v>81</v>
      </c>
    </row>
    <row r="3" spans="1:15" x14ac:dyDescent="0.25">
      <c r="A3" s="77" t="s">
        <v>127</v>
      </c>
      <c r="B3" s="77" t="s">
        <v>62</v>
      </c>
    </row>
    <row r="4" spans="1:15" x14ac:dyDescent="0.25">
      <c r="A4" s="77" t="s">
        <v>60</v>
      </c>
      <c r="B4" s="171" t="s">
        <v>49</v>
      </c>
      <c r="C4" s="171" t="s">
        <v>114</v>
      </c>
      <c r="D4" s="171" t="s">
        <v>54</v>
      </c>
      <c r="E4" s="171" t="s">
        <v>51</v>
      </c>
      <c r="F4" s="171" t="s">
        <v>6</v>
      </c>
      <c r="G4" s="171" t="s">
        <v>56</v>
      </c>
      <c r="H4" s="171" t="s">
        <v>12</v>
      </c>
      <c r="I4" s="171" t="s">
        <v>48</v>
      </c>
      <c r="J4" s="171" t="s">
        <v>53</v>
      </c>
      <c r="K4" s="171" t="s">
        <v>55</v>
      </c>
      <c r="L4" s="171" t="s">
        <v>96</v>
      </c>
      <c r="M4" s="171" t="s">
        <v>50</v>
      </c>
      <c r="N4" s="171" t="s">
        <v>52</v>
      </c>
      <c r="O4" s="171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290890.985086801</v>
      </c>
      <c r="C6" s="98">
        <v>1462811.7838699373</v>
      </c>
      <c r="D6" s="98">
        <v>41859.546279410672</v>
      </c>
      <c r="E6" s="98">
        <v>36323938.809274264</v>
      </c>
      <c r="F6" s="98">
        <v>284025.61835988262</v>
      </c>
      <c r="G6" s="98">
        <v>925011.48221335816</v>
      </c>
      <c r="H6" s="98">
        <v>2294255.2711495673</v>
      </c>
      <c r="I6" s="98">
        <v>6989859.2435773909</v>
      </c>
      <c r="J6" s="98">
        <v>7633952.6959113814</v>
      </c>
      <c r="K6" s="98">
        <v>1327226.7147852567</v>
      </c>
      <c r="L6" s="98">
        <v>196559.60980685451</v>
      </c>
      <c r="M6" s="98">
        <v>482021.37815281149</v>
      </c>
      <c r="N6" s="98">
        <v>6431901.2155842176</v>
      </c>
      <c r="O6" s="98">
        <v>64684314.354051135</v>
      </c>
    </row>
    <row r="7" spans="1:15" x14ac:dyDescent="0.25">
      <c r="A7" s="78">
        <v>2050</v>
      </c>
      <c r="B7" s="98">
        <v>298525.56791561138</v>
      </c>
      <c r="C7" s="98">
        <v>1502781.1107008122</v>
      </c>
      <c r="D7" s="98">
        <v>42956.187062954959</v>
      </c>
      <c r="E7" s="98">
        <v>37736958.706897601</v>
      </c>
      <c r="F7" s="98">
        <v>289344.48560341762</v>
      </c>
      <c r="G7" s="98">
        <v>949345.99548394862</v>
      </c>
      <c r="H7" s="98">
        <v>2355323.2838141397</v>
      </c>
      <c r="I7" s="98">
        <v>7206505.523105517</v>
      </c>
      <c r="J7" s="98">
        <v>7925117.269571091</v>
      </c>
      <c r="K7" s="98">
        <v>1362725.53997907</v>
      </c>
      <c r="L7" s="98">
        <v>202349.63153877269</v>
      </c>
      <c r="M7" s="98">
        <v>494167.70841044851</v>
      </c>
      <c r="N7" s="98">
        <v>6595761.847970549</v>
      </c>
      <c r="O7" s="98">
        <v>66961862.858053923</v>
      </c>
    </row>
    <row r="8" spans="1:15" x14ac:dyDescent="0.25">
      <c r="A8" s="78" t="s">
        <v>61</v>
      </c>
      <c r="B8" s="98">
        <v>874542.6549870912</v>
      </c>
      <c r="C8" s="98">
        <v>4468150.9301789645</v>
      </c>
      <c r="D8" s="98">
        <v>126543.62323513717</v>
      </c>
      <c r="E8" s="98">
        <v>92004336.211742043</v>
      </c>
      <c r="F8" s="98">
        <v>853979.5254162451</v>
      </c>
      <c r="G8" s="98">
        <v>2785932.1201823736</v>
      </c>
      <c r="H8" s="98">
        <v>6911897.3955972735</v>
      </c>
      <c r="I8" s="98">
        <v>23306152.736127324</v>
      </c>
      <c r="J8" s="98">
        <v>23506765.259329215</v>
      </c>
      <c r="K8" s="98">
        <v>4695054.426165103</v>
      </c>
      <c r="L8" s="98">
        <v>608691.6287406272</v>
      </c>
      <c r="M8" s="98">
        <v>1654596.9038416902</v>
      </c>
      <c r="N8" s="98">
        <v>15657086.199541338</v>
      </c>
      <c r="O8" s="98">
        <v>177453729.61508441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126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9" t="e">
        <f>IF(B2="Vestdanmark",SUMIFS(IF(C2=År1,'Resultater - Vestdanmark'!$H$3:$H$480,IF(C2=År2,'Resultater - Vestdanmark'!$I$3:$I$480,'Resultater - Vestdanmark'!$J$3:$J$480)),'Resultater - Vestdanmark'!$F$3:$F$480,A2),SUMIFS(IF(C2=År1,'Resultater - Østdanmark'!$H$3:$H$480,IF(C2=År2,'Resultater - Østdanmark'!$I$3:$I$480,'Resultater - Østdanmark'!$J$3:$J$480)),'Resultater - Østdanmark'!$F$3:$F$480,A2))</f>
        <v>#REF!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9" t="e">
        <f>IF(B3="Vestdanmark",SUMIFS(IF(C3=År1,'Resultater - Vestdanmark'!$H$3:$H$480,IF(C3=År2,'Resultater - Vestdanmark'!$I$3:$I$480,'Resultater - Vestdanmark'!$J$3:$J$480)),'Resultater - Vestdanmark'!$F$3:$F$480,A3),SUMIFS(IF(C3=År1,'Resultater - Østdanmark'!$H$3:$H$480,IF(C3=År2,'Resultater - Østdanmark'!$I$3:$I$480,'Resultater - Østdanmark'!$J$3:$J$480)),'Resultater - Østdanmark'!$F$3:$F$480,A3))</f>
        <v>#REF!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9" t="e">
        <f>IF(B4="Vestdanmark",SUMIFS(IF(C4=År1,'Resultater - Vestdanmark'!$H$3:$H$480,IF(C4=År2,'Resultater - Vestdanmark'!$I$3:$I$480,'Resultater - Vestdanmark'!$J$3:$J$480)),'Resultater - Vestdanmark'!$F$3:$F$480,A4),SUMIFS(IF(C4=År1,'Resultater - Østdanmark'!$H$3:$H$480,IF(C4=År2,'Resultater - Østdanmark'!$I$3:$I$480,'Resultater - Østdanmark'!$J$3:$J$480)),'Resultater - Østdanmark'!$F$3:$F$480,A4))</f>
        <v>#REF!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9" t="e">
        <f>IF(B5="Vestdanmark",SUMIFS(IF(C5=År1,'Resultater - Vestdanmark'!$H$3:$H$480,IF(C5=År2,'Resultater - Vestdanmark'!$I$3:$I$480,'Resultater - Vestdanmark'!$J$3:$J$480)),'Resultater - Vestdanmark'!$F$3:$F$480,A5),SUMIFS(IF(C5=År1,'Resultater - Østdanmark'!$H$3:$H$480,IF(C5=År2,'Resultater - Østdanmark'!$I$3:$I$480,'Resultater - Østdanmark'!$J$3:$J$480)),'Resultater - Østdanmark'!$F$3:$F$480,A5))</f>
        <v>#REF!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9" t="e">
        <f>IF(B6="Vestdanmark",SUMIFS(IF(C6=År1,'Resultater - Vestdanmark'!$H$3:$H$480,IF(C6=År2,'Resultater - Vestdanmark'!$I$3:$I$480,'Resultater - Vestdanmark'!$J$3:$J$480)),'Resultater - Vestdanmark'!$F$3:$F$480,A6),SUMIFS(IF(C6=År1,'Resultater - Østdanmark'!$H$3:$H$480,IF(C6=År2,'Resultater - Østdanmark'!$I$3:$I$480,'Resultater - Østdanmark'!$J$3:$J$480)),'Resultater - Østdanmark'!$F$3:$F$480,A6))</f>
        <v>#REF!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9" t="e">
        <f>IF(B7="Vestdanmark",SUMIFS(IF(C7=År1,'Resultater - Vestdanmark'!$H$3:$H$480,IF(C7=År2,'Resultater - Vestdanmark'!$I$3:$I$480,'Resultater - Vestdanmark'!$J$3:$J$480)),'Resultater - Vestdanmark'!$F$3:$F$480,A7),SUMIFS(IF(C7=År1,'Resultater - Østdanmark'!$H$3:$H$480,IF(C7=År2,'Resultater - Østdanmark'!$I$3:$I$480,'Resultater - Østdanmark'!$J$3:$J$480)),'Resultater - Østdanmark'!$F$3:$F$480,A7))</f>
        <v>#REF!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9" t="e">
        <f>IF(B8="Vestdanmark",SUMIFS(IF(C8=År1,'Resultater - Vestdanmark'!$H$3:$H$480,IF(C8=År2,'Resultater - Vestdanmark'!$I$3:$I$480,'Resultater - Vestdanmark'!$J$3:$J$480)),'Resultater - Vestdanmark'!$F$3:$F$480,A8),SUMIFS(IF(C8=År1,'Resultater - Østdanmark'!$H$3:$H$480,IF(C8=År2,'Resultater - Østdanmark'!$I$3:$I$480,'Resultater - Østdanmark'!$J$3:$J$480)),'Resultater - Østdanmark'!$F$3:$F$480,A8))</f>
        <v>#REF!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9" t="e">
        <f>IF(B9="Vestdanmark",SUMIFS(IF(C9=År1,'Resultater - Vestdanmark'!$H$3:$H$480,IF(C9=År2,'Resultater - Vestdanmark'!$I$3:$I$480,'Resultater - Vestdanmark'!$J$3:$J$480)),'Resultater - Vestdanmark'!$F$3:$F$480,A9),SUMIFS(IF(C9=År1,'Resultater - Østdanmark'!$H$3:$H$480,IF(C9=År2,'Resultater - Østdanmark'!$I$3:$I$480,'Resultater - Østdanmark'!$J$3:$J$480)),'Resultater - Østdanmark'!$F$3:$F$480,A9))</f>
        <v>#REF!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9" t="e">
        <f>IF(B10="Vestdanmark",SUMIFS(IF(C10=År1,'Resultater - Vestdanmark'!$H$3:$H$480,IF(C10=År2,'Resultater - Vestdanmark'!$I$3:$I$480,'Resultater - Vestdanmark'!$J$3:$J$480)),'Resultater - Vestdanmark'!$F$3:$F$480,A10),SUMIFS(IF(C10=År1,'Resultater - Østdanmark'!$H$3:$H$480,IF(C10=År2,'Resultater - Østdanmark'!$I$3:$I$480,'Resultater - Østdanmark'!$J$3:$J$480)),'Resultater - Østdanmark'!$F$3:$F$480,A10))</f>
        <v>#REF!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9" t="e">
        <f>IF(B11="Vestdanmark",SUMIFS(IF(C11=År1,'Resultater - Vestdanmark'!$H$3:$H$480,IF(C11=År2,'Resultater - Vestdanmark'!$I$3:$I$480,'Resultater - Vestdanmark'!$J$3:$J$480)),'Resultater - Vestdanmark'!$F$3:$F$480,A11),SUMIFS(IF(C11=År1,'Resultater - Østdanmark'!$H$3:$H$480,IF(C11=År2,'Resultater - Østdanmark'!$I$3:$I$480,'Resultater - Østdanmark'!$J$3:$J$480)),'Resultater - Østdanmark'!$F$3:$F$480,A11))</f>
        <v>#REF!</v>
      </c>
    </row>
    <row r="12" spans="1:4" x14ac:dyDescent="0.25">
      <c r="A12" t="s">
        <v>114</v>
      </c>
      <c r="B12" t="s">
        <v>23</v>
      </c>
      <c r="C12">
        <f t="shared" si="0"/>
        <v>2019</v>
      </c>
      <c r="D12" s="239" t="e">
        <f>IF(B12="Vestdanmark",SUMIFS(IF(C12=År1,'Resultater - Vestdanmark'!$H$3:$H$480,IF(C12=År2,'Resultater - Vestdanmark'!$I$3:$I$480,'Resultater - Vestdanmark'!$J$3:$J$480)),'Resultater - Vestdanmark'!$F$3:$F$480,A12),SUMIFS(IF(C12=År1,'Resultater - Østdanmark'!$H$3:$H$480,IF(C12=År2,'Resultater - Østdanmark'!$I$3:$I$480,'Resultater - Østdanmark'!$J$3:$J$480)),'Resultater - Østdanmark'!$F$3:$F$480,A12))</f>
        <v>#REF!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9" t="e">
        <f>IF(B13="Vestdanmark",SUMIFS(IF(C13=År1,'Resultater - Vestdanmark'!$H$3:$H$480,IF(C13=År2,'Resultater - Vestdanmark'!$I$3:$I$480,'Resultater - Vestdanmark'!$J$3:$J$480)),'Resultater - Vestdanmark'!$F$3:$F$480,A13),SUMIFS(IF(C13=År1,'Resultater - Østdanmark'!$H$3:$H$480,IF(C13=År2,'Resultater - Østdanmark'!$I$3:$I$480,'Resultater - Østdanmark'!$J$3:$J$480)),'Resultater - Østdanmark'!$F$3:$F$480,A13))</f>
        <v>#REF!</v>
      </c>
    </row>
    <row r="14" spans="1:4" x14ac:dyDescent="0.25">
      <c r="A14" t="s">
        <v>96</v>
      </c>
      <c r="B14" t="s">
        <v>23</v>
      </c>
      <c r="C14">
        <f t="shared" si="0"/>
        <v>2019</v>
      </c>
      <c r="D14" s="239" t="e">
        <f>IF(B14="Vestdanmark",SUMIFS(IF(C14=År1,'Resultater - Vestdanmark'!$H$3:$H$480,IF(C14=År2,'Resultater - Vestdanmark'!$I$3:$I$480,'Resultater - Vestdanmark'!$J$3:$J$480)),'Resultater - Vestdanmark'!$F$3:$F$480,A14),SUMIFS(IF(C14=År1,'Resultater - Østdanmark'!$H$3:$H$480,IF(C14=År2,'Resultater - Østdanmark'!$I$3:$I$480,'Resultater - Østdanmark'!$J$3:$J$480)),'Resultater - Østdanmark'!$F$3:$F$480,A14))</f>
        <v>#REF!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9" t="e">
        <f>IF(B15="Vestdanmark",SUMIFS(IF(C15=År1,'Resultater - Vestdanmark'!$H$3:$H$480,IF(C15=År2,'Resultater - Vestdanmark'!$I$3:$I$480,'Resultater - Vestdanmark'!$J$3:$J$480)),'Resultater - Vestdanmark'!$F$3:$F$480,A15),SUMIFS(IF(C15=År1,'Resultater - Østdanmark'!$H$3:$H$480,IF(C15=År2,'Resultater - Østdanmark'!$I$3:$I$480,'Resultater - Østdanmark'!$J$3:$J$480)),'Resultater - Østdanmark'!$F$3:$F$480,A15))</f>
        <v>#REF!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9" t="e">
        <f>IF(B16="Vestdanmark",SUMIFS(IF(C16=År1,'Resultater - Vestdanmark'!$H$3:$H$480,IF(C16=År2,'Resultater - Vestdanmark'!$I$3:$I$480,'Resultater - Vestdanmark'!$J$3:$J$480)),'Resultater - Vestdanmark'!$F$3:$F$480,A16),SUMIFS(IF(C16=År1,'Resultater - Østdanmark'!$H$3:$H$480,IF(C16=År2,'Resultater - Østdanmark'!$I$3:$I$480,'Resultater - Østdanmark'!$J$3:$J$480)),'Resultater - Østdanmark'!$F$3:$F$480,A16))</f>
        <v>#REF!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9" t="e">
        <f>IF(B17="Vestdanmark",SUMIFS(IF(C17=År1,'Resultater - Vestdanmark'!$H$3:$H$480,IF(C17=År2,'Resultater - Vestdanmark'!$I$3:$I$480,'Resultater - Vestdanmark'!$J$3:$J$480)),'Resultater - Vestdanmark'!$F$3:$F$480,A17),SUMIFS(IF(C17=År1,'Resultater - Østdanmark'!$H$3:$H$480,IF(C17=År2,'Resultater - Østdanmark'!$I$3:$I$480,'Resultater - Østdanmark'!$J$3:$J$480)),'Resultater - Østdanmark'!$F$3:$F$480,A17))</f>
        <v>#REF!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9" t="e">
        <f>IF(B18="Vestdanmark",SUMIFS(IF(C18=År1,'Resultater - Vestdanmark'!$H$3:$H$480,IF(C18=År2,'Resultater - Vestdanmark'!$I$3:$I$480,'Resultater - Vestdanmark'!$J$3:$J$480)),'Resultater - Vestdanmark'!$F$3:$F$480,A18),SUMIFS(IF(C18=År1,'Resultater - Østdanmark'!$H$3:$H$480,IF(C18=År2,'Resultater - Østdanmark'!$I$3:$I$480,'Resultater - Østdanmark'!$J$3:$J$480)),'Resultater - Østdanmark'!$F$3:$F$480,A18))</f>
        <v>#REF!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9" t="e">
        <f>IF(B19="Vestdanmark",SUMIFS(IF(C19=År1,'Resultater - Vestdanmark'!$H$3:$H$480,IF(C19=År2,'Resultater - Vestdanmark'!$I$3:$I$480,'Resultater - Vestdanmark'!$J$3:$J$480)),'Resultater - Vestdanmark'!$F$3:$F$480,A19),SUMIFS(IF(C19=År1,'Resultater - Østdanmark'!$H$3:$H$480,IF(C19=År2,'Resultater - Østdanmark'!$I$3:$I$480,'Resultater - Østdanmark'!$J$3:$J$480)),'Resultater - Østdanmark'!$F$3:$F$480,A19))</f>
        <v>#REF!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9" t="e">
        <f>IF(B20="Vestdanmark",SUMIFS(IF(C20=År1,'Resultater - Vestdanmark'!$H$3:$H$480,IF(C20=År2,'Resultater - Vestdanmark'!$I$3:$I$480,'Resultater - Vestdanmark'!$J$3:$J$480)),'Resultater - Vestdanmark'!$F$3:$F$480,A20),SUMIFS(IF(C20=År1,'Resultater - Østdanmark'!$H$3:$H$480,IF(C20=År2,'Resultater - Østdanmark'!$I$3:$I$480,'Resultater - Østdanmark'!$J$3:$J$480)),'Resultater - Østdanmark'!$F$3:$F$480,A20))</f>
        <v>#REF!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9" t="e">
        <f>IF(B21="Vestdanmark",SUMIFS(IF(C21=År1,'Resultater - Vestdanmark'!$H$3:$H$480,IF(C21=År2,'Resultater - Vestdanmark'!$I$3:$I$480,'Resultater - Vestdanmark'!$J$3:$J$480)),'Resultater - Vestdanmark'!$F$3:$F$480,A21),SUMIFS(IF(C21=År1,'Resultater - Østdanmark'!$H$3:$H$480,IF(C21=År2,'Resultater - Østdanmark'!$I$3:$I$480,'Resultater - Østdanmark'!$J$3:$J$480)),'Resultater - Østdanmark'!$F$3:$F$480,A21))</f>
        <v>#REF!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9" t="e">
        <f>IF(B22="Vestdanmark",SUMIFS(IF(C22=År1,'Resultater - Vestdanmark'!$H$3:$H$480,IF(C22=År2,'Resultater - Vestdanmark'!$I$3:$I$480,'Resultater - Vestdanmark'!$J$3:$J$480)),'Resultater - Vestdanmark'!$F$3:$F$480,A22),SUMIFS(IF(C22=År1,'Resultater - Østdanmark'!$H$3:$H$480,IF(C22=År2,'Resultater - Østdanmark'!$I$3:$I$480,'Resultater - Østdanmark'!$J$3:$J$480)),'Resultater - Østdanmark'!$F$3:$F$480,A22))</f>
        <v>#REF!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9" t="e">
        <f>IF(B23="Vestdanmark",SUMIFS(IF(C23=År1,'Resultater - Vestdanmark'!$H$3:$H$480,IF(C23=År2,'Resultater - Vestdanmark'!$I$3:$I$480,'Resultater - Vestdanmark'!$J$3:$J$480)),'Resultater - Vestdanmark'!$F$3:$F$480,A23),SUMIFS(IF(C23=År1,'Resultater - Østdanmark'!$H$3:$H$480,IF(C23=År2,'Resultater - Østdanmark'!$I$3:$I$480,'Resultater - Østdanmark'!$J$3:$J$480)),'Resultater - Østdanmark'!$F$3:$F$480,A23))</f>
        <v>#REF!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9" t="e">
        <f>IF(B24="Vestdanmark",SUMIFS(IF(C24=År1,'Resultater - Vestdanmark'!$H$3:$H$480,IF(C24=År2,'Resultater - Vestdanmark'!$I$3:$I$480,'Resultater - Vestdanmark'!$J$3:$J$480)),'Resultater - Vestdanmark'!$F$3:$F$480,A24),SUMIFS(IF(C24=År1,'Resultater - Østdanmark'!$H$3:$H$480,IF(C24=År2,'Resultater - Østdanmark'!$I$3:$I$480,'Resultater - Østdanmark'!$J$3:$J$480)),'Resultater - Østdanmark'!$F$3:$F$480,A24))</f>
        <v>#REF!</v>
      </c>
    </row>
    <row r="25" spans="1:4" x14ac:dyDescent="0.25">
      <c r="A25" t="s">
        <v>114</v>
      </c>
      <c r="B25" t="s">
        <v>23</v>
      </c>
      <c r="C25">
        <f t="shared" si="1"/>
        <v>2030</v>
      </c>
      <c r="D25" s="239" t="e">
        <f>IF(B25="Vestdanmark",SUMIFS(IF(C25=År1,'Resultater - Vestdanmark'!$H$3:$H$480,IF(C25=År2,'Resultater - Vestdanmark'!$I$3:$I$480,'Resultater - Vestdanmark'!$J$3:$J$480)),'Resultater - Vestdanmark'!$F$3:$F$480,A25),SUMIFS(IF(C25=År1,'Resultater - Østdanmark'!$H$3:$H$480,IF(C25=År2,'Resultater - Østdanmark'!$I$3:$I$480,'Resultater - Østdanmark'!$J$3:$J$480)),'Resultater - Østdanmark'!$F$3:$F$480,A25))</f>
        <v>#REF!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9" t="e">
        <f>IF(B26="Vestdanmark",SUMIFS(IF(C26=År1,'Resultater - Vestdanmark'!$H$3:$H$480,IF(C26=År2,'Resultater - Vestdanmark'!$I$3:$I$480,'Resultater - Vestdanmark'!$J$3:$J$480)),'Resultater - Vestdanmark'!$F$3:$F$480,A26),SUMIFS(IF(C26=År1,'Resultater - Østdanmark'!$H$3:$H$480,IF(C26=År2,'Resultater - Østdanmark'!$I$3:$I$480,'Resultater - Østdanmark'!$J$3:$J$480)),'Resultater - Østdanmark'!$F$3:$F$480,A26))</f>
        <v>#REF!</v>
      </c>
    </row>
    <row r="27" spans="1:4" x14ac:dyDescent="0.25">
      <c r="A27" t="s">
        <v>96</v>
      </c>
      <c r="B27" t="s">
        <v>23</v>
      </c>
      <c r="C27">
        <f t="shared" si="1"/>
        <v>2030</v>
      </c>
      <c r="D27" s="239" t="e">
        <f>IF(B27="Vestdanmark",SUMIFS(IF(C27=År1,'Resultater - Vestdanmark'!$H$3:$H$480,IF(C27=År2,'Resultater - Vestdanmark'!$I$3:$I$480,'Resultater - Vestdanmark'!$J$3:$J$480)),'Resultater - Vestdanmark'!$F$3:$F$480,A27),SUMIFS(IF(C27=År1,'Resultater - Østdanmark'!$H$3:$H$480,IF(C27=År2,'Resultater - Østdanmark'!$I$3:$I$480,'Resultater - Østdanmark'!$J$3:$J$480)),'Resultater - Østdanmark'!$F$3:$F$480,A27))</f>
        <v>#REF!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9" t="e">
        <f>IF(B28="Vestdanmark",SUMIFS(IF(C28=År1,'Resultater - Vestdanmark'!$H$3:$H$480,IF(C28=År2,'Resultater - Vestdanmark'!$I$3:$I$480,'Resultater - Vestdanmark'!$J$3:$J$480)),'Resultater - Vestdanmark'!$F$3:$F$480,A28),SUMIFS(IF(C28=År1,'Resultater - Østdanmark'!$H$3:$H$480,IF(C28=År2,'Resultater - Østdanmark'!$I$3:$I$480,'Resultater - Østdanmark'!$J$3:$J$480)),'Resultater - Østdanmark'!$F$3:$F$480,A28))</f>
        <v>#REF!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9" t="e">
        <f>IF(B29="Vestdanmark",SUMIFS(IF(C29=År1,'Resultater - Vestdanmark'!$H$3:$H$480,IF(C29=År2,'Resultater - Vestdanmark'!$I$3:$I$480,'Resultater - Vestdanmark'!$J$3:$J$480)),'Resultater - Vestdanmark'!$F$3:$F$480,A29),SUMIFS(IF(C29=År1,'Resultater - Østdanmark'!$H$3:$H$480,IF(C29=År2,'Resultater - Østdanmark'!$I$3:$I$480,'Resultater - Østdanmark'!$J$3:$J$480)),'Resultater - Østdanmark'!$F$3:$F$480,A29))</f>
        <v>#REF!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9" t="e">
        <f>IF(B30="Vestdanmark",SUMIFS(IF(C30=År1,'Resultater - Vestdanmark'!$H$3:$H$480,IF(C30=År2,'Resultater - Vestdanmark'!$I$3:$I$480,'Resultater - Vestdanmark'!$J$3:$J$480)),'Resultater - Vestdanmark'!$F$3:$F$480,A30),SUMIFS(IF(C30=År1,'Resultater - Østdanmark'!$H$3:$H$480,IF(C30=År2,'Resultater - Østdanmark'!$I$3:$I$480,'Resultater - Østdanmark'!$J$3:$J$480)),'Resultater - Østdanmark'!$F$3:$F$480,A30))</f>
        <v>#REF!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9" t="e">
        <f>IF(B31="Vestdanmark",SUMIFS(IF(C31=År1,'Resultater - Vestdanmark'!$H$3:$H$480,IF(C31=År2,'Resultater - Vestdanmark'!$I$3:$I$480,'Resultater - Vestdanmark'!$J$3:$J$480)),'Resultater - Vestdanmark'!$F$3:$F$480,A31),SUMIFS(IF(C31=År1,'Resultater - Østdanmark'!$H$3:$H$480,IF(C31=År2,'Resultater - Østdanmark'!$I$3:$I$480,'Resultater - Østdanmark'!$J$3:$J$480)),'Resultater - Østdanmark'!$F$3:$F$480,A31))</f>
        <v>#REF!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9" t="e">
        <f>IF(B32="Vestdanmark",SUMIFS(IF(C32=År1,'Resultater - Vestdanmark'!$H$3:$H$480,IF(C32=År2,'Resultater - Vestdanmark'!$I$3:$I$480,'Resultater - Vestdanmark'!$J$3:$J$480)),'Resultater - Vestdanmark'!$F$3:$F$480,A32),SUMIFS(IF(C32=År1,'Resultater - Østdanmark'!$H$3:$H$480,IF(C32=År2,'Resultater - Østdanmark'!$I$3:$I$480,'Resultater - Østdanmark'!$J$3:$J$480)),'Resultater - Østdanmark'!$F$3:$F$480,A32))</f>
        <v>#REF!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9" t="e">
        <f>IF(B33="Vestdanmark",SUMIFS(IF(C33=År1,'Resultater - Vestdanmark'!$H$3:$H$480,IF(C33=År2,'Resultater - Vestdanmark'!$I$3:$I$480,'Resultater - Vestdanmark'!$J$3:$J$480)),'Resultater - Vestdanmark'!$F$3:$F$480,A33),SUMIFS(IF(C33=År1,'Resultater - Østdanmark'!$H$3:$H$480,IF(C33=År2,'Resultater - Østdanmark'!$I$3:$I$480,'Resultater - Østdanmark'!$J$3:$J$480)),'Resultater - Østdanmark'!$F$3:$F$480,A33))</f>
        <v>#REF!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9" t="e">
        <f>IF(B34="Vestdanmark",SUMIFS(IF(C34=År1,'Resultater - Vestdanmark'!$H$3:$H$480,IF(C34=År2,'Resultater - Vestdanmark'!$I$3:$I$480,'Resultater - Vestdanmark'!$J$3:$J$480)),'Resultater - Vestdanmark'!$F$3:$F$480,A34),SUMIFS(IF(C34=År1,'Resultater - Østdanmark'!$H$3:$H$480,IF(C34=År2,'Resultater - Østdanmark'!$I$3:$I$480,'Resultater - Østdanmark'!$J$3:$J$480)),'Resultater - Østdanmark'!$F$3:$F$480,A34))</f>
        <v>#REF!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9" t="e">
        <f>IF(B35="Vestdanmark",SUMIFS(IF(C35=År1,'Resultater - Vestdanmark'!$H$3:$H$480,IF(C35=År2,'Resultater - Vestdanmark'!$I$3:$I$480,'Resultater - Vestdanmark'!$J$3:$J$480)),'Resultater - Vestdanmark'!$F$3:$F$480,A35),SUMIFS(IF(C35=År1,'Resultater - Østdanmark'!$H$3:$H$480,IF(C35=År2,'Resultater - Østdanmark'!$I$3:$I$480,'Resultater - Østdanmark'!$J$3:$J$480)),'Resultater - Østdanmark'!$F$3:$F$480,A35))</f>
        <v>#REF!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9" t="e">
        <f>IF(B36="Vestdanmark",SUMIFS(IF(C36=År1,'Resultater - Vestdanmark'!$H$3:$H$480,IF(C36=År2,'Resultater - Vestdanmark'!$I$3:$I$480,'Resultater - Vestdanmark'!$J$3:$J$480)),'Resultater - Vestdanmark'!$F$3:$F$480,A36),SUMIFS(IF(C36=År1,'Resultater - Østdanmark'!$H$3:$H$480,IF(C36=År2,'Resultater - Østdanmark'!$I$3:$I$480,'Resultater - Østdanmark'!$J$3:$J$480)),'Resultater - Østdanmark'!$F$3:$F$480,A36))</f>
        <v>#REF!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9" t="e">
        <f>IF(B37="Vestdanmark",SUMIFS(IF(C37=År1,'Resultater - Vestdanmark'!$H$3:$H$480,IF(C37=År2,'Resultater - Vestdanmark'!$I$3:$I$480,'Resultater - Vestdanmark'!$J$3:$J$480)),'Resultater - Vestdanmark'!$F$3:$F$480,A37),SUMIFS(IF(C37=År1,'Resultater - Østdanmark'!$H$3:$H$480,IF(C37=År2,'Resultater - Østdanmark'!$I$3:$I$480,'Resultater - Østdanmark'!$J$3:$J$480)),'Resultater - Østdanmark'!$F$3:$F$480,A37))</f>
        <v>#REF!</v>
      </c>
    </row>
    <row r="38" spans="1:4" x14ac:dyDescent="0.25">
      <c r="A38" t="s">
        <v>114</v>
      </c>
      <c r="B38" t="s">
        <v>23</v>
      </c>
      <c r="C38">
        <f t="shared" si="2"/>
        <v>2050</v>
      </c>
      <c r="D38" s="239" t="e">
        <f>IF(B38="Vestdanmark",SUMIFS(IF(C38=År1,'Resultater - Vestdanmark'!$H$3:$H$480,IF(C38=År2,'Resultater - Vestdanmark'!$I$3:$I$480,'Resultater - Vestdanmark'!$J$3:$J$480)),'Resultater - Vestdanmark'!$F$3:$F$480,A38),SUMIFS(IF(C38=År1,'Resultater - Østdanmark'!$H$3:$H$480,IF(C38=År2,'Resultater - Østdanmark'!$I$3:$I$480,'Resultater - Østdanmark'!$J$3:$J$480)),'Resultater - Østdanmark'!$F$3:$F$480,A38))</f>
        <v>#REF!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9" t="e">
        <f>IF(B39="Vestdanmark",SUMIFS(IF(C39=År1,'Resultater - Vestdanmark'!$H$3:$H$480,IF(C39=År2,'Resultater - Vestdanmark'!$I$3:$I$480,'Resultater - Vestdanmark'!$J$3:$J$480)),'Resultater - Vestdanmark'!$F$3:$F$480,A39),SUMIFS(IF(C39=År1,'Resultater - Østdanmark'!$H$3:$H$480,IF(C39=År2,'Resultater - Østdanmark'!$I$3:$I$480,'Resultater - Østdanmark'!$J$3:$J$480)),'Resultater - Østdanmark'!$F$3:$F$480,A39))</f>
        <v>#REF!</v>
      </c>
    </row>
    <row r="40" spans="1:4" x14ac:dyDescent="0.25">
      <c r="A40" t="s">
        <v>96</v>
      </c>
      <c r="B40" t="s">
        <v>23</v>
      </c>
      <c r="C40">
        <f t="shared" si="2"/>
        <v>2050</v>
      </c>
      <c r="D40" s="239" t="e">
        <f>IF(B40="Vestdanmark",SUMIFS(IF(C40=År1,'Resultater - Vestdanmark'!$H$3:$H$480,IF(C40=År2,'Resultater - Vestdanmark'!$I$3:$I$480,'Resultater - Vestdanmark'!$J$3:$J$480)),'Resultater - Vestdanmark'!$F$3:$F$480,A40),SUMIFS(IF(C40=År1,'Resultater - Østdanmark'!$H$3:$H$480,IF(C40=År2,'Resultater - Østdanmark'!$I$3:$I$480,'Resultater - Østdanmark'!$J$3:$J$480)),'Resultater - Østdanmark'!$F$3:$F$480,A40))</f>
        <v>#REF!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9" t="e">
        <f>IF(B41="Vestdanmark",SUMIFS(IF(C41=År1,'Resultater - Vestdanmark'!$H$3:$H$480,IF(C41=År2,'Resultater - Vestdanmark'!$I$3:$I$480,'Resultater - Vestdanmark'!$J$3:$J$480)),'Resultater - Vestdanmark'!$F$3:$F$480,A41),SUMIFS(IF(C41=År1,'Resultater - Østdanmark'!$H$3:$H$480,IF(C41=År2,'Resultater - Østdanmark'!$I$3:$I$480,'Resultater - Østdanmark'!$J$3:$J$480)),'Resultater - Østdanmark'!$F$3:$F$480,A41))</f>
        <v>#REF!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9" t="e">
        <f>IF(B42="Vestdanmark",SUMIFS(IF(C42=År1,'Resultater - Vestdanmark'!$H$3:$H$480,IF(C42=År2,'Resultater - Vestdanmark'!$I$3:$I$480,'Resultater - Vestdanmark'!$J$3:$J$480)),'Resultater - Vestdanmark'!$F$3:$F$480,A42),SUMIFS(IF(C42=År1,'Resultater - Østdanmark'!$H$3:$H$480,IF(C42=År2,'Resultater - Østdanmark'!$I$3:$I$480,'Resultater - Østdanmark'!$J$3:$J$480)),'Resultater - Østdanmark'!$F$3:$F$480,A42))</f>
        <v>#REF!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9" t="e">
        <f>IF(B43="Vestdanmark",SUMIFS(IF(C43=År1,'Resultater - Vestdanmark'!$H$3:$H$480,IF(C43=År2,'Resultater - Vestdanmark'!$I$3:$I$480,'Resultater - Vestdanmark'!$J$3:$J$480)),'Resultater - Vestdanmark'!$F$3:$F$480,A43),SUMIFS(IF(C43=År1,'Resultater - Østdanmark'!$H$3:$H$480,IF(C43=År2,'Resultater - Østdanmark'!$I$3:$I$480,'Resultater - Østdanmark'!$J$3:$J$480)),'Resultater - Østdanmark'!$F$3:$F$480,A43))</f>
        <v>#REF!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9" t="e">
        <f>IF(B44="Vestdanmark",SUMIFS(IF(C44=År1,'Resultater - Vestdanmark'!$H$3:$H$480,IF(C44=År2,'Resultater - Vestdanmark'!$I$3:$I$480,'Resultater - Vestdanmark'!$J$3:$J$480)),'Resultater - Vestdanmark'!$F$3:$F$480,A44),SUMIFS(IF(C44=År1,'Resultater - Østdanmark'!$H$3:$H$480,IF(C44=År2,'Resultater - Østdanmark'!$I$3:$I$480,'Resultater - Østdanmark'!$J$3:$J$480)),'Resultater - Østdanmark'!$F$3:$F$480,A44))</f>
        <v>#REF!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9" t="e">
        <f>IF(B45="Vestdanmark",SUMIFS(IF(C45=År1,'Resultater - Vestdanmark'!$H$3:$H$480,IF(C45=År2,'Resultater - Vestdanmark'!$I$3:$I$480,'Resultater - Vestdanmark'!$J$3:$J$480)),'Resultater - Vestdanmark'!$F$3:$F$480,A45),SUMIFS(IF(C45=År1,'Resultater - Østdanmark'!$H$3:$H$480,IF(C45=År2,'Resultater - Østdanmark'!$I$3:$I$480,'Resultater - Østdanmark'!$J$3:$J$480)),'Resultater - Østdanmark'!$F$3:$F$480,A45))</f>
        <v>#REF!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9" t="e">
        <f>IF(B46="Vestdanmark",SUMIFS(IF(C46=År1,'Resultater - Vestdanmark'!$H$3:$H$480,IF(C46=År2,'Resultater - Vestdanmark'!$I$3:$I$480,'Resultater - Vestdanmark'!$J$3:$J$480)),'Resultater - Vestdanmark'!$F$3:$F$480,A46),SUMIFS(IF(C46=År1,'Resultater - Østdanmark'!$H$3:$H$480,IF(C46=År2,'Resultater - Østdanmark'!$I$3:$I$480,'Resultater - Østdanmark'!$J$3:$J$480)),'Resultater - Østdanmark'!$F$3:$F$480,A46))</f>
        <v>#REF!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9" t="e">
        <f>IF(B47="Vestdanmark",SUMIFS(IF(C47=År1,'Resultater - Vestdanmark'!$H$3:$H$480,IF(C47=År2,'Resultater - Vestdanmark'!$I$3:$I$480,'Resultater - Vestdanmark'!$J$3:$J$480)),'Resultater - Vestdanmark'!$F$3:$F$480,A47),SUMIFS(IF(C47=År1,'Resultater - Østdanmark'!$H$3:$H$480,IF(C47=År2,'Resultater - Østdanmark'!$I$3:$I$480,'Resultater - Østdanmark'!$J$3:$J$480)),'Resultater - Østdanmark'!$F$3:$F$480,A47))</f>
        <v>#REF!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9" t="e">
        <f>IF(B48="Vestdanmark",SUMIFS(IF(C48=År1,'Resultater - Vestdanmark'!$H$3:$H$480,IF(C48=År2,'Resultater - Vestdanmark'!$I$3:$I$480,'Resultater - Vestdanmark'!$J$3:$J$480)),'Resultater - Vestdanmark'!$F$3:$F$480,A48),SUMIFS(IF(C48=År1,'Resultater - Østdanmark'!$H$3:$H$480,IF(C48=År2,'Resultater - Østdanmark'!$I$3:$I$480,'Resultater - Østdanmark'!$J$3:$J$480)),'Resultater - Østdanmark'!$F$3:$F$480,A48))</f>
        <v>#REF!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9" t="e">
        <f>IF(B49="Vestdanmark",SUMIFS(IF(C49=År1,'Resultater - Vestdanmark'!$H$3:$H$480,IF(C49=År2,'Resultater - Vestdanmark'!$I$3:$I$480,'Resultater - Vestdanmark'!$J$3:$J$480)),'Resultater - Vestdanmark'!$F$3:$F$480,A49),SUMIFS(IF(C49=År1,'Resultater - Østdanmark'!$H$3:$H$480,IF(C49=År2,'Resultater - Østdanmark'!$I$3:$I$480,'Resultater - Østdanmark'!$J$3:$J$480)),'Resultater - Østdanmark'!$F$3:$F$480,A49))</f>
        <v>#REF!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9" t="e">
        <f>IF(B50="Vestdanmark",SUMIFS(IF(C50=År1,'Resultater - Vestdanmark'!$H$3:$H$480,IF(C50=År2,'Resultater - Vestdanmark'!$I$3:$I$480,'Resultater - Vestdanmark'!$J$3:$J$480)),'Resultater - Vestdanmark'!$F$3:$F$480,A50),SUMIFS(IF(C50=År1,'Resultater - Østdanmark'!$H$3:$H$480,IF(C50=År2,'Resultater - Østdanmark'!$I$3:$I$480,'Resultater - Østdanmark'!$J$3:$J$480)),'Resultater - Østdanmark'!$F$3:$F$480,A50))</f>
        <v>#REF!</v>
      </c>
    </row>
    <row r="51" spans="1:4" x14ac:dyDescent="0.25">
      <c r="A51" t="s">
        <v>114</v>
      </c>
      <c r="B51" t="s">
        <v>24</v>
      </c>
      <c r="C51">
        <f t="shared" si="3"/>
        <v>2019</v>
      </c>
      <c r="D51" s="239" t="e">
        <f>IF(B51="Vestdanmark",SUMIFS(IF(C51=År1,'Resultater - Vestdanmark'!$H$3:$H$480,IF(C51=År2,'Resultater - Vestdanmark'!$I$3:$I$480,'Resultater - Vestdanmark'!$J$3:$J$480)),'Resultater - Vestdanmark'!$F$3:$F$480,A51),SUMIFS(IF(C51=År1,'Resultater - Østdanmark'!$H$3:$H$480,IF(C51=År2,'Resultater - Østdanmark'!$I$3:$I$480,'Resultater - Østdanmark'!$J$3:$J$480)),'Resultater - Østdanmark'!$F$3:$F$480,A51))</f>
        <v>#REF!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9" t="e">
        <f>IF(B52="Vestdanmark",SUMIFS(IF(C52=År1,'Resultater - Vestdanmark'!$H$3:$H$480,IF(C52=År2,'Resultater - Vestdanmark'!$I$3:$I$480,'Resultater - Vestdanmark'!$J$3:$J$480)),'Resultater - Vestdanmark'!$F$3:$F$480,A52),SUMIFS(IF(C52=År1,'Resultater - Østdanmark'!$H$3:$H$480,IF(C52=År2,'Resultater - Østdanmark'!$I$3:$I$480,'Resultater - Østdanmark'!$J$3:$J$480)),'Resultater - Østdanmark'!$F$3:$F$480,A52))</f>
        <v>#REF!</v>
      </c>
    </row>
    <row r="53" spans="1:4" x14ac:dyDescent="0.25">
      <c r="A53" t="s">
        <v>96</v>
      </c>
      <c r="B53" t="s">
        <v>24</v>
      </c>
      <c r="C53">
        <f t="shared" si="3"/>
        <v>2019</v>
      </c>
      <c r="D53" s="239" t="e">
        <f>IF(B53="Vestdanmark",SUMIFS(IF(C53=År1,'Resultater - Vestdanmark'!$H$3:$H$480,IF(C53=År2,'Resultater - Vestdanmark'!$I$3:$I$480,'Resultater - Vestdanmark'!$J$3:$J$480)),'Resultater - Vestdanmark'!$F$3:$F$480,A53),SUMIFS(IF(C53=År1,'Resultater - Østdanmark'!$H$3:$H$480,IF(C53=År2,'Resultater - Østdanmark'!$I$3:$I$480,'Resultater - Østdanmark'!$J$3:$J$480)),'Resultater - Østdanmark'!$F$3:$F$480,A53))</f>
        <v>#REF!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9" t="e">
        <f>IF(B54="Vestdanmark",SUMIFS(IF(C54=År1,'Resultater - Vestdanmark'!$H$3:$H$480,IF(C54=År2,'Resultater - Vestdanmark'!$I$3:$I$480,'Resultater - Vestdanmark'!$J$3:$J$480)),'Resultater - Vestdanmark'!$F$3:$F$480,A54),SUMIFS(IF(C54=År1,'Resultater - Østdanmark'!$H$3:$H$480,IF(C54=År2,'Resultater - Østdanmark'!$I$3:$I$480,'Resultater - Østdanmark'!$J$3:$J$480)),'Resultater - Østdanmark'!$F$3:$F$480,A54))</f>
        <v>#REF!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9" t="e">
        <f>IF(B55="Vestdanmark",SUMIFS(IF(C55=År1,'Resultater - Vestdanmark'!$H$3:$H$480,IF(C55=År2,'Resultater - Vestdanmark'!$I$3:$I$480,'Resultater - Vestdanmark'!$J$3:$J$480)),'Resultater - Vestdanmark'!$F$3:$F$480,A55),SUMIFS(IF(C55=År1,'Resultater - Østdanmark'!$H$3:$H$480,IF(C55=År2,'Resultater - Østdanmark'!$I$3:$I$480,'Resultater - Østdanmark'!$J$3:$J$480)),'Resultater - Østdanmark'!$F$3:$F$480,A55))</f>
        <v>#REF!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9" t="e">
        <f>IF(B56="Vestdanmark",SUMIFS(IF(C56=År1,'Resultater - Vestdanmark'!$H$3:$H$480,IF(C56=År2,'Resultater - Vestdanmark'!$I$3:$I$480,'Resultater - Vestdanmark'!$J$3:$J$480)),'Resultater - Vestdanmark'!$F$3:$F$480,A56),SUMIFS(IF(C56=År1,'Resultater - Østdanmark'!$H$3:$H$480,IF(C56=År2,'Resultater - Østdanmark'!$I$3:$I$480,'Resultater - Østdanmark'!$J$3:$J$480)),'Resultater - Østdanmark'!$F$3:$F$480,A56))</f>
        <v>#REF!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9" t="e">
        <f>IF(B57="Vestdanmark",SUMIFS(IF(C57=År1,'Resultater - Vestdanmark'!$H$3:$H$480,IF(C57=År2,'Resultater - Vestdanmark'!$I$3:$I$480,'Resultater - Vestdanmark'!$J$3:$J$480)),'Resultater - Vestdanmark'!$F$3:$F$480,A57),SUMIFS(IF(C57=År1,'Resultater - Østdanmark'!$H$3:$H$480,IF(C57=År2,'Resultater - Østdanmark'!$I$3:$I$480,'Resultater - Østdanmark'!$J$3:$J$480)),'Resultater - Østdanmark'!$F$3:$F$480,A57))</f>
        <v>#REF!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9" t="e">
        <f>IF(B58="Vestdanmark",SUMIFS(IF(C58=År1,'Resultater - Vestdanmark'!$H$3:$H$480,IF(C58=År2,'Resultater - Vestdanmark'!$I$3:$I$480,'Resultater - Vestdanmark'!$J$3:$J$480)),'Resultater - Vestdanmark'!$F$3:$F$480,A58),SUMIFS(IF(C58=År1,'Resultater - Østdanmark'!$H$3:$H$480,IF(C58=År2,'Resultater - Østdanmark'!$I$3:$I$480,'Resultater - Østdanmark'!$J$3:$J$480)),'Resultater - Østdanmark'!$F$3:$F$480,A58))</f>
        <v>#REF!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9" t="e">
        <f>IF(B59="Vestdanmark",SUMIFS(IF(C59=År1,'Resultater - Vestdanmark'!$H$3:$H$480,IF(C59=År2,'Resultater - Vestdanmark'!$I$3:$I$480,'Resultater - Vestdanmark'!$J$3:$J$480)),'Resultater - Vestdanmark'!$F$3:$F$480,A59),SUMIFS(IF(C59=År1,'Resultater - Østdanmark'!$H$3:$H$480,IF(C59=År2,'Resultater - Østdanmark'!$I$3:$I$480,'Resultater - Østdanmark'!$J$3:$J$480)),'Resultater - Østdanmark'!$F$3:$F$480,A59))</f>
        <v>#REF!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9" t="e">
        <f>IF(B60="Vestdanmark",SUMIFS(IF(C60=År1,'Resultater - Vestdanmark'!$H$3:$H$480,IF(C60=År2,'Resultater - Vestdanmark'!$I$3:$I$480,'Resultater - Vestdanmark'!$J$3:$J$480)),'Resultater - Vestdanmark'!$F$3:$F$480,A60),SUMIFS(IF(C60=År1,'Resultater - Østdanmark'!$H$3:$H$480,IF(C60=År2,'Resultater - Østdanmark'!$I$3:$I$480,'Resultater - Østdanmark'!$J$3:$J$480)),'Resultater - Østdanmark'!$F$3:$F$480,A60))</f>
        <v>#REF!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9" t="e">
        <f>IF(B61="Vestdanmark",SUMIFS(IF(C61=År1,'Resultater - Vestdanmark'!$H$3:$H$480,IF(C61=År2,'Resultater - Vestdanmark'!$I$3:$I$480,'Resultater - Vestdanmark'!$J$3:$J$480)),'Resultater - Vestdanmark'!$F$3:$F$480,A61),SUMIFS(IF(C61=År1,'Resultater - Østdanmark'!$H$3:$H$480,IF(C61=År2,'Resultater - Østdanmark'!$I$3:$I$480,'Resultater - Østdanmark'!$J$3:$J$480)),'Resultater - Østdanmark'!$F$3:$F$480,A61))</f>
        <v>#REF!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9" t="e">
        <f>IF(B62="Vestdanmark",SUMIFS(IF(C62=År1,'Resultater - Vestdanmark'!$H$3:$H$480,IF(C62=År2,'Resultater - Vestdanmark'!$I$3:$I$480,'Resultater - Vestdanmark'!$J$3:$J$480)),'Resultater - Vestdanmark'!$F$3:$F$480,A62),SUMIFS(IF(C62=År1,'Resultater - Østdanmark'!$H$3:$H$480,IF(C62=År2,'Resultater - Østdanmark'!$I$3:$I$480,'Resultater - Østdanmark'!$J$3:$J$480)),'Resultater - Østdanmark'!$F$3:$F$480,A62))</f>
        <v>#REF!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9" t="e">
        <f>IF(B63="Vestdanmark",SUMIFS(IF(C63=År1,'Resultater - Vestdanmark'!$H$3:$H$480,IF(C63=År2,'Resultater - Vestdanmark'!$I$3:$I$480,'Resultater - Vestdanmark'!$J$3:$J$480)),'Resultater - Vestdanmark'!$F$3:$F$480,A63),SUMIFS(IF(C63=År1,'Resultater - Østdanmark'!$H$3:$H$480,IF(C63=År2,'Resultater - Østdanmark'!$I$3:$I$480,'Resultater - Østdanmark'!$J$3:$J$480)),'Resultater - Østdanmark'!$F$3:$F$480,A63))</f>
        <v>#REF!</v>
      </c>
    </row>
    <row r="64" spans="1:4" x14ac:dyDescent="0.25">
      <c r="A64" t="s">
        <v>114</v>
      </c>
      <c r="B64" t="s">
        <v>24</v>
      </c>
      <c r="C64">
        <f t="shared" si="4"/>
        <v>2030</v>
      </c>
      <c r="D64" s="239" t="e">
        <f>IF(B64="Vestdanmark",SUMIFS(IF(C64=År1,'Resultater - Vestdanmark'!$H$3:$H$480,IF(C64=År2,'Resultater - Vestdanmark'!$I$3:$I$480,'Resultater - Vestdanmark'!$J$3:$J$480)),'Resultater - Vestdanmark'!$F$3:$F$480,A64),SUMIFS(IF(C64=År1,'Resultater - Østdanmark'!$H$3:$H$480,IF(C64=År2,'Resultater - Østdanmark'!$I$3:$I$480,'Resultater - Østdanmark'!$J$3:$J$480)),'Resultater - Østdanmark'!$F$3:$F$480,A64))</f>
        <v>#REF!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9" t="e">
        <f>IF(B65="Vestdanmark",SUMIFS(IF(C65=År1,'Resultater - Vestdanmark'!$H$3:$H$480,IF(C65=År2,'Resultater - Vestdanmark'!$I$3:$I$480,'Resultater - Vestdanmark'!$J$3:$J$480)),'Resultater - Vestdanmark'!$F$3:$F$480,A65),SUMIFS(IF(C65=År1,'Resultater - Østdanmark'!$H$3:$H$480,IF(C65=År2,'Resultater - Østdanmark'!$I$3:$I$480,'Resultater - Østdanmark'!$J$3:$J$480)),'Resultater - Østdanmark'!$F$3:$F$480,A65))</f>
        <v>#REF!</v>
      </c>
    </row>
    <row r="66" spans="1:4" x14ac:dyDescent="0.25">
      <c r="A66" t="s">
        <v>96</v>
      </c>
      <c r="B66" t="s">
        <v>24</v>
      </c>
      <c r="C66">
        <f t="shared" si="4"/>
        <v>2030</v>
      </c>
      <c r="D66" s="239" t="e">
        <f>IF(B66="Vestdanmark",SUMIFS(IF(C66=År1,'Resultater - Vestdanmark'!$H$3:$H$480,IF(C66=År2,'Resultater - Vestdanmark'!$I$3:$I$480,'Resultater - Vestdanmark'!$J$3:$J$480)),'Resultater - Vestdanmark'!$F$3:$F$480,A66),SUMIFS(IF(C66=År1,'Resultater - Østdanmark'!$H$3:$H$480,IF(C66=År2,'Resultater - Østdanmark'!$I$3:$I$480,'Resultater - Østdanmark'!$J$3:$J$480)),'Resultater - Østdanmark'!$F$3:$F$480,A66))</f>
        <v>#REF!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9" t="e">
        <f>IF(B67="Vestdanmark",SUMIFS(IF(C67=År1,'Resultater - Vestdanmark'!$H$3:$H$480,IF(C67=År2,'Resultater - Vestdanmark'!$I$3:$I$480,'Resultater - Vestdanmark'!$J$3:$J$480)),'Resultater - Vestdanmark'!$F$3:$F$480,A67),SUMIFS(IF(C67=År1,'Resultater - Østdanmark'!$H$3:$H$480,IF(C67=År2,'Resultater - Østdanmark'!$I$3:$I$480,'Resultater - Østdanmark'!$J$3:$J$480)),'Resultater - Østdanmark'!$F$3:$F$480,A67))</f>
        <v>#REF!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9" t="e">
        <f>IF(B68="Vestdanmark",SUMIFS(IF(C68=År1,'Resultater - Vestdanmark'!$H$3:$H$480,IF(C68=År2,'Resultater - Vestdanmark'!$I$3:$I$480,'Resultater - Vestdanmark'!$J$3:$J$480)),'Resultater - Vestdanmark'!$F$3:$F$480,A68),SUMIFS(IF(C68=År1,'Resultater - Østdanmark'!$H$3:$H$480,IF(C68=År2,'Resultater - Østdanmark'!$I$3:$I$480,'Resultater - Østdanmark'!$J$3:$J$480)),'Resultater - Østdanmark'!$F$3:$F$480,A68))</f>
        <v>#REF!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9" t="e">
        <f>IF(B69="Vestdanmark",SUMIFS(IF(C69=År1,'Resultater - Vestdanmark'!$H$3:$H$480,IF(C69=År2,'Resultater - Vestdanmark'!$I$3:$I$480,'Resultater - Vestdanmark'!$J$3:$J$480)),'Resultater - Vestdanmark'!$F$3:$F$480,A69),SUMIFS(IF(C69=År1,'Resultater - Østdanmark'!$H$3:$H$480,IF(C69=År2,'Resultater - Østdanmark'!$I$3:$I$480,'Resultater - Østdanmark'!$J$3:$J$480)),'Resultater - Østdanmark'!$F$3:$F$480,A69))</f>
        <v>#REF!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9" t="e">
        <f>IF(B70="Vestdanmark",SUMIFS(IF(C70=År1,'Resultater - Vestdanmark'!$H$3:$H$480,IF(C70=År2,'Resultater - Vestdanmark'!$I$3:$I$480,'Resultater - Vestdanmark'!$J$3:$J$480)),'Resultater - Vestdanmark'!$F$3:$F$480,A70),SUMIFS(IF(C70=År1,'Resultater - Østdanmark'!$H$3:$H$480,IF(C70=År2,'Resultater - Østdanmark'!$I$3:$I$480,'Resultater - Østdanmark'!$J$3:$J$480)),'Resultater - Østdanmark'!$F$3:$F$480,A70))</f>
        <v>#REF!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9" t="e">
        <f>IF(B71="Vestdanmark",SUMIFS(IF(C71=År1,'Resultater - Vestdanmark'!$H$3:$H$480,IF(C71=År2,'Resultater - Vestdanmark'!$I$3:$I$480,'Resultater - Vestdanmark'!$J$3:$J$480)),'Resultater - Vestdanmark'!$F$3:$F$480,A71),SUMIFS(IF(C71=År1,'Resultater - Østdanmark'!$H$3:$H$480,IF(C71=År2,'Resultater - Østdanmark'!$I$3:$I$480,'Resultater - Østdanmark'!$J$3:$J$480)),'Resultater - Østdanmark'!$F$3:$F$480,A71))</f>
        <v>#REF!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9" t="e">
        <f>IF(B72="Vestdanmark",SUMIFS(IF(C72=År1,'Resultater - Vestdanmark'!$H$3:$H$480,IF(C72=År2,'Resultater - Vestdanmark'!$I$3:$I$480,'Resultater - Vestdanmark'!$J$3:$J$480)),'Resultater - Vestdanmark'!$F$3:$F$480,A72),SUMIFS(IF(C72=År1,'Resultater - Østdanmark'!$H$3:$H$480,IF(C72=År2,'Resultater - Østdanmark'!$I$3:$I$480,'Resultater - Østdanmark'!$J$3:$J$480)),'Resultater - Østdanmark'!$F$3:$F$480,A72))</f>
        <v>#REF!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9" t="e">
        <f>IF(B73="Vestdanmark",SUMIFS(IF(C73=År1,'Resultater - Vestdanmark'!$H$3:$H$480,IF(C73=År2,'Resultater - Vestdanmark'!$I$3:$I$480,'Resultater - Vestdanmark'!$J$3:$J$480)),'Resultater - Vestdanmark'!$F$3:$F$480,A73),SUMIFS(IF(C73=År1,'Resultater - Østdanmark'!$H$3:$H$480,IF(C73=År2,'Resultater - Østdanmark'!$I$3:$I$480,'Resultater - Østdanmark'!$J$3:$J$480)),'Resultater - Østdanmark'!$F$3:$F$480,A73))</f>
        <v>#REF!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9" t="e">
        <f>IF(B74="Vestdanmark",SUMIFS(IF(C74=År1,'Resultater - Vestdanmark'!$H$3:$H$480,IF(C74=År2,'Resultater - Vestdanmark'!$I$3:$I$480,'Resultater - Vestdanmark'!$J$3:$J$480)),'Resultater - Vestdanmark'!$F$3:$F$480,A74),SUMIFS(IF(C74=År1,'Resultater - Østdanmark'!$H$3:$H$480,IF(C74=År2,'Resultater - Østdanmark'!$I$3:$I$480,'Resultater - Østdanmark'!$J$3:$J$480)),'Resultater - Østdanmark'!$F$3:$F$480,A74))</f>
        <v>#REF!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9" t="e">
        <f>IF(B75="Vestdanmark",SUMIFS(IF(C75=År1,'Resultater - Vestdanmark'!$H$3:$H$480,IF(C75=År2,'Resultater - Vestdanmark'!$I$3:$I$480,'Resultater - Vestdanmark'!$J$3:$J$480)),'Resultater - Vestdanmark'!$F$3:$F$480,A75),SUMIFS(IF(C75=År1,'Resultater - Østdanmark'!$H$3:$H$480,IF(C75=År2,'Resultater - Østdanmark'!$I$3:$I$480,'Resultater - Østdanmark'!$J$3:$J$480)),'Resultater - Østdanmark'!$F$3:$F$480,A75))</f>
        <v>#REF!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9" t="e">
        <f>IF(B76="Vestdanmark",SUMIFS(IF(C76=År1,'Resultater - Vestdanmark'!$H$3:$H$480,IF(C76=År2,'Resultater - Vestdanmark'!$I$3:$I$480,'Resultater - Vestdanmark'!$J$3:$J$480)),'Resultater - Vestdanmark'!$F$3:$F$480,A76),SUMIFS(IF(C76=År1,'Resultater - Østdanmark'!$H$3:$H$480,IF(C76=År2,'Resultater - Østdanmark'!$I$3:$I$480,'Resultater - Østdanmark'!$J$3:$J$480)),'Resultater - Østdanmark'!$F$3:$F$480,A76))</f>
        <v>#REF!</v>
      </c>
    </row>
    <row r="77" spans="1:4" x14ac:dyDescent="0.25">
      <c r="A77" t="s">
        <v>114</v>
      </c>
      <c r="B77" t="s">
        <v>24</v>
      </c>
      <c r="C77">
        <f t="shared" si="5"/>
        <v>2050</v>
      </c>
      <c r="D77" s="239" t="e">
        <f>IF(B77="Vestdanmark",SUMIFS(IF(C77=År1,'Resultater - Vestdanmark'!$H$3:$H$480,IF(C77=År2,'Resultater - Vestdanmark'!$I$3:$I$480,'Resultater - Vestdanmark'!$J$3:$J$480)),'Resultater - Vestdanmark'!$F$3:$F$480,A77),SUMIFS(IF(C77=År1,'Resultater - Østdanmark'!$H$3:$H$480,IF(C77=År2,'Resultater - Østdanmark'!$I$3:$I$480,'Resultater - Østdanmark'!$J$3:$J$480)),'Resultater - Østdanmark'!$F$3:$F$480,A77))</f>
        <v>#REF!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9" t="e">
        <f>IF(B78="Vestdanmark",SUMIFS(IF(C78=År1,'Resultater - Vestdanmark'!$H$3:$H$480,IF(C78=År2,'Resultater - Vestdanmark'!$I$3:$I$480,'Resultater - Vestdanmark'!$J$3:$J$480)),'Resultater - Vestdanmark'!$F$3:$F$480,A78),SUMIFS(IF(C78=År1,'Resultater - Østdanmark'!$H$3:$H$480,IF(C78=År2,'Resultater - Østdanmark'!$I$3:$I$480,'Resultater - Østdanmark'!$J$3:$J$480)),'Resultater - Østdanmark'!$F$3:$F$480,A78))</f>
        <v>#REF!</v>
      </c>
    </row>
    <row r="79" spans="1:4" x14ac:dyDescent="0.25">
      <c r="A79" t="s">
        <v>96</v>
      </c>
      <c r="B79" t="s">
        <v>24</v>
      </c>
      <c r="C79">
        <f t="shared" si="5"/>
        <v>2050</v>
      </c>
      <c r="D79" s="239" t="e">
        <f>IF(B79="Vestdanmark",SUMIFS(IF(C79=År1,'Resultater - Vestdanmark'!$H$3:$H$480,IF(C79=År2,'Resultater - Vestdanmark'!$I$3:$I$480,'Resultater - Vestdanmark'!$J$3:$J$480)),'Resultater - Vestdanmark'!$F$3:$F$480,A79),SUMIFS(IF(C79=År1,'Resultater - Østdanmark'!$H$3:$H$480,IF(C79=År2,'Resultater - Østdanmark'!$I$3:$I$480,'Resultater - Østdanmark'!$J$3:$J$480)),'Resultater - Østdanmark'!$F$3:$F$480,A79))</f>
        <v>#REF!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194</v>
      </c>
      <c r="B4" s="77" t="s">
        <v>62</v>
      </c>
    </row>
    <row r="5" spans="1:4" x14ac:dyDescent="0.25">
      <c r="A5" s="77" t="s">
        <v>60</v>
      </c>
      <c r="B5" s="171" t="s">
        <v>120</v>
      </c>
      <c r="C5" s="171" t="s">
        <v>119</v>
      </c>
      <c r="D5" s="171" t="s">
        <v>61</v>
      </c>
    </row>
    <row r="6" spans="1:4" x14ac:dyDescent="0.25">
      <c r="A6" s="78">
        <v>2019</v>
      </c>
      <c r="B6" s="241">
        <v>3010238.4923246857</v>
      </c>
      <c r="C6" s="241">
        <v>827693.20492220437</v>
      </c>
      <c r="D6" s="241">
        <v>3837931.69724689</v>
      </c>
    </row>
    <row r="7" spans="1:4" x14ac:dyDescent="0.25">
      <c r="A7" s="78">
        <v>2030</v>
      </c>
      <c r="B7" s="241">
        <v>2863430.3661416383</v>
      </c>
      <c r="C7" s="241">
        <v>792440.79236345144</v>
      </c>
      <c r="D7" s="241">
        <v>3655871.1585050896</v>
      </c>
    </row>
    <row r="8" spans="1:4" x14ac:dyDescent="0.25">
      <c r="A8" s="78">
        <v>2050</v>
      </c>
      <c r="B8" s="241">
        <v>2859899.9612931921</v>
      </c>
      <c r="C8" s="241">
        <v>871392.37125140009</v>
      </c>
      <c r="D8" s="241">
        <v>3731292.3325445922</v>
      </c>
    </row>
    <row r="9" spans="1:4" x14ac:dyDescent="0.25">
      <c r="A9" s="78" t="s">
        <v>61</v>
      </c>
      <c r="B9" s="241">
        <v>8733568.819759516</v>
      </c>
      <c r="C9" s="241">
        <v>2491526.3685370558</v>
      </c>
      <c r="D9" s="241">
        <v>11225095.188296571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8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194</v>
      </c>
      <c r="B4" s="77" t="s">
        <v>62</v>
      </c>
    </row>
    <row r="5" spans="1:4" x14ac:dyDescent="0.25">
      <c r="A5" s="77" t="s">
        <v>60</v>
      </c>
      <c r="B5" s="171" t="s">
        <v>107</v>
      </c>
      <c r="C5" s="171" t="s">
        <v>100</v>
      </c>
      <c r="D5" s="171" t="s">
        <v>61</v>
      </c>
    </row>
    <row r="6" spans="1:4" x14ac:dyDescent="0.25">
      <c r="A6" s="78">
        <v>2019</v>
      </c>
      <c r="B6" s="241">
        <v>880.09999999999991</v>
      </c>
      <c r="C6" s="241">
        <v>76.5</v>
      </c>
      <c r="D6" s="241">
        <v>956.59999999999991</v>
      </c>
    </row>
    <row r="7" spans="1:4" x14ac:dyDescent="0.25">
      <c r="A7" s="78">
        <v>2030</v>
      </c>
      <c r="B7" s="241">
        <v>148232.6739623498</v>
      </c>
      <c r="C7" s="241">
        <v>14400</v>
      </c>
      <c r="D7" s="241">
        <v>162632.6739623498</v>
      </c>
    </row>
    <row r="8" spans="1:4" x14ac:dyDescent="0.25">
      <c r="A8" s="78">
        <v>2050</v>
      </c>
      <c r="B8" s="241">
        <v>243411.82603765032</v>
      </c>
      <c r="C8" s="241">
        <v>18000</v>
      </c>
      <c r="D8" s="241">
        <v>261411.82603765032</v>
      </c>
    </row>
    <row r="9" spans="1:4" x14ac:dyDescent="0.25">
      <c r="A9" s="78" t="s">
        <v>61</v>
      </c>
      <c r="B9" s="241">
        <v>392524.60000000009</v>
      </c>
      <c r="C9" s="241">
        <v>32476.5</v>
      </c>
      <c r="D9" s="241">
        <v>425001.10000000009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71" t="s">
        <v>81</v>
      </c>
    </row>
    <row r="3" spans="1:7" x14ac:dyDescent="0.25">
      <c r="A3" s="77" t="s">
        <v>80</v>
      </c>
      <c r="B3" s="77" t="s">
        <v>62</v>
      </c>
    </row>
    <row r="4" spans="1:7" x14ac:dyDescent="0.25">
      <c r="A4" s="77" t="s">
        <v>60</v>
      </c>
      <c r="B4" s="171" t="s">
        <v>11</v>
      </c>
      <c r="C4" s="171" t="s">
        <v>32</v>
      </c>
      <c r="D4" s="171" t="s">
        <v>9</v>
      </c>
      <c r="E4" s="171" t="s">
        <v>33</v>
      </c>
      <c r="F4" s="171" t="s">
        <v>10</v>
      </c>
      <c r="G4" s="171" t="s">
        <v>61</v>
      </c>
    </row>
    <row r="5" spans="1:7" x14ac:dyDescent="0.25">
      <c r="A5" s="78">
        <v>2019</v>
      </c>
      <c r="B5" s="241">
        <v>65860</v>
      </c>
      <c r="C5" s="241">
        <v>591230</v>
      </c>
      <c r="D5" s="241">
        <v>2578370</v>
      </c>
      <c r="E5" s="241">
        <v>472920</v>
      </c>
      <c r="F5" s="241">
        <v>561900</v>
      </c>
      <c r="G5" s="241">
        <v>4270280</v>
      </c>
    </row>
    <row r="6" spans="1:7" x14ac:dyDescent="0.25">
      <c r="A6" s="78">
        <v>2030</v>
      </c>
      <c r="B6" s="241">
        <v>65860</v>
      </c>
      <c r="C6" s="241">
        <v>591230</v>
      </c>
      <c r="D6" s="241">
        <v>2501770</v>
      </c>
      <c r="E6" s="241">
        <v>487920</v>
      </c>
      <c r="F6" s="241">
        <v>623500</v>
      </c>
      <c r="G6" s="241">
        <v>4270280</v>
      </c>
    </row>
    <row r="7" spans="1:7" x14ac:dyDescent="0.25">
      <c r="A7" s="78">
        <v>2050</v>
      </c>
      <c r="B7" s="241">
        <v>65860</v>
      </c>
      <c r="C7" s="241">
        <v>591230</v>
      </c>
      <c r="D7" s="241">
        <v>2440169.9999999995</v>
      </c>
      <c r="E7" s="241">
        <v>487920</v>
      </c>
      <c r="F7" s="241">
        <v>685100</v>
      </c>
      <c r="G7" s="241">
        <v>4270280</v>
      </c>
    </row>
    <row r="8" spans="1:7" x14ac:dyDescent="0.25">
      <c r="A8" s="78" t="s">
        <v>61</v>
      </c>
      <c r="B8" s="241">
        <v>197580</v>
      </c>
      <c r="C8" s="241">
        <v>1773690</v>
      </c>
      <c r="D8" s="241">
        <v>7520310</v>
      </c>
      <c r="E8" s="241">
        <v>1448760</v>
      </c>
      <c r="F8" s="241">
        <v>1870500</v>
      </c>
      <c r="G8" s="241">
        <v>12810840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10.5703125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71" t="s">
        <v>81</v>
      </c>
    </row>
    <row r="2" spans="1:16" x14ac:dyDescent="0.25">
      <c r="A2" s="77" t="s">
        <v>64</v>
      </c>
      <c r="B2" s="171" t="s">
        <v>81</v>
      </c>
    </row>
    <row r="4" spans="1:16" x14ac:dyDescent="0.25">
      <c r="A4" s="77" t="s">
        <v>88</v>
      </c>
      <c r="B4" s="77" t="s">
        <v>62</v>
      </c>
    </row>
    <row r="5" spans="1:16" x14ac:dyDescent="0.25">
      <c r="A5" s="77" t="s">
        <v>60</v>
      </c>
      <c r="B5" s="171" t="s">
        <v>49</v>
      </c>
      <c r="C5" s="171" t="s">
        <v>54</v>
      </c>
      <c r="D5" s="171" t="s">
        <v>51</v>
      </c>
      <c r="E5" s="171" t="s">
        <v>6</v>
      </c>
      <c r="F5" s="171" t="s">
        <v>56</v>
      </c>
      <c r="G5" s="171" t="s">
        <v>12</v>
      </c>
      <c r="H5" s="171" t="s">
        <v>48</v>
      </c>
      <c r="I5" s="171" t="s">
        <v>53</v>
      </c>
      <c r="J5" s="171" t="s">
        <v>55</v>
      </c>
      <c r="K5" s="171" t="s">
        <v>50</v>
      </c>
      <c r="L5" s="171" t="s">
        <v>52</v>
      </c>
      <c r="M5" s="171" t="s">
        <v>38</v>
      </c>
      <c r="N5" s="171" t="s">
        <v>96</v>
      </c>
      <c r="O5" s="171" t="s">
        <v>114</v>
      </c>
      <c r="P5" s="171" t="s">
        <v>61</v>
      </c>
    </row>
    <row r="6" spans="1:16" x14ac:dyDescent="0.25">
      <c r="A6" s="78">
        <v>2019</v>
      </c>
      <c r="B6" s="241">
        <v>76853.212866422313</v>
      </c>
      <c r="C6" s="241">
        <v>5114.7808931059071</v>
      </c>
      <c r="D6" s="241">
        <v>288931.41565564787</v>
      </c>
      <c r="E6" s="241">
        <v>12752.078568827996</v>
      </c>
      <c r="F6" s="241">
        <v>18942.69646674622</v>
      </c>
      <c r="G6" s="241">
        <v>55075.520801981496</v>
      </c>
      <c r="H6" s="241">
        <v>1337821.3326830014</v>
      </c>
      <c r="I6" s="241">
        <v>180140.67588310441</v>
      </c>
      <c r="J6" s="241">
        <v>69938.636069140397</v>
      </c>
      <c r="K6" s="241">
        <v>161431.62233269325</v>
      </c>
      <c r="L6" s="241">
        <v>33966.356863719026</v>
      </c>
      <c r="M6" s="241">
        <v>221005.01507630604</v>
      </c>
      <c r="N6" s="241">
        <v>8579.6273865744097</v>
      </c>
      <c r="O6" s="241">
        <v>107817.02845272887</v>
      </c>
      <c r="P6" s="241">
        <v>2578370</v>
      </c>
    </row>
    <row r="7" spans="1:16" x14ac:dyDescent="0.25">
      <c r="A7" s="78">
        <v>2030</v>
      </c>
      <c r="B7" s="241">
        <v>74183.803587131348</v>
      </c>
      <c r="C7" s="241">
        <v>4853.1770030289581</v>
      </c>
      <c r="D7" s="241">
        <v>614009.9839605958</v>
      </c>
      <c r="E7" s="241">
        <v>12260.644279007083</v>
      </c>
      <c r="F7" s="241">
        <v>18194.810700511243</v>
      </c>
      <c r="G7" s="241">
        <v>52970.654930914927</v>
      </c>
      <c r="H7" s="241">
        <v>966609.27748625283</v>
      </c>
      <c r="I7" s="241">
        <v>162670.5326839725</v>
      </c>
      <c r="J7" s="241">
        <v>43656.858578083113</v>
      </c>
      <c r="K7" s="241">
        <v>108216.1106595821</v>
      </c>
      <c r="L7" s="241">
        <v>78362.46663239249</v>
      </c>
      <c r="M7" s="241">
        <v>257867.80103200703</v>
      </c>
      <c r="N7" s="241">
        <v>7716.8760454422081</v>
      </c>
      <c r="O7" s="241">
        <v>99823.678331425646</v>
      </c>
      <c r="P7" s="241">
        <v>2501396.6759103471</v>
      </c>
    </row>
    <row r="8" spans="1:16" x14ac:dyDescent="0.25">
      <c r="A8" s="78">
        <v>2050</v>
      </c>
      <c r="B8" s="241">
        <v>72275.665119207741</v>
      </c>
      <c r="C8" s="241">
        <v>4728.1172142829364</v>
      </c>
      <c r="D8" s="241">
        <v>598548.38396059559</v>
      </c>
      <c r="E8" s="241">
        <v>11939.949346977701</v>
      </c>
      <c r="F8" s="241">
        <v>17727.455506089249</v>
      </c>
      <c r="G8" s="241">
        <v>51621.782251781951</v>
      </c>
      <c r="H8" s="241">
        <v>941813.22356629348</v>
      </c>
      <c r="I8" s="241">
        <v>158496.56058649404</v>
      </c>
      <c r="J8" s="241">
        <v>42549.988492615776</v>
      </c>
      <c r="K8" s="241">
        <v>105423.80184271638</v>
      </c>
      <c r="L8" s="241">
        <v>76300.904828300088</v>
      </c>
      <c r="M8" s="241">
        <v>253508.19426480078</v>
      </c>
      <c r="N8" s="241">
        <v>7537.157461474726</v>
      </c>
      <c r="O8" s="241">
        <v>97335.327401064031</v>
      </c>
      <c r="P8" s="241">
        <v>2439806.5118426941</v>
      </c>
    </row>
    <row r="9" spans="1:16" x14ac:dyDescent="0.25">
      <c r="A9" s="78" t="s">
        <v>61</v>
      </c>
      <c r="B9" s="241">
        <v>223312.68157276139</v>
      </c>
      <c r="C9" s="241">
        <v>14696.075110417802</v>
      </c>
      <c r="D9" s="241">
        <v>1501489.7835768391</v>
      </c>
      <c r="E9" s="241">
        <v>36952.672194812782</v>
      </c>
      <c r="F9" s="241">
        <v>54864.962673346716</v>
      </c>
      <c r="G9" s="241">
        <v>159667.95798467839</v>
      </c>
      <c r="H9" s="241">
        <v>3246243.833735548</v>
      </c>
      <c r="I9" s="241">
        <v>501307.76915357099</v>
      </c>
      <c r="J9" s="241">
        <v>156145.48313983929</v>
      </c>
      <c r="K9" s="241">
        <v>375071.53483499179</v>
      </c>
      <c r="L9" s="241">
        <v>188629.72832441161</v>
      </c>
      <c r="M9" s="241">
        <v>732381.01037311379</v>
      </c>
      <c r="N9" s="241">
        <v>23833.660893491346</v>
      </c>
      <c r="O9" s="241">
        <v>304976.03418521857</v>
      </c>
      <c r="P9" s="241">
        <v>7519573.1877530413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79</v>
      </c>
      <c r="C1" t="s">
        <v>58</v>
      </c>
      <c r="D1" t="s">
        <v>63</v>
      </c>
      <c r="E1" t="s">
        <v>78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 t="e">
        <f>Arealanvendelse!J25</f>
        <v>#VALUE!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 t="e">
        <f>Arealanvendelse!J26</f>
        <v>#VALUE!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 t="e">
        <f>Arealanvendelse!J27</f>
        <v>#VALUE!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 t="e">
        <f>Arealanvendelse!J28</f>
        <v>#VALUE!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 t="e">
        <f>Arealanvendelse!J29</f>
        <v>#VALUE!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 t="e">
        <f>Arealanvendelse!M25</f>
        <v>#VALUE!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 t="e">
        <f>Arealanvendelse!M26</f>
        <v>#VALUE!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 t="e">
        <f>Arealanvendelse!M27</f>
        <v>#VALUE!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 t="e">
        <f>Arealanvendelse!M28</f>
        <v>#VALUE!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 t="e">
        <f>Arealanvendelse!M29</f>
        <v>#VALUE!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83953.540404179206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62284.965708345597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63850.259347846317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52598.921445460466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 t="e">
        <f>Arealanvendelse!P25</f>
        <v>#VALUE!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 t="e">
        <f>Arealanvendelse!P26</f>
        <v>#VALUE!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 t="e">
        <f>Arealanvendelse!P27</f>
        <v>#VALUE!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 t="e">
        <f>Arealanvendelse!P28</f>
        <v>#VALUE!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 t="e">
        <f>Arealanvendelse!P29</f>
        <v>#VALUE!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83953.540404179206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62284.965708345597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63850.259347846317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52598.921445460466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 t="e">
        <f>Arealanvendelse!J35</f>
        <v>#VALUE!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 t="e">
        <f>Arealanvendelse!J36</f>
        <v>#VALUE!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 t="e">
        <f>Arealanvendelse!J37</f>
        <v>#VALUE!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 t="e">
        <f>Arealanvendelse!J38</f>
        <v>#VALUE!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 t="e">
        <f>Arealanvendelse!J39</f>
        <v>#VALUE!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 t="e">
        <f>Arealanvendelse!M35</f>
        <v>#VALUE!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 t="e">
        <f>Arealanvendelse!M36</f>
        <v>#VALUE!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 t="e">
        <f>Arealanvendelse!M37</f>
        <v>#VALUE!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 t="e">
        <f>Arealanvendelse!M38</f>
        <v>#VALUE!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 t="e">
        <f>Arealanvendelse!M39</f>
        <v>#VALUE!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9048.4595958207792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6713.0342916543959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6881.7406521536668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5669.0785545395274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 t="e">
        <f>Arealanvendelse!P35</f>
        <v>#VALUE!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 t="e">
        <f>Arealanvendelse!P36</f>
        <v>#VALUE!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 t="e">
        <f>Arealanvendelse!P37</f>
        <v>#VALUE!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 t="e">
        <f>Arealanvendelse!P38</f>
        <v>#VALUE!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 t="e">
        <f>Arealanvendelse!P39</f>
        <v>#VALUE!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9048.4595958207792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6713.0342916543959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6881.7406521536668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5669.0785545395274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90</v>
      </c>
      <c r="G1" t="s">
        <v>86</v>
      </c>
      <c r="H1" t="s">
        <v>87</v>
      </c>
      <c r="I1" t="s">
        <v>73</v>
      </c>
      <c r="J1" t="s">
        <v>89</v>
      </c>
      <c r="L1" t="s">
        <v>64</v>
      </c>
      <c r="M1" t="s">
        <v>83</v>
      </c>
      <c r="N1" t="s">
        <v>58</v>
      </c>
      <c r="O1" t="s">
        <v>82</v>
      </c>
      <c r="P1" t="s">
        <v>78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71" t="str">
        <f t="shared" ref="E2:E33" si="0">Jordbund1</f>
        <v>JB1-10</v>
      </c>
      <c r="F2" t="e">
        <f>IF(I2&lt;&gt;0,"Halm",IF(B2&lt;&gt;"Permanent græs",B2,"Græs"))</f>
        <v>#VALUE!</v>
      </c>
      <c r="G2" s="76" t="e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#VALUE!</v>
      </c>
      <c r="H2" t="e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#VALUE!</v>
      </c>
      <c r="I2" t="e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#VALUE!</v>
      </c>
      <c r="J2" s="76" t="e">
        <f>IF(I2&lt;&gt;0,I2,H2)</f>
        <v>#VALUE!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71" t="str">
        <f t="shared" si="0"/>
        <v>JB1-10</v>
      </c>
      <c r="F3" t="e">
        <f t="shared" ref="F3:F71" si="1">IF(I3&lt;&gt;0,"Halm",IF(B3&lt;&gt;"Permanent græs",B3,"Græs"))</f>
        <v>#VALUE!</v>
      </c>
      <c r="G3" s="76" t="e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#VALUE!</v>
      </c>
      <c r="H3" s="171" t="e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#VALUE!</v>
      </c>
      <c r="I3" s="171" t="e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#VALUE!</v>
      </c>
      <c r="J3" s="76" t="e">
        <f t="shared" ref="J3:J71" si="2">IF(I3&lt;&gt;0,I3,H3)</f>
        <v>#VALUE!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71" t="str">
        <f t="shared" si="0"/>
        <v>JB1-10</v>
      </c>
      <c r="F4" t="e">
        <f t="shared" si="1"/>
        <v>#VALUE!</v>
      </c>
      <c r="G4" s="76" t="e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#VALUE!</v>
      </c>
      <c r="H4" s="171" t="e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#VALUE!</v>
      </c>
      <c r="I4" s="171" t="e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#VALUE!</v>
      </c>
      <c r="J4" s="76" t="e">
        <f t="shared" si="2"/>
        <v>#VALUE!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71" t="str">
        <f t="shared" si="0"/>
        <v>JB1-10</v>
      </c>
      <c r="F5" t="e">
        <f t="shared" si="1"/>
        <v>#VALUE!</v>
      </c>
      <c r="G5" s="76" t="e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#VALUE!</v>
      </c>
      <c r="H5" s="171" t="e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#VALUE!</v>
      </c>
      <c r="I5" s="171" t="e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#VALUE!</v>
      </c>
      <c r="J5" s="76" t="e">
        <f t="shared" si="2"/>
        <v>#VALUE!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10081251.358070999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71" t="str">
        <f t="shared" si="0"/>
        <v>JB1-10</v>
      </c>
      <c r="F6" t="e">
        <f t="shared" si="1"/>
        <v>#VALUE!</v>
      </c>
      <c r="G6" s="76" t="e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#VALUE!</v>
      </c>
      <c r="H6" s="171" t="e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#VALUE!</v>
      </c>
      <c r="I6" s="171" t="e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#VALUE!</v>
      </c>
      <c r="J6" s="76" t="e">
        <f t="shared" si="2"/>
        <v>#VALUE!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1152879.1032080106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71" t="str">
        <f t="shared" si="0"/>
        <v>JB1-10</v>
      </c>
      <c r="F7" t="e">
        <f t="shared" si="1"/>
        <v>#VALUE!</v>
      </c>
      <c r="G7" s="76" t="e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#VALUE!</v>
      </c>
      <c r="H7" s="171" t="e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#VALUE!</v>
      </c>
      <c r="I7" s="171" t="e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#VALUE!</v>
      </c>
      <c r="J7" s="76" t="e">
        <f t="shared" si="2"/>
        <v>#VALUE!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17790568.192894831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71" t="str">
        <f t="shared" si="0"/>
        <v>JB1-10</v>
      </c>
      <c r="F8" t="e">
        <f t="shared" si="1"/>
        <v>#VALUE!</v>
      </c>
      <c r="G8" s="76" t="e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#VALUE!</v>
      </c>
      <c r="H8" s="171" t="e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#VALUE!</v>
      </c>
      <c r="I8" s="171" t="e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#VALUE!</v>
      </c>
      <c r="J8" s="76" t="e">
        <f t="shared" si="2"/>
        <v>#VALUE!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9651553.6380710006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71" t="str">
        <f t="shared" si="0"/>
        <v>JB1-10</v>
      </c>
      <c r="F9" t="e">
        <f t="shared" si="1"/>
        <v>#VALUE!</v>
      </c>
      <c r="G9" s="76" t="e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#VALUE!</v>
      </c>
      <c r="H9" s="171" t="e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#VALUE!</v>
      </c>
      <c r="I9" s="171" t="e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#VALUE!</v>
      </c>
      <c r="J9" s="76" t="e">
        <f t="shared" si="2"/>
        <v>#VALUE!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1097180.5432080105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71" t="str">
        <f t="shared" si="0"/>
        <v>JB1-10</v>
      </c>
      <c r="F10" t="e">
        <f t="shared" si="1"/>
        <v>#VALUE!</v>
      </c>
      <c r="G10" s="76" t="e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#VALUE!</v>
      </c>
      <c r="H10" s="171" t="e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#VALUE!</v>
      </c>
      <c r="I10" s="171" t="e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#VALUE!</v>
      </c>
      <c r="J10" s="76" t="e">
        <f t="shared" si="2"/>
        <v>#VALUE!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16939594.832894832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71" t="str">
        <f t="shared" si="0"/>
        <v>JB1-10</v>
      </c>
      <c r="F11" t="e">
        <f t="shared" si="1"/>
        <v>#VALUE!</v>
      </c>
      <c r="G11" s="76" t="e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#VALUE!</v>
      </c>
      <c r="H11" s="171" t="e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#VALUE!</v>
      </c>
      <c r="I11" s="171" t="e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#VALUE!</v>
      </c>
      <c r="J11" s="76" t="e">
        <f t="shared" si="2"/>
        <v>#VALUE!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71" t="str">
        <f t="shared" si="0"/>
        <v>JB1-10</v>
      </c>
      <c r="F12" t="e">
        <f t="shared" si="1"/>
        <v>#VALUE!</v>
      </c>
      <c r="G12" s="76" t="e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#VALUE!</v>
      </c>
      <c r="H12" s="171" t="e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#VALUE!</v>
      </c>
      <c r="I12" s="171" t="e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#VALUE!</v>
      </c>
      <c r="J12" s="76" t="e">
        <f t="shared" si="2"/>
        <v>#VALUE!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71" t="str">
        <f t="shared" si="0"/>
        <v>JB1-10</v>
      </c>
      <c r="F13" t="e">
        <f t="shared" si="1"/>
        <v>#VALUE!</v>
      </c>
      <c r="G13" s="76" t="e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#VALUE!</v>
      </c>
      <c r="H13" s="171" t="e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#VALUE!</v>
      </c>
      <c r="I13" s="171" t="e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#VALUE!</v>
      </c>
      <c r="J13" s="76" t="e">
        <f t="shared" si="2"/>
        <v>#VALUE!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71" t="str">
        <f t="shared" si="0"/>
        <v>JB1-10</v>
      </c>
      <c r="F14" t="e">
        <f>IF(I14&lt;&gt;0,"Halm",IF(B14&lt;&gt;"Permanent græs",B14,"Græs"))</f>
        <v>#VALUE!</v>
      </c>
      <c r="G14" s="76" t="e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#VALUE!</v>
      </c>
      <c r="H14" s="171" t="e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#VALUE!</v>
      </c>
      <c r="I14" s="171" t="e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#VALUE!</v>
      </c>
      <c r="J14" s="76" t="e">
        <f t="shared" ref="J14" si="3">IF(I14&lt;&gt;0,I14,H14)</f>
        <v>#VALUE!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661191.6419289998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71" t="str">
        <f t="shared" si="0"/>
        <v>JB1-10</v>
      </c>
      <c r="F15" t="e">
        <f t="shared" si="1"/>
        <v>#VALUE!</v>
      </c>
      <c r="G15" s="76" t="e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#VALUE!</v>
      </c>
      <c r="H15" s="171" t="e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#VALUE!</v>
      </c>
      <c r="I15" s="171" t="e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#VALUE!</v>
      </c>
      <c r="J15" s="76" t="e">
        <f t="shared" si="2"/>
        <v>#VALUE!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239584.89679198936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71" t="str">
        <f t="shared" si="0"/>
        <v>JB1-10</v>
      </c>
      <c r="F16" t="e">
        <f t="shared" si="1"/>
        <v>#VALUE!</v>
      </c>
      <c r="G16" s="76" t="e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#VALUE!</v>
      </c>
      <c r="H16" s="171" t="e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#VALUE!</v>
      </c>
      <c r="I16" s="171" t="e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#VALUE!</v>
      </c>
      <c r="J16" s="76" t="e">
        <f t="shared" si="2"/>
        <v>#VALUE!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3483765.8071051692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71" t="str">
        <f t="shared" si="0"/>
        <v>JB1-10</v>
      </c>
      <c r="F17" t="e">
        <f t="shared" si="1"/>
        <v>#VALUE!</v>
      </c>
      <c r="G17" s="76" t="e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#VALUE!</v>
      </c>
      <c r="H17" s="171" t="e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#VALUE!</v>
      </c>
      <c r="I17" s="171" t="e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#VALUE!</v>
      </c>
      <c r="J17" s="76" t="e">
        <f t="shared" si="2"/>
        <v>#VALUE!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1090889.3619289997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71" t="str">
        <f t="shared" si="0"/>
        <v>JB1-10</v>
      </c>
      <c r="F18" t="e">
        <f t="shared" si="1"/>
        <v>#VALUE!</v>
      </c>
      <c r="G18" s="76" t="e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#VALUE!</v>
      </c>
      <c r="H18" s="171" t="e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#VALUE!</v>
      </c>
      <c r="I18" s="171" t="e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#VALUE!</v>
      </c>
      <c r="J18" s="76" t="e">
        <f t="shared" si="2"/>
        <v>#VALUE!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295283.45679198933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71" t="str">
        <f t="shared" si="0"/>
        <v>JB1-10</v>
      </c>
      <c r="F19" t="e">
        <f t="shared" si="1"/>
        <v>#VALUE!</v>
      </c>
      <c r="G19" s="76" t="e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#VALUE!</v>
      </c>
      <c r="H19" s="171" t="e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#VALUE!</v>
      </c>
      <c r="I19" s="171" t="e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#VALUE!</v>
      </c>
      <c r="J19" s="76" t="e">
        <f t="shared" si="2"/>
        <v>#VALUE!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4334739.167105169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71" t="str">
        <f t="shared" si="0"/>
        <v>JB1-10</v>
      </c>
      <c r="F20" t="e">
        <f t="shared" si="1"/>
        <v>#VALUE!</v>
      </c>
      <c r="G20" s="76" t="e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#VALUE!</v>
      </c>
      <c r="H20" s="171" t="e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#VALUE!</v>
      </c>
      <c r="I20" s="171" t="e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#VALUE!</v>
      </c>
      <c r="J20" s="76" t="e">
        <f t="shared" si="2"/>
        <v>#VALUE!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71" t="str">
        <f t="shared" si="0"/>
        <v>JB1-10</v>
      </c>
      <c r="F21" t="e">
        <f t="shared" si="1"/>
        <v>#VALUE!</v>
      </c>
      <c r="G21" s="76" t="e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#VALUE!</v>
      </c>
      <c r="H21" s="171" t="e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#VALUE!</v>
      </c>
      <c r="I21" s="171" t="e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#VALUE!</v>
      </c>
      <c r="J21" s="76" t="e">
        <f t="shared" si="2"/>
        <v>#VALUE!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71" t="str">
        <f t="shared" si="0"/>
        <v>JB1-10</v>
      </c>
      <c r="F22" t="e">
        <f t="shared" si="1"/>
        <v>#VALUE!</v>
      </c>
      <c r="G22" s="76" t="e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#VALUE!</v>
      </c>
      <c r="H22" s="171" t="e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#VALUE!</v>
      </c>
      <c r="I22" s="171" t="e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#VALUE!</v>
      </c>
      <c r="J22" s="76" t="e">
        <f t="shared" si="2"/>
        <v>#VALUE!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71" t="str">
        <f t="shared" si="0"/>
        <v>JB1-10</v>
      </c>
      <c r="F23" t="e">
        <f t="shared" si="1"/>
        <v>#VALUE!</v>
      </c>
      <c r="G23" s="76" t="e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#VALUE!</v>
      </c>
      <c r="H23" s="171" t="e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#VALUE!</v>
      </c>
      <c r="I23" s="171" t="e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#VALUE!</v>
      </c>
      <c r="J23" s="76" t="e">
        <f t="shared" si="2"/>
        <v>#VALUE!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71" t="str">
        <f t="shared" si="0"/>
        <v>JB1-10</v>
      </c>
      <c r="F24" t="e">
        <f t="shared" si="1"/>
        <v>#VALUE!</v>
      </c>
      <c r="G24" s="76" t="e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#VALUE!</v>
      </c>
      <c r="H24" s="171" t="e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#VALUE!</v>
      </c>
      <c r="I24" s="171" t="e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#VALUE!</v>
      </c>
      <c r="J24" s="76" t="e">
        <f t="shared" si="2"/>
        <v>#VALUE!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71" t="str">
        <f t="shared" si="0"/>
        <v>JB1-10</v>
      </c>
      <c r="F25" t="e">
        <f t="shared" si="1"/>
        <v>#VALUE!</v>
      </c>
      <c r="G25" s="76" t="e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#VALUE!</v>
      </c>
      <c r="H25" s="171" t="e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#VALUE!</v>
      </c>
      <c r="I25" s="171" t="e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#VALUE!</v>
      </c>
      <c r="J25" s="76" t="e">
        <f t="shared" si="2"/>
        <v>#VALUE!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71" t="str">
        <f t="shared" si="0"/>
        <v>JB1-10</v>
      </c>
      <c r="F26" t="e">
        <f t="shared" si="1"/>
        <v>#VALUE!</v>
      </c>
      <c r="G26" s="76" t="e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#VALUE!</v>
      </c>
      <c r="H26" s="171" t="e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#VALUE!</v>
      </c>
      <c r="I26" s="171" t="e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#VALUE!</v>
      </c>
      <c r="J26" s="76" t="e">
        <f t="shared" si="2"/>
        <v>#VALUE!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71" t="str">
        <f t="shared" si="0"/>
        <v>JB1-10</v>
      </c>
      <c r="F27" t="e">
        <f t="shared" si="1"/>
        <v>#VALUE!</v>
      </c>
      <c r="G27" s="76" t="e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#VALUE!</v>
      </c>
      <c r="H27" s="171" t="e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#VALUE!</v>
      </c>
      <c r="I27" s="171" t="e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#VALUE!</v>
      </c>
      <c r="J27" s="76" t="e">
        <f t="shared" si="2"/>
        <v>#VALUE!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71" t="str">
        <f t="shared" si="0"/>
        <v>JB1-10</v>
      </c>
      <c r="F28" t="e">
        <f t="shared" ref="F28" si="4">IF(I28&lt;&gt;0,"Halm",IF(B28&lt;&gt;"Permanent græs",B28,"Græs"))</f>
        <v>#VALUE!</v>
      </c>
      <c r="G28" s="76" t="e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#VALUE!</v>
      </c>
      <c r="H28" s="171" t="e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#VALUE!</v>
      </c>
      <c r="I28" s="171" t="e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#VALUE!</v>
      </c>
      <c r="J28" s="76" t="e">
        <f t="shared" ref="J28" si="5">IF(I28&lt;&gt;0,I28,H28)</f>
        <v>#VALUE!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71" t="str">
        <f t="shared" si="0"/>
        <v>JB1-10</v>
      </c>
      <c r="F29" t="e">
        <f t="shared" si="1"/>
        <v>#VALUE!</v>
      </c>
      <c r="G29" s="76" t="e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#VALUE!</v>
      </c>
      <c r="H29" s="171" t="e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#VALUE!</v>
      </c>
      <c r="I29" s="171" t="e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#VALUE!</v>
      </c>
      <c r="J29" s="76" t="e">
        <f t="shared" si="2"/>
        <v>#VALUE!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71" t="str">
        <f t="shared" si="0"/>
        <v>JB1-10</v>
      </c>
      <c r="F30" t="e">
        <f t="shared" si="1"/>
        <v>#VALUE!</v>
      </c>
      <c r="G30" s="76" t="e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#VALUE!</v>
      </c>
      <c r="H30" s="171" t="e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#VALUE!</v>
      </c>
      <c r="I30" s="171" t="e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#VALUE!</v>
      </c>
      <c r="J30" s="76" t="e">
        <f t="shared" si="2"/>
        <v>#VALUE!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71" t="str">
        <f t="shared" si="0"/>
        <v>JB1-10</v>
      </c>
      <c r="F31" t="e">
        <f t="shared" si="1"/>
        <v>#VALUE!</v>
      </c>
      <c r="G31" s="76" t="e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#VALUE!</v>
      </c>
      <c r="H31" s="171" t="e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#VALUE!</v>
      </c>
      <c r="I31" s="171" t="e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#VALUE!</v>
      </c>
      <c r="J31" s="76" t="e">
        <f t="shared" si="2"/>
        <v>#VALUE!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71" t="str">
        <f t="shared" si="0"/>
        <v>JB1-10</v>
      </c>
      <c r="F32" t="e">
        <f t="shared" si="1"/>
        <v>#VALUE!</v>
      </c>
      <c r="G32" s="76" t="e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#VALUE!</v>
      </c>
      <c r="H32" s="171" t="e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#VALUE!</v>
      </c>
      <c r="I32" s="171" t="e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#VALUE!</v>
      </c>
      <c r="J32" s="76" t="e">
        <f t="shared" si="2"/>
        <v>#VALUE!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71" t="str">
        <f t="shared" si="0"/>
        <v>JB1-10</v>
      </c>
      <c r="F33" t="e">
        <f t="shared" si="1"/>
        <v>#VALUE!</v>
      </c>
      <c r="G33" s="76" t="e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#VALUE!</v>
      </c>
      <c r="H33" s="171" t="e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#VALUE!</v>
      </c>
      <c r="I33" s="171" t="e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#VALUE!</v>
      </c>
      <c r="J33" s="76" t="e">
        <f t="shared" si="2"/>
        <v>#VALUE!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71" t="str">
        <f t="shared" ref="E34:E65" si="6">Jordbund1</f>
        <v>JB1-10</v>
      </c>
      <c r="F34" t="e">
        <f t="shared" si="1"/>
        <v>#VALUE!</v>
      </c>
      <c r="G34" s="76" t="e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#VALUE!</v>
      </c>
      <c r="H34" s="171" t="e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#VALUE!</v>
      </c>
      <c r="I34" s="171" t="e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#VALUE!</v>
      </c>
      <c r="J34" s="76" t="e">
        <f t="shared" si="2"/>
        <v>#VALUE!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71" t="str">
        <f t="shared" si="6"/>
        <v>JB1-10</v>
      </c>
      <c r="F35" t="e">
        <f t="shared" si="1"/>
        <v>#VALUE!</v>
      </c>
      <c r="G35" s="76" t="e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#VALUE!</v>
      </c>
      <c r="H35" s="171" t="e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#VALUE!</v>
      </c>
      <c r="I35" s="171" t="e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#VALUE!</v>
      </c>
      <c r="J35" s="76" t="e">
        <f t="shared" si="2"/>
        <v>#VALUE!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71" t="str">
        <f t="shared" si="6"/>
        <v>JB1-10</v>
      </c>
      <c r="F36" t="e">
        <f t="shared" si="1"/>
        <v>#VALUE!</v>
      </c>
      <c r="G36" s="76" t="e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#VALUE!</v>
      </c>
      <c r="H36" s="171" t="e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#VALUE!</v>
      </c>
      <c r="I36" s="171" t="e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#VALUE!</v>
      </c>
      <c r="J36" s="76" t="e">
        <f t="shared" si="2"/>
        <v>#VALUE!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71" t="str">
        <f t="shared" si="6"/>
        <v>JB1-10</v>
      </c>
      <c r="F37" t="e">
        <f t="shared" si="1"/>
        <v>#VALUE!</v>
      </c>
      <c r="G37" s="76" t="e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#VALUE!</v>
      </c>
      <c r="H37" s="171" t="e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#VALUE!</v>
      </c>
      <c r="I37" s="171" t="e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#VALUE!</v>
      </c>
      <c r="J37" s="76" t="e">
        <f t="shared" si="2"/>
        <v>#VALUE!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71" t="str">
        <f t="shared" si="6"/>
        <v>JB1-10</v>
      </c>
      <c r="F38" t="e">
        <f t="shared" si="1"/>
        <v>#VALUE!</v>
      </c>
      <c r="G38" s="76" t="e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#VALUE!</v>
      </c>
      <c r="H38" s="171" t="e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#VALUE!</v>
      </c>
      <c r="I38" s="171" t="e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#VALUE!</v>
      </c>
      <c r="J38" s="76" t="e">
        <f t="shared" si="2"/>
        <v>#VALUE!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71" t="str">
        <f t="shared" si="6"/>
        <v>JB1-10</v>
      </c>
      <c r="F39" t="e">
        <f t="shared" si="1"/>
        <v>#VALUE!</v>
      </c>
      <c r="G39" s="76" t="e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#VALUE!</v>
      </c>
      <c r="H39" s="171" t="e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#VALUE!</v>
      </c>
      <c r="I39" s="171" t="e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#VALUE!</v>
      </c>
      <c r="J39" s="76" t="e">
        <f t="shared" si="2"/>
        <v>#VALUE!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71" t="str">
        <f t="shared" si="6"/>
        <v>JB1-10</v>
      </c>
      <c r="F40" t="e">
        <f t="shared" si="1"/>
        <v>#VALUE!</v>
      </c>
      <c r="G40" s="76" t="e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#VALUE!</v>
      </c>
      <c r="H40" s="171" t="e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#VALUE!</v>
      </c>
      <c r="I40" s="171" t="e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#VALUE!</v>
      </c>
      <c r="J40" s="76" t="e">
        <f t="shared" si="2"/>
        <v>#VALUE!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71" t="str">
        <f t="shared" si="6"/>
        <v>JB1-10</v>
      </c>
      <c r="F41" t="e">
        <f t="shared" si="1"/>
        <v>#VALUE!</v>
      </c>
      <c r="G41" s="76" t="e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#VALUE!</v>
      </c>
      <c r="H41" s="171" t="e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#VALUE!</v>
      </c>
      <c r="I41" s="171" t="e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#VALUE!</v>
      </c>
      <c r="J41" s="76" t="e">
        <f t="shared" si="2"/>
        <v>#VALUE!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71" t="str">
        <f t="shared" si="6"/>
        <v>JB1-10</v>
      </c>
      <c r="F42" t="e">
        <f t="shared" ref="F42" si="7">IF(I42&lt;&gt;0,"Halm",IF(B42&lt;&gt;"Permanent græs",B42,"Græs"))</f>
        <v>#VALUE!</v>
      </c>
      <c r="G42" s="76" t="e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#VALUE!</v>
      </c>
      <c r="H42" s="171" t="e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#VALUE!</v>
      </c>
      <c r="I42" s="171" t="e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#VALUE!</v>
      </c>
      <c r="J42" s="76" t="e">
        <f t="shared" ref="J42" si="8">IF(I42&lt;&gt;0,I42,H42)</f>
        <v>#VALUE!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71" t="str">
        <f t="shared" si="6"/>
        <v>JB1-10</v>
      </c>
      <c r="F43" t="e">
        <f t="shared" si="1"/>
        <v>#VALUE!</v>
      </c>
      <c r="G43" s="76" t="e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#VALUE!</v>
      </c>
      <c r="H43" s="171" t="e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#VALUE!</v>
      </c>
      <c r="I43" s="171" t="e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#VALUE!</v>
      </c>
      <c r="J43" s="76" t="e">
        <f t="shared" si="2"/>
        <v>#VALUE!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71" t="str">
        <f t="shared" si="6"/>
        <v>JB1-10</v>
      </c>
      <c r="F44" t="e">
        <f t="shared" si="1"/>
        <v>#VALUE!</v>
      </c>
      <c r="G44" s="76" t="e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#VALUE!</v>
      </c>
      <c r="H44" s="171" t="e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#VALUE!</v>
      </c>
      <c r="I44" s="171" t="e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#VALUE!</v>
      </c>
      <c r="J44" s="76" t="e">
        <f t="shared" si="2"/>
        <v>#VALUE!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71" t="str">
        <f t="shared" si="6"/>
        <v>JB1-10</v>
      </c>
      <c r="F45" t="e">
        <f t="shared" si="1"/>
        <v>#VALUE!</v>
      </c>
      <c r="G45" s="76" t="e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#VALUE!</v>
      </c>
      <c r="H45" s="171" t="e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#VALUE!</v>
      </c>
      <c r="I45" s="171" t="e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#VALUE!</v>
      </c>
      <c r="J45" s="76" t="e">
        <f t="shared" si="2"/>
        <v>#VALUE!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71" t="str">
        <f t="shared" si="6"/>
        <v>JB1-10</v>
      </c>
      <c r="F46" t="e">
        <f t="shared" si="1"/>
        <v>#VALUE!</v>
      </c>
      <c r="G46" s="76" t="e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#VALUE!</v>
      </c>
      <c r="H46" s="171" t="e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#VALUE!</v>
      </c>
      <c r="I46" s="171" t="e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#VALUE!</v>
      </c>
      <c r="J46" s="76" t="e">
        <f t="shared" si="2"/>
        <v>#VALUE!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71" t="str">
        <f t="shared" si="6"/>
        <v>JB1-10</v>
      </c>
      <c r="F47" t="e">
        <f t="shared" si="1"/>
        <v>#VALUE!</v>
      </c>
      <c r="G47" s="76" t="e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#VALUE!</v>
      </c>
      <c r="H47" s="171" t="e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#VALUE!</v>
      </c>
      <c r="I47" s="171" t="e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#VALUE!</v>
      </c>
      <c r="J47" s="76" t="e">
        <f t="shared" si="2"/>
        <v>#VALUE!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71" t="str">
        <f t="shared" si="6"/>
        <v>JB1-10</v>
      </c>
      <c r="F48" t="e">
        <f t="shared" si="1"/>
        <v>#VALUE!</v>
      </c>
      <c r="G48" s="76" t="e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#VALUE!</v>
      </c>
      <c r="H48" s="171" t="e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#VALUE!</v>
      </c>
      <c r="I48" s="171" t="e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#VALUE!</v>
      </c>
      <c r="J48" s="76" t="e">
        <f t="shared" si="2"/>
        <v>#VALUE!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71" t="str">
        <f t="shared" si="6"/>
        <v>JB1-10</v>
      </c>
      <c r="F49" t="e">
        <f t="shared" si="1"/>
        <v>#VALUE!</v>
      </c>
      <c r="G49" s="76" t="e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#VALUE!</v>
      </c>
      <c r="H49" s="171" t="e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#VALUE!</v>
      </c>
      <c r="I49" s="171" t="e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#VALUE!</v>
      </c>
      <c r="J49" s="76" t="e">
        <f t="shared" si="2"/>
        <v>#VALUE!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71" t="str">
        <f t="shared" si="6"/>
        <v>JB1-10</v>
      </c>
      <c r="F50" t="e">
        <f t="shared" si="1"/>
        <v>#VALUE!</v>
      </c>
      <c r="G50" s="76" t="e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#VALUE!</v>
      </c>
      <c r="H50" s="171" t="e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#VALUE!</v>
      </c>
      <c r="I50" s="171" t="e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#VALUE!</v>
      </c>
      <c r="J50" s="76" t="e">
        <f t="shared" si="2"/>
        <v>#VALUE!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71" t="str">
        <f t="shared" si="6"/>
        <v>JB1-10</v>
      </c>
      <c r="F51" t="e">
        <f t="shared" si="1"/>
        <v>#VALUE!</v>
      </c>
      <c r="G51" s="76" t="e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#VALUE!</v>
      </c>
      <c r="H51" s="171" t="e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#VALUE!</v>
      </c>
      <c r="I51" s="171" t="e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#VALUE!</v>
      </c>
      <c r="J51" s="76" t="e">
        <f t="shared" si="2"/>
        <v>#VALUE!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71" t="str">
        <f t="shared" si="6"/>
        <v>JB1-10</v>
      </c>
      <c r="F52" t="e">
        <f t="shared" si="1"/>
        <v>#VALUE!</v>
      </c>
      <c r="G52" s="76" t="e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#VALUE!</v>
      </c>
      <c r="H52" s="171" t="e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#VALUE!</v>
      </c>
      <c r="I52" s="171" t="e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#VALUE!</v>
      </c>
      <c r="J52" s="76" t="e">
        <f t="shared" si="2"/>
        <v>#VALUE!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71" t="str">
        <f t="shared" si="6"/>
        <v>JB1-10</v>
      </c>
      <c r="F53" t="e">
        <f t="shared" si="1"/>
        <v>#VALUE!</v>
      </c>
      <c r="G53" s="76" t="e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#VALUE!</v>
      </c>
      <c r="H53" s="171" t="e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#VALUE!</v>
      </c>
      <c r="I53" s="171" t="e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#VALUE!</v>
      </c>
      <c r="J53" s="76" t="e">
        <f t="shared" si="2"/>
        <v>#VALUE!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71" t="str">
        <f t="shared" si="6"/>
        <v>JB1-10</v>
      </c>
      <c r="F54" t="e">
        <f t="shared" si="1"/>
        <v>#VALUE!</v>
      </c>
      <c r="G54" s="76" t="e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#VALUE!</v>
      </c>
      <c r="H54" s="171" t="e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#VALUE!</v>
      </c>
      <c r="I54" s="171" t="e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#VALUE!</v>
      </c>
      <c r="J54" s="76" t="e">
        <f t="shared" si="2"/>
        <v>#VALUE!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71" t="str">
        <f t="shared" si="6"/>
        <v>JB1-10</v>
      </c>
      <c r="F55" t="e">
        <f t="shared" si="1"/>
        <v>#VALUE!</v>
      </c>
      <c r="G55" s="76" t="e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#VALUE!</v>
      </c>
      <c r="H55" s="171" t="e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#VALUE!</v>
      </c>
      <c r="I55" s="171" t="e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#VALUE!</v>
      </c>
      <c r="J55" s="76" t="e">
        <f t="shared" si="2"/>
        <v>#VALUE!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71" t="str">
        <f t="shared" si="6"/>
        <v>JB1-10</v>
      </c>
      <c r="F56" t="e">
        <f t="shared" ref="F56" si="9">IF(I56&lt;&gt;0,"Halm",IF(B56&lt;&gt;"Permanent græs",B56,"Græs"))</f>
        <v>#VALUE!</v>
      </c>
      <c r="G56" s="76" t="e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#VALUE!</v>
      </c>
      <c r="H56" s="171" t="e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#VALUE!</v>
      </c>
      <c r="I56" s="171" t="e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#VALUE!</v>
      </c>
      <c r="J56" s="76" t="e">
        <f t="shared" ref="J56" si="10">IF(I56&lt;&gt;0,I56,H56)</f>
        <v>#VALUE!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71" t="str">
        <f t="shared" si="6"/>
        <v>JB1-10</v>
      </c>
      <c r="F57" t="e">
        <f t="shared" si="1"/>
        <v>#VALUE!</v>
      </c>
      <c r="G57" s="76" t="e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#VALUE!</v>
      </c>
      <c r="H57" s="171" t="e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#VALUE!</v>
      </c>
      <c r="I57" s="171" t="e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#VALUE!</v>
      </c>
      <c r="J57" s="76" t="e">
        <f t="shared" si="2"/>
        <v>#VALUE!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71" t="str">
        <f t="shared" si="6"/>
        <v>JB1-10</v>
      </c>
      <c r="F58" t="e">
        <f t="shared" si="1"/>
        <v>#VALUE!</v>
      </c>
      <c r="G58" s="76" t="e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#VALUE!</v>
      </c>
      <c r="H58" s="171" t="e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#VALUE!</v>
      </c>
      <c r="I58" s="171" t="e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#VALUE!</v>
      </c>
      <c r="J58" s="76" t="e">
        <f t="shared" si="2"/>
        <v>#VALUE!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71" t="str">
        <f t="shared" si="6"/>
        <v>JB1-10</v>
      </c>
      <c r="F59" t="e">
        <f t="shared" si="1"/>
        <v>#VALUE!</v>
      </c>
      <c r="G59" s="76" t="e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#VALUE!</v>
      </c>
      <c r="H59" s="171" t="e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#VALUE!</v>
      </c>
      <c r="I59" s="171" t="e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#VALUE!</v>
      </c>
      <c r="J59" s="76" t="e">
        <f t="shared" si="2"/>
        <v>#VALUE!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71" t="str">
        <f t="shared" si="6"/>
        <v>JB1-10</v>
      </c>
      <c r="F60" t="e">
        <f t="shared" si="1"/>
        <v>#VALUE!</v>
      </c>
      <c r="G60" s="76" t="e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#VALUE!</v>
      </c>
      <c r="H60" s="171" t="e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#VALUE!</v>
      </c>
      <c r="I60" s="171" t="e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#VALUE!</v>
      </c>
      <c r="J60" s="76" t="e">
        <f t="shared" si="2"/>
        <v>#VALUE!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71" t="str">
        <f t="shared" si="6"/>
        <v>JB1-10</v>
      </c>
      <c r="F61" t="e">
        <f t="shared" si="1"/>
        <v>#VALUE!</v>
      </c>
      <c r="G61" s="76" t="e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#VALUE!</v>
      </c>
      <c r="H61" s="171" t="e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#VALUE!</v>
      </c>
      <c r="I61" s="171" t="e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#VALUE!</v>
      </c>
      <c r="J61" s="76" t="e">
        <f t="shared" si="2"/>
        <v>#VALUE!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71" t="str">
        <f t="shared" si="6"/>
        <v>JB1-10</v>
      </c>
      <c r="F62" t="e">
        <f t="shared" si="1"/>
        <v>#VALUE!</v>
      </c>
      <c r="G62" s="76" t="e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#VALUE!</v>
      </c>
      <c r="H62" s="171" t="e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#VALUE!</v>
      </c>
      <c r="I62" s="171" t="e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#VALUE!</v>
      </c>
      <c r="J62" s="76" t="e">
        <f t="shared" si="2"/>
        <v>#VALUE!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71" t="str">
        <f t="shared" si="6"/>
        <v>JB1-10</v>
      </c>
      <c r="F63" t="e">
        <f t="shared" si="1"/>
        <v>#VALUE!</v>
      </c>
      <c r="G63" s="76" t="e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#VALUE!</v>
      </c>
      <c r="H63" s="171" t="e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#VALUE!</v>
      </c>
      <c r="I63" s="171" t="e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#VALUE!</v>
      </c>
      <c r="J63" s="76" t="e">
        <f t="shared" si="2"/>
        <v>#VALUE!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71" t="str">
        <f t="shared" si="6"/>
        <v>JB1-10</v>
      </c>
      <c r="F64" t="e">
        <f t="shared" si="1"/>
        <v>#VALUE!</v>
      </c>
      <c r="G64" s="76" t="e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#VALUE!</v>
      </c>
      <c r="H64" s="171" t="e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#VALUE!</v>
      </c>
      <c r="I64" s="171" t="e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#VALUE!</v>
      </c>
      <c r="J64" s="76" t="e">
        <f t="shared" si="2"/>
        <v>#VALUE!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71" t="str">
        <f t="shared" si="6"/>
        <v>JB1-10</v>
      </c>
      <c r="F65" t="e">
        <f t="shared" si="1"/>
        <v>#VALUE!</v>
      </c>
      <c r="G65" s="76" t="e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#VALUE!</v>
      </c>
      <c r="H65" s="171" t="e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#VALUE!</v>
      </c>
      <c r="I65" s="171" t="e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#VALUE!</v>
      </c>
      <c r="J65" s="76" t="e">
        <f t="shared" si="2"/>
        <v>#VALUE!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71" t="str">
        <f t="shared" ref="E66:E85" si="11">Jordbund1</f>
        <v>JB1-10</v>
      </c>
      <c r="F66" t="e">
        <f t="shared" si="1"/>
        <v>#VALUE!</v>
      </c>
      <c r="G66" s="76" t="e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#VALUE!</v>
      </c>
      <c r="H66" s="171" t="e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#VALUE!</v>
      </c>
      <c r="I66" s="171" t="e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#VALUE!</v>
      </c>
      <c r="J66" s="76" t="e">
        <f t="shared" si="2"/>
        <v>#VALUE!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71" t="str">
        <f t="shared" si="11"/>
        <v>JB1-10</v>
      </c>
      <c r="F67" t="e">
        <f t="shared" si="1"/>
        <v>#VALUE!</v>
      </c>
      <c r="G67" s="76" t="e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#VALUE!</v>
      </c>
      <c r="H67" s="171" t="e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#VALUE!</v>
      </c>
      <c r="I67" s="171" t="e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#VALUE!</v>
      </c>
      <c r="J67" s="76" t="e">
        <f t="shared" si="2"/>
        <v>#VALUE!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71" t="str">
        <f t="shared" si="11"/>
        <v>JB1-10</v>
      </c>
      <c r="F68" t="e">
        <f t="shared" si="1"/>
        <v>#VALUE!</v>
      </c>
      <c r="G68" s="76" t="e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#VALUE!</v>
      </c>
      <c r="H68" s="171" t="e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#VALUE!</v>
      </c>
      <c r="I68" s="171" t="e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#VALUE!</v>
      </c>
      <c r="J68" s="76" t="e">
        <f t="shared" si="2"/>
        <v>#VALUE!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71" t="str">
        <f t="shared" si="11"/>
        <v>JB1-10</v>
      </c>
      <c r="F69" t="e">
        <f t="shared" si="1"/>
        <v>#VALUE!</v>
      </c>
      <c r="G69" s="76" t="e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#VALUE!</v>
      </c>
      <c r="H69" s="171" t="e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#VALUE!</v>
      </c>
      <c r="I69" s="171" t="e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#VALUE!</v>
      </c>
      <c r="J69" s="76" t="e">
        <f t="shared" si="2"/>
        <v>#VALUE!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71" t="str">
        <f t="shared" si="11"/>
        <v>JB1-10</v>
      </c>
      <c r="F70" t="e">
        <f t="shared" ref="F70" si="12">IF(I70&lt;&gt;0,"Halm",IF(B70&lt;&gt;"Permanent græs",B70,"Græs"))</f>
        <v>#VALUE!</v>
      </c>
      <c r="G70" s="76" t="e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#VALUE!</v>
      </c>
      <c r="H70" s="171" t="e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#VALUE!</v>
      </c>
      <c r="I70" s="171" t="e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#VALUE!</v>
      </c>
      <c r="J70" s="76" t="e">
        <f t="shared" ref="J70" si="13">IF(I70&lt;&gt;0,I70,H70)</f>
        <v>#VALUE!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71" t="str">
        <f t="shared" si="11"/>
        <v>JB1-10</v>
      </c>
      <c r="F71" t="e">
        <f t="shared" si="1"/>
        <v>#VALUE!</v>
      </c>
      <c r="G71" s="76" t="e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#VALUE!</v>
      </c>
      <c r="H71" s="171" t="e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#VALUE!</v>
      </c>
      <c r="I71" s="171" t="e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#VALUE!</v>
      </c>
      <c r="J71" s="76" t="e">
        <f t="shared" si="2"/>
        <v>#VALUE!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71" t="str">
        <f t="shared" si="11"/>
        <v>JB1-10</v>
      </c>
      <c r="F72" t="e">
        <f t="shared" ref="F72:F139" si="14">IF(I72&lt;&gt;0,"Halm",IF(B72&lt;&gt;"Permanent græs",B72,"Græs"))</f>
        <v>#VALUE!</v>
      </c>
      <c r="G72" s="76" t="e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#VALUE!</v>
      </c>
      <c r="H72" s="171" t="e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#VALUE!</v>
      </c>
      <c r="I72" s="171" t="e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#VALUE!</v>
      </c>
      <c r="J72" s="76" t="e">
        <f t="shared" ref="J72:J139" si="15">IF(I72&lt;&gt;0,I72,H72)</f>
        <v>#VALUE!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71" t="str">
        <f t="shared" si="11"/>
        <v>JB1-10</v>
      </c>
      <c r="F73" t="e">
        <f t="shared" si="14"/>
        <v>#VALUE!</v>
      </c>
      <c r="G73" s="76" t="e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#VALUE!</v>
      </c>
      <c r="H73" s="171" t="e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#VALUE!</v>
      </c>
      <c r="I73" s="171" t="e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#VALUE!</v>
      </c>
      <c r="J73" s="76" t="e">
        <f t="shared" si="15"/>
        <v>#VALUE!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71" t="str">
        <f t="shared" si="11"/>
        <v>JB1-10</v>
      </c>
      <c r="F74" t="e">
        <f t="shared" si="14"/>
        <v>#VALUE!</v>
      </c>
      <c r="G74" s="76" t="e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#VALUE!</v>
      </c>
      <c r="H74" s="171" t="e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#VALUE!</v>
      </c>
      <c r="I74" s="171" t="e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#VALUE!</v>
      </c>
      <c r="J74" s="76" t="e">
        <f t="shared" si="15"/>
        <v>#VALUE!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71" t="str">
        <f t="shared" si="11"/>
        <v>JB1-10</v>
      </c>
      <c r="F75" t="e">
        <f t="shared" si="14"/>
        <v>#VALUE!</v>
      </c>
      <c r="G75" s="76" t="e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#VALUE!</v>
      </c>
      <c r="H75" s="171" t="e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#VALUE!</v>
      </c>
      <c r="I75" s="171" t="e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#VALUE!</v>
      </c>
      <c r="J75" s="76" t="e">
        <f t="shared" si="15"/>
        <v>#VALUE!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71" t="str">
        <f t="shared" si="11"/>
        <v>JB1-10</v>
      </c>
      <c r="F76" t="e">
        <f t="shared" si="14"/>
        <v>#VALUE!</v>
      </c>
      <c r="G76" s="76" t="e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#VALUE!</v>
      </c>
      <c r="H76" s="171" t="e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#VALUE!</v>
      </c>
      <c r="I76" s="171" t="e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#VALUE!</v>
      </c>
      <c r="J76" s="76" t="e">
        <f t="shared" si="15"/>
        <v>#VALUE!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71" t="str">
        <f t="shared" si="11"/>
        <v>JB1-10</v>
      </c>
      <c r="F77" t="e">
        <f t="shared" si="14"/>
        <v>#VALUE!</v>
      </c>
      <c r="G77" s="76" t="e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#VALUE!</v>
      </c>
      <c r="H77" s="171" t="e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#VALUE!</v>
      </c>
      <c r="I77" s="171" t="e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#VALUE!</v>
      </c>
      <c r="J77" s="76" t="e">
        <f t="shared" si="15"/>
        <v>#VALUE!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71" t="str">
        <f t="shared" si="11"/>
        <v>JB1-10</v>
      </c>
      <c r="F78" t="e">
        <f t="shared" si="14"/>
        <v>#VALUE!</v>
      </c>
      <c r="G78" s="76" t="e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#VALUE!</v>
      </c>
      <c r="H78" s="171" t="e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#VALUE!</v>
      </c>
      <c r="I78" s="171" t="e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#VALUE!</v>
      </c>
      <c r="J78" s="76" t="e">
        <f t="shared" si="15"/>
        <v>#VALUE!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71" t="str">
        <f t="shared" si="11"/>
        <v>JB1-10</v>
      </c>
      <c r="F79" t="e">
        <f t="shared" si="14"/>
        <v>#VALUE!</v>
      </c>
      <c r="G79" s="76" t="e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#VALUE!</v>
      </c>
      <c r="H79" s="171" t="e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#VALUE!</v>
      </c>
      <c r="I79" s="171" t="e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#VALUE!</v>
      </c>
      <c r="J79" s="76" t="e">
        <f t="shared" si="15"/>
        <v>#VALUE!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71" t="str">
        <f t="shared" si="11"/>
        <v>JB1-10</v>
      </c>
      <c r="F80" t="e">
        <f t="shared" si="14"/>
        <v>#VALUE!</v>
      </c>
      <c r="G80" s="76" t="e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#VALUE!</v>
      </c>
      <c r="H80" s="171" t="e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#VALUE!</v>
      </c>
      <c r="I80" s="171" t="e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#VALUE!</v>
      </c>
      <c r="J80" s="76" t="e">
        <f t="shared" si="15"/>
        <v>#VALUE!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71" t="str">
        <f t="shared" si="11"/>
        <v>JB1-10</v>
      </c>
      <c r="F81" t="e">
        <f t="shared" si="14"/>
        <v>#VALUE!</v>
      </c>
      <c r="G81" s="76" t="e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#VALUE!</v>
      </c>
      <c r="H81" s="171" t="e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#VALUE!</v>
      </c>
      <c r="I81" s="171" t="e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#VALUE!</v>
      </c>
      <c r="J81" s="76" t="e">
        <f t="shared" si="15"/>
        <v>#VALUE!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71" t="str">
        <f t="shared" si="11"/>
        <v>JB1-10</v>
      </c>
      <c r="F82" t="e">
        <f t="shared" si="14"/>
        <v>#VALUE!</v>
      </c>
      <c r="G82" s="76" t="e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#VALUE!</v>
      </c>
      <c r="H82" s="171" t="e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#VALUE!</v>
      </c>
      <c r="I82" s="171" t="e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#VALUE!</v>
      </c>
      <c r="J82" s="76" t="e">
        <f t="shared" si="15"/>
        <v>#VALUE!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71" t="str">
        <f t="shared" si="11"/>
        <v>JB1-10</v>
      </c>
      <c r="F83" t="e">
        <f t="shared" si="14"/>
        <v>#VALUE!</v>
      </c>
      <c r="G83" s="76" t="e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#VALUE!</v>
      </c>
      <c r="H83" s="171" t="e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#VALUE!</v>
      </c>
      <c r="I83" s="171" t="e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#VALUE!</v>
      </c>
      <c r="J83" s="76" t="e">
        <f t="shared" si="15"/>
        <v>#VALUE!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71" t="str">
        <f t="shared" si="11"/>
        <v>JB1-10</v>
      </c>
      <c r="F84" t="e">
        <f t="shared" ref="F84" si="16">IF(I84&lt;&gt;0,"Halm",IF(B84&lt;&gt;"Permanent græs",B84,"Græs"))</f>
        <v>#VALUE!</v>
      </c>
      <c r="G84" s="76" t="e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#VALUE!</v>
      </c>
      <c r="H84" s="171" t="e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#VALUE!</v>
      </c>
      <c r="I84" s="171" t="e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#VALUE!</v>
      </c>
      <c r="J84" s="76" t="e">
        <f t="shared" ref="J84" si="17">IF(I84&lt;&gt;0,I84,H84)</f>
        <v>#VALUE!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71" t="str">
        <f t="shared" si="11"/>
        <v>JB1-10</v>
      </c>
      <c r="F85" t="e">
        <f t="shared" si="14"/>
        <v>#VALUE!</v>
      </c>
      <c r="G85" s="76" t="e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#VALUE!</v>
      </c>
      <c r="H85" s="171" t="e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#VALUE!</v>
      </c>
      <c r="I85" s="171" t="e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#VALUE!</v>
      </c>
      <c r="J85" s="76" t="e">
        <f t="shared" si="15"/>
        <v>#VALUE!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71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71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71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71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71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71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71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71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71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71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71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71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71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71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71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71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71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71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71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71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71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71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71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71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71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71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71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71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71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71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71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71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71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71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71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71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71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71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71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71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71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71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71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12397.451002927566</v>
      </c>
      <c r="H100" s="171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104287.35783662667</v>
      </c>
      <c r="I100" s="171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49039.265886152367</v>
      </c>
      <c r="J100" s="76">
        <f t="shared" si="15"/>
        <v>49039.265886152367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71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1062.761606425149</v>
      </c>
      <c r="H101" s="171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4922.7117609612906</v>
      </c>
      <c r="I101" s="171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2105.4696357053253</v>
      </c>
      <c r="J101" s="76">
        <f t="shared" si="15"/>
        <v>2105.4696357053253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71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1137.9870596805204</v>
      </c>
      <c r="H102" s="171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6008.5716751131476</v>
      </c>
      <c r="I102" s="171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4623.4201532780708</v>
      </c>
      <c r="J102" s="76">
        <f t="shared" si="15"/>
        <v>4623.4201532780708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71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10501.746271795293</v>
      </c>
      <c r="H103" s="171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625315.98000777897</v>
      </c>
      <c r="I103" s="171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625315.98000777897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71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49.117062325833871</v>
      </c>
      <c r="H104" s="171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1223.0148519132633</v>
      </c>
      <c r="I104" s="171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1223.0148519132633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71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775.43110733760068</v>
      </c>
      <c r="H105" s="171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39519.907927612192</v>
      </c>
      <c r="I105" s="171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39519.907927612192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71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20.343682789424093</v>
      </c>
      <c r="H106" s="171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1983.6001630858166</v>
      </c>
      <c r="I106" s="171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1983.6001630858166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71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2626.0637331851003</v>
      </c>
      <c r="H107" s="171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140263.31611688258</v>
      </c>
      <c r="I107" s="171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140263.31611688258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71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44.737253203575285</v>
      </c>
      <c r="H108" s="171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455.78313563802504</v>
      </c>
      <c r="I108" s="171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455.78313563802504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71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791.21864877871178</v>
      </c>
      <c r="H109" s="171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28290.127393960796</v>
      </c>
      <c r="I109" s="171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28290.127393960796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71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1952.9609549061931</v>
      </c>
      <c r="H110" s="171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33486.704584058869</v>
      </c>
      <c r="I110" s="171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8014.6470970260507</v>
      </c>
      <c r="J110" s="76">
        <f t="shared" si="15"/>
        <v>8014.6470970260507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71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224.38166373606674</v>
      </c>
      <c r="H111" s="171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13462.899824164006</v>
      </c>
      <c r="I111" s="171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13462.899824164006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71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368.51743073956908</v>
      </c>
      <c r="H112" s="171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10785.876021645925</v>
      </c>
      <c r="I112" s="171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10785.876021645925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71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40667.094971784412</v>
      </c>
      <c r="H113" s="171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672959.08759308851</v>
      </c>
      <c r="I113" s="171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672959.08759308851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71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11824.158471000279</v>
      </c>
      <c r="H114" s="171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99464.821058054338</v>
      </c>
      <c r="I114" s="171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46771.554168873641</v>
      </c>
      <c r="J114" s="76">
        <f t="shared" si="15"/>
        <v>46771.554168873641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71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1013.616561041327</v>
      </c>
      <c r="H115" s="171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4695.0719107434261</v>
      </c>
      <c r="I115" s="171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2008.1068779848476</v>
      </c>
      <c r="J115" s="76">
        <f t="shared" si="15"/>
        <v>2008.1068779848476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71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1085.3633806201497</v>
      </c>
      <c r="H116" s="171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5730.7186496743898</v>
      </c>
      <c r="I116" s="171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4409.6203774039413</v>
      </c>
      <c r="J116" s="76">
        <f t="shared" si="15"/>
        <v>4409.6203774039413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71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10016.116386394353</v>
      </c>
      <c r="H117" s="171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596399.6341114653</v>
      </c>
      <c r="I117" s="171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596399.6341114653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71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46.845753085332873</v>
      </c>
      <c r="H118" s="171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1166.4592518247885</v>
      </c>
      <c r="I118" s="171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1166.4592518247885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71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739.57302144915673</v>
      </c>
      <c r="H119" s="171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37692.397734427817</v>
      </c>
      <c r="I119" s="171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37692.397734427817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71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19.402934452340897</v>
      </c>
      <c r="H120" s="171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1891.8729879142179</v>
      </c>
      <c r="I120" s="171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1891.8729879142179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71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2504.6272599742283</v>
      </c>
      <c r="H121" s="171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133777.15120974349</v>
      </c>
      <c r="I121" s="171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133777.15120974349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71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42.668478488959082</v>
      </c>
      <c r="H122" s="171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434.70645884551516</v>
      </c>
      <c r="I122" s="171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434.70645884551516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71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754.6305031704477</v>
      </c>
      <c r="H123" s="171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26981.913410425037</v>
      </c>
      <c r="I123" s="171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26981.913410425037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71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1862.6506217313402</v>
      </c>
      <c r="H124" s="171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31938.18645300412</v>
      </c>
      <c r="I124" s="171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7644.0275780884303</v>
      </c>
      <c r="J124" s="76">
        <f t="shared" si="15"/>
        <v>7644.0275780884303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71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214.00563304306942</v>
      </c>
      <c r="H125" s="171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12840.337982584166</v>
      </c>
      <c r="I125" s="171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12840.337982584166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71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351.476162266063</v>
      </c>
      <c r="H126" s="171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10287.107188275015</v>
      </c>
      <c r="I126" s="171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10287.107188275015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71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38786.535666730793</v>
      </c>
      <c r="H127" s="171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641839.59221306117</v>
      </c>
      <c r="I127" s="171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641839.59221306117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71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71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71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71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71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71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71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71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71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71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71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71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71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71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71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71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71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71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71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71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71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71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71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71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71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71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71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71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71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71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71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71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71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71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71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71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71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71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71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71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71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71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71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1934.8622952545911</v>
      </c>
      <c r="H142" s="171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10904.961290546686</v>
      </c>
      <c r="I142" s="171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5127.863120696511</v>
      </c>
      <c r="J142" s="76">
        <f t="shared" si="29"/>
        <v>5127.863120696511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71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165.86452817039898</v>
      </c>
      <c r="H143" s="171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437.9221618566142</v>
      </c>
      <c r="I143" s="171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187.30160516476849</v>
      </c>
      <c r="J143" s="76">
        <f t="shared" si="29"/>
        <v>187.30160516476849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71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177.60491682875178</v>
      </c>
      <c r="H144" s="171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515.76467847069523</v>
      </c>
      <c r="I144" s="171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396.86583396635473</v>
      </c>
      <c r="J144" s="76">
        <f t="shared" si="29"/>
        <v>396.86583396635473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71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1639.0008632281672</v>
      </c>
      <c r="H145" s="171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76122.280572045231</v>
      </c>
      <c r="I145" s="171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76122.280572045231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71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7.6656686866908359</v>
      </c>
      <c r="H146" s="171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108.79883567020302</v>
      </c>
      <c r="I146" s="171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108.79883567020302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71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121.0210398734984</v>
      </c>
      <c r="H147" s="171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3515.6727341384499</v>
      </c>
      <c r="I147" s="171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3515.6727341384499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71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3.1750256376557835</v>
      </c>
      <c r="H148" s="171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176.46015323636252</v>
      </c>
      <c r="I148" s="171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176.46015323636252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71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409.84809708669195</v>
      </c>
      <c r="H149" s="171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18169.369446123346</v>
      </c>
      <c r="I149" s="171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18169.369446123346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71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6.9821146618296694</v>
      </c>
      <c r="H150" s="171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40.54625697959078</v>
      </c>
      <c r="I150" s="171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40.54625697959078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71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123.48499142789146</v>
      </c>
      <c r="H151" s="171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2516.6766508269175</v>
      </c>
      <c r="I151" s="171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2516.6766508269175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71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304.79737446512843</v>
      </c>
      <c r="H152" s="171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2978.9617546165664</v>
      </c>
      <c r="I152" s="171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712.97929955624829</v>
      </c>
      <c r="J152" s="76">
        <f t="shared" si="29"/>
        <v>712.97929955624829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71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35.01910358886591</v>
      </c>
      <c r="H153" s="171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1197.6533427392139</v>
      </c>
      <c r="I153" s="171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1197.6533427392139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71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57.514281098083039</v>
      </c>
      <c r="H154" s="171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959.50654319728767</v>
      </c>
      <c r="I154" s="171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959.50654319728767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71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6346.8876545559488</v>
      </c>
      <c r="H155" s="171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105028.29690759185</v>
      </c>
      <c r="I155" s="171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105028.29690759185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71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2508.1548271818774</v>
      </c>
      <c r="H156" s="171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14136.060932190147</v>
      </c>
      <c r="I156" s="171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6647.2299712732556</v>
      </c>
      <c r="J156" s="76">
        <f t="shared" si="29"/>
        <v>6647.2299712732556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71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215.00957355422085</v>
      </c>
      <c r="H157" s="171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567.67687648079607</v>
      </c>
      <c r="I157" s="171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242.79837706544063</v>
      </c>
      <c r="J157" s="76">
        <f t="shared" si="29"/>
        <v>242.79837706544063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71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230.22859588912263</v>
      </c>
      <c r="H158" s="171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668.58384246201217</v>
      </c>
      <c r="I158" s="171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514.45571069712639</v>
      </c>
      <c r="J158" s="76">
        <f t="shared" si="29"/>
        <v>514.45571069712639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71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2124.6307486291057</v>
      </c>
      <c r="H159" s="171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98677.030371169749</v>
      </c>
      <c r="I159" s="171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98677.030371169749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71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9.9369779271918226</v>
      </c>
      <c r="H160" s="171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141.03552772063352</v>
      </c>
      <c r="I160" s="171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141.03552772063352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71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156.87912576194233</v>
      </c>
      <c r="H161" s="171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4557.3535442535449</v>
      </c>
      <c r="I161" s="171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4557.3535442535449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71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4.1157739747389783</v>
      </c>
      <c r="H162" s="171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228.74464308417362</v>
      </c>
      <c r="I162" s="171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228.74464308417362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71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531.28457029756362</v>
      </c>
      <c r="H163" s="171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23552.886319048779</v>
      </c>
      <c r="I163" s="171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23552.886319048779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71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9.0508893764458662</v>
      </c>
      <c r="H164" s="171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52.559962751321372</v>
      </c>
      <c r="I164" s="171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52.559962751321372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71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160.07313703615557</v>
      </c>
      <c r="H165" s="171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3262.3586214422994</v>
      </c>
      <c r="I165" s="171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3262.3586214422994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71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395.1077076399813</v>
      </c>
      <c r="H166" s="171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3861.6170893177714</v>
      </c>
      <c r="I166" s="171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924.2324253506921</v>
      </c>
      <c r="J166" s="76">
        <f t="shared" si="29"/>
        <v>924.2324253506921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71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45.395134281863214</v>
      </c>
      <c r="H167" s="171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1552.5135924397218</v>
      </c>
      <c r="I167" s="171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1552.5135924397218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71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74.555549571589111</v>
      </c>
      <c r="H168" s="171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1243.8047782187059</v>
      </c>
      <c r="I168" s="171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1243.8047782187059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71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8227.4469596095623</v>
      </c>
      <c r="H169" s="171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136147.79228761903</v>
      </c>
      <c r="I169" s="171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136147.79228761903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71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71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71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71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71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71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71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71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71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71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71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71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71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71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71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71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71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71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71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71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71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71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71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71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71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71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71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71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71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71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71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71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71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71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71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71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71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71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71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71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71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71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71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6829.6764788402734</v>
      </c>
      <c r="H184" s="171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67026.444963338436</v>
      </c>
      <c r="I184" s="171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31517.987646306185</v>
      </c>
      <c r="J184" s="76">
        <f t="shared" si="29"/>
        <v>31517.987646306185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71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393.24746020858441</v>
      </c>
      <c r="H185" s="171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2125.1092749671902</v>
      </c>
      <c r="I185" s="171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908.9203813398658</v>
      </c>
      <c r="J185" s="76">
        <f t="shared" si="29"/>
        <v>908.9203813398658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71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509.2376538265151</v>
      </c>
      <c r="H186" s="171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3136.903947571333</v>
      </c>
      <c r="I186" s="171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2413.7558332156746</v>
      </c>
      <c r="J186" s="76">
        <f t="shared" si="29"/>
        <v>2413.7558332156746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71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11744.627821749295</v>
      </c>
      <c r="H187" s="171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815875.80552127992</v>
      </c>
      <c r="I187" s="171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815875.80552127992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71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13.650927813648</v>
      </c>
      <c r="H188" s="171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396.55945298647441</v>
      </c>
      <c r="I188" s="171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396.55945298647441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71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722.54761223276046</v>
      </c>
      <c r="H189" s="171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42962.145802906423</v>
      </c>
      <c r="I189" s="171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42962.145802906423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71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7.81367517821608</v>
      </c>
      <c r="H190" s="171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888.84636922823381</v>
      </c>
      <c r="I190" s="171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888.84636922823381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71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971.70700105983565</v>
      </c>
      <c r="H191" s="171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60550.950064042598</v>
      </c>
      <c r="I191" s="171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60550.950064042598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71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27.846169827307591</v>
      </c>
      <c r="H192" s="171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330.97957456737799</v>
      </c>
      <c r="I192" s="171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330.97957456737799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71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492.48461375505457</v>
      </c>
      <c r="H193" s="171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20543.661222135182</v>
      </c>
      <c r="I193" s="171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20543.661222135182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71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1566.9213854799195</v>
      </c>
      <c r="H194" s="171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31345.33009747367</v>
      </c>
      <c r="I194" s="171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7502.1344139856974</v>
      </c>
      <c r="J194" s="76">
        <f t="shared" si="29"/>
        <v>7502.1344139856974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71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139.66369115457903</v>
      </c>
      <c r="H195" s="171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9776.4583808205316</v>
      </c>
      <c r="I195" s="171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9776.4583808205316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71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329.67947330545348</v>
      </c>
      <c r="H196" s="171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11257.347868966703</v>
      </c>
      <c r="I196" s="171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11257.347868966703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71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31481.370371455621</v>
      </c>
      <c r="H197" s="171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607779.3363913222</v>
      </c>
      <c r="I197" s="171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607779.3363913222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71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6513.8532890673114</v>
      </c>
      <c r="H198" s="171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63926.956178906585</v>
      </c>
      <c r="I198" s="171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30060.508448789125</v>
      </c>
      <c r="J198" s="76">
        <f t="shared" si="29"/>
        <v>30060.508448789125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71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375.06260655732041</v>
      </c>
      <c r="H199" s="171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2026.8383258357594</v>
      </c>
      <c r="I199" s="171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866.88938104669273</v>
      </c>
      <c r="J199" s="76">
        <f t="shared" si="29"/>
        <v>866.88938104669273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71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485.68909179985542</v>
      </c>
      <c r="H200" s="171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2991.8448054871092</v>
      </c>
      <c r="I200" s="171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2302.1370663617704</v>
      </c>
      <c r="J200" s="76">
        <f t="shared" si="29"/>
        <v>2302.1370663617704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71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11201.523645021003</v>
      </c>
      <c r="H201" s="171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778147.44457231904</v>
      </c>
      <c r="I201" s="171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778147.44457231904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71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13.019671036138266</v>
      </c>
      <c r="H202" s="171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378.22144359981667</v>
      </c>
      <c r="I202" s="171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378.22144359981667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71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689.13500588673674</v>
      </c>
      <c r="H203" s="171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40975.456979650633</v>
      </c>
      <c r="I203" s="171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40975.456979650633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71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7.4523491584141794</v>
      </c>
      <c r="H204" s="171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847.7436469517836</v>
      </c>
      <c r="I204" s="171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847.7436469517836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71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926.7725732651611</v>
      </c>
      <c r="H205" s="171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57750.906130445248</v>
      </c>
      <c r="I205" s="171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57750.906130445248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71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26.558485673443656</v>
      </c>
      <c r="H206" s="171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315.67416071455131</v>
      </c>
      <c r="I206" s="171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315.67416071455131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71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469.71075878372255</v>
      </c>
      <c r="H207" s="171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19593.665327469971</v>
      </c>
      <c r="I207" s="171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19593.665327469971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71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1494.4625930877842</v>
      </c>
      <c r="H208" s="171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29895.835064064475</v>
      </c>
      <c r="I208" s="171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7155.2149035123675</v>
      </c>
      <c r="J208" s="76">
        <f t="shared" si="29"/>
        <v>7155.2149035123675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71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133.20525456939615</v>
      </c>
      <c r="H209" s="171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9324.3678198577309</v>
      </c>
      <c r="I209" s="171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9324.3678198577309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71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314.43417974219551</v>
      </c>
      <c r="H210" s="171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10736.776869245699</v>
      </c>
      <c r="I210" s="171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10736.776869245699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71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30025.584458324727</v>
      </c>
      <c r="H211" s="171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579673.93355241721</v>
      </c>
      <c r="I211" s="171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579673.93355241721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71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71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71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71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71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71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71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71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71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71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71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71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71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71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71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71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71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71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71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71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71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71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71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71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71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71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71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71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71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71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71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71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71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71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71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71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71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71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71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71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71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71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71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1065.9032654837422</v>
      </c>
      <c r="H226" s="171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7008.7190137964881</v>
      </c>
      <c r="I226" s="171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3295.7248353854275</v>
      </c>
      <c r="J226" s="76">
        <f t="shared" si="42"/>
        <v>3295.7248353854275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71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61.373881073016072</v>
      </c>
      <c r="H227" s="171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189.04873839158992</v>
      </c>
      <c r="I227" s="171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80.857136813991545</v>
      </c>
      <c r="J227" s="76">
        <f t="shared" si="42"/>
        <v>80.857136813991545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71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79.476396839976346</v>
      </c>
      <c r="H228" s="171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269.26603249383987</v>
      </c>
      <c r="I228" s="171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207.19233597255936</v>
      </c>
      <c r="J228" s="76">
        <f t="shared" si="42"/>
        <v>207.19233597255936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71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1832.9765964579826</v>
      </c>
      <c r="H229" s="171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99319.910198139638</v>
      </c>
      <c r="I229" s="171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99319.910198139638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71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2.1304916240953529</v>
      </c>
      <c r="H230" s="171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35.277745557582897</v>
      </c>
      <c r="I230" s="171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35.277745557582897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71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112.76754641782966</v>
      </c>
      <c r="H231" s="171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3821.8926237383225</v>
      </c>
      <c r="I231" s="171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3821.8926237383225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71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1.2194753168314114</v>
      </c>
      <c r="H232" s="171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79.071361979320926</v>
      </c>
      <c r="I232" s="171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79.071361979320926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71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151.6536938070264</v>
      </c>
      <c r="H233" s="171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7843.6230689895647</v>
      </c>
      <c r="I233" s="171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7843.6230689895647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71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4.3459340192907803</v>
      </c>
      <c r="H234" s="171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29.443789899375417</v>
      </c>
      <c r="I234" s="171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29.443789899375417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71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76.861760528245512</v>
      </c>
      <c r="H235" s="171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1827.5546023621989</v>
      </c>
      <c r="I235" s="171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1827.5546023621989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71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244.54842432345563</v>
      </c>
      <c r="H236" s="171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2788.4660705209226</v>
      </c>
      <c r="I236" s="171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667.3864082730629</v>
      </c>
      <c r="J236" s="76">
        <f t="shared" si="42"/>
        <v>667.3864082730629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71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21.797223474992101</v>
      </c>
      <c r="H237" s="171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869.70921665218475</v>
      </c>
      <c r="I237" s="171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869.70921665218475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71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51.452865775995633</v>
      </c>
      <c r="H238" s="171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1001.4484607132807</v>
      </c>
      <c r="I238" s="171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1001.4484607132807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71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4913.2774568167742</v>
      </c>
      <c r="H239" s="171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94855.734581304656</v>
      </c>
      <c r="I239" s="171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94855.734581304656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71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1381.7264552567024</v>
      </c>
      <c r="H240" s="171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9085.3764993658169</v>
      </c>
      <c r="I240" s="171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4272.2358977218491</v>
      </c>
      <c r="J240" s="76">
        <f t="shared" si="42"/>
        <v>4272.2358977218491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71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79.558734724280086</v>
      </c>
      <c r="H241" s="171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245.06317939650546</v>
      </c>
      <c r="I241" s="171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104.81480698110011</v>
      </c>
      <c r="J241" s="76">
        <f t="shared" si="42"/>
        <v>104.81480698110011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71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103.024958866636</v>
      </c>
      <c r="H242" s="171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349.0485606401628</v>
      </c>
      <c r="I242" s="171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268.58265774220655</v>
      </c>
      <c r="J242" s="76">
        <f t="shared" si="42"/>
        <v>268.58265774220655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71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2376.0807731862733</v>
      </c>
      <c r="H243" s="171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128748.03173832915</v>
      </c>
      <c r="I243" s="171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128748.03173832915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71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2.7617484016050868</v>
      </c>
      <c r="H244" s="171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45.730410907977834</v>
      </c>
      <c r="I244" s="171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45.730410907977834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71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146.18015276385327</v>
      </c>
      <c r="H245" s="171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4954.3052529941224</v>
      </c>
      <c r="I245" s="171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4954.3052529941224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71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1.5808013366333109</v>
      </c>
      <c r="H246" s="171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102.49991367689748</v>
      </c>
      <c r="I246" s="171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102.49991367689748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71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196.58812160170083</v>
      </c>
      <c r="H247" s="171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10167.65953387536</v>
      </c>
      <c r="I247" s="171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10167.65953387536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71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5.6336181731547148</v>
      </c>
      <c r="H248" s="171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38.167875795486651</v>
      </c>
      <c r="I248" s="171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38.167875795486651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71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99.635615499577497</v>
      </c>
      <c r="H249" s="171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2369.0522623213683</v>
      </c>
      <c r="I249" s="171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2369.0522623213683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71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317.00721671559063</v>
      </c>
      <c r="H250" s="171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3614.678239564159</v>
      </c>
      <c r="I250" s="171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865.13052924285921</v>
      </c>
      <c r="J250" s="76">
        <f t="shared" si="42"/>
        <v>865.13052924285921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71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28.255660060174939</v>
      </c>
      <c r="H251" s="171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1127.4008364009799</v>
      </c>
      <c r="I251" s="171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1127.4008364009799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71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66.698159339253593</v>
      </c>
      <c r="H252" s="171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1298.1739305542526</v>
      </c>
      <c r="I252" s="171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1298.1739305542526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71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6369.0633699476693</v>
      </c>
      <c r="H253" s="171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122961.13742020971</v>
      </c>
      <c r="I253" s="171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122961.13742020971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71" t="str">
        <f t="shared" ref="E254:E285" si="52">Jordbund1</f>
        <v>JB1-10</v>
      </c>
      <c r="F254" t="e">
        <f>IF(I254&lt;&gt;0,"Halm",IF(B254&lt;&gt;"Permanent græs",B254,"Græs"))</f>
        <v>#VALUE!</v>
      </c>
      <c r="G254" s="76" t="e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#VALUE!</v>
      </c>
      <c r="H254" s="171" t="e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#VALUE!</v>
      </c>
      <c r="I254" s="171" t="e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#VALUE!</v>
      </c>
      <c r="J254" s="76" t="e">
        <f t="shared" si="42"/>
        <v>#VALUE!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71" t="str">
        <f t="shared" si="52"/>
        <v>JB1-10</v>
      </c>
      <c r="F255" t="e">
        <f t="shared" ref="F255:F265" si="53">IF(I255&lt;&gt;0,"Halm",IF(B255&lt;&gt;"Permanent græs",B255,"Græs"))</f>
        <v>#VALUE!</v>
      </c>
      <c r="G255" s="76" t="e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#VALUE!</v>
      </c>
      <c r="H255" s="171" t="e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#VALUE!</v>
      </c>
      <c r="I255" s="171" t="e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#VALUE!</v>
      </c>
      <c r="J255" s="76" t="e">
        <f t="shared" si="42"/>
        <v>#VALUE!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71" t="str">
        <f t="shared" si="52"/>
        <v>JB1-10</v>
      </c>
      <c r="F256" t="e">
        <f t="shared" si="53"/>
        <v>#VALUE!</v>
      </c>
      <c r="G256" s="76" t="e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#VALUE!</v>
      </c>
      <c r="H256" s="171" t="e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#VALUE!</v>
      </c>
      <c r="I256" s="171" t="e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#VALUE!</v>
      </c>
      <c r="J256" s="76" t="e">
        <f t="shared" si="42"/>
        <v>#VALUE!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71" t="str">
        <f t="shared" si="52"/>
        <v>JB1-10</v>
      </c>
      <c r="F257" t="e">
        <f t="shared" si="53"/>
        <v>#VALUE!</v>
      </c>
      <c r="G257" s="76" t="e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#VALUE!</v>
      </c>
      <c r="H257" s="171" t="e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#VALUE!</v>
      </c>
      <c r="I257" s="171" t="e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#VALUE!</v>
      </c>
      <c r="J257" s="76" t="e">
        <f t="shared" si="42"/>
        <v>#VALUE!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71" t="str">
        <f t="shared" si="52"/>
        <v>JB1-10</v>
      </c>
      <c r="F258" t="e">
        <f t="shared" si="53"/>
        <v>#VALUE!</v>
      </c>
      <c r="G258" s="76" t="e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#VALUE!</v>
      </c>
      <c r="H258" s="171" t="e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#VALUE!</v>
      </c>
      <c r="I258" s="171" t="e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#VALUE!</v>
      </c>
      <c r="J258" s="76" t="e">
        <f t="shared" si="42"/>
        <v>#VALUE!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71" t="str">
        <f t="shared" si="52"/>
        <v>JB1-10</v>
      </c>
      <c r="F259" t="e">
        <f t="shared" si="53"/>
        <v>#VALUE!</v>
      </c>
      <c r="G259" s="76" t="e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#VALUE!</v>
      </c>
      <c r="H259" s="171" t="e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#VALUE!</v>
      </c>
      <c r="I259" s="171" t="e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#VALUE!</v>
      </c>
      <c r="J259" s="76" t="e">
        <f t="shared" si="42"/>
        <v>#VALUE!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71" t="str">
        <f t="shared" si="52"/>
        <v>JB1-10</v>
      </c>
      <c r="F260" t="e">
        <f t="shared" si="53"/>
        <v>#VALUE!</v>
      </c>
      <c r="G260" s="76" t="e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#VALUE!</v>
      </c>
      <c r="H260" s="171" t="e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#VALUE!</v>
      </c>
      <c r="I260" s="171" t="e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#VALUE!</v>
      </c>
      <c r="J260" s="76" t="e">
        <f t="shared" si="42"/>
        <v>#VALUE!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71" t="str">
        <f t="shared" si="52"/>
        <v>JB1-10</v>
      </c>
      <c r="F261" t="e">
        <f t="shared" si="53"/>
        <v>#VALUE!</v>
      </c>
      <c r="G261" s="76" t="e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#VALUE!</v>
      </c>
      <c r="H261" s="171" t="e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#VALUE!</v>
      </c>
      <c r="I261" s="171" t="e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#VALUE!</v>
      </c>
      <c r="J261" s="76" t="e">
        <f t="shared" si="42"/>
        <v>#VALUE!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71" t="str">
        <f t="shared" si="52"/>
        <v>JB1-10</v>
      </c>
      <c r="F262" t="e">
        <f t="shared" si="53"/>
        <v>#VALUE!</v>
      </c>
      <c r="G262" s="76" t="e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#VALUE!</v>
      </c>
      <c r="H262" s="171" t="e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#VALUE!</v>
      </c>
      <c r="I262" s="171" t="e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#VALUE!</v>
      </c>
      <c r="J262" s="76" t="e">
        <f t="shared" si="42"/>
        <v>#VALUE!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71" t="str">
        <f t="shared" si="52"/>
        <v>JB1-10</v>
      </c>
      <c r="F263" t="e">
        <f t="shared" si="53"/>
        <v>#VALUE!</v>
      </c>
      <c r="G263" s="76" t="e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#VALUE!</v>
      </c>
      <c r="H263" s="171" t="e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#VALUE!</v>
      </c>
      <c r="I263" s="171" t="e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#VALUE!</v>
      </c>
      <c r="J263" s="76" t="e">
        <f t="shared" si="42"/>
        <v>#VALUE!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71" t="str">
        <f t="shared" si="52"/>
        <v>JB1-10</v>
      </c>
      <c r="F264" t="e">
        <f t="shared" si="53"/>
        <v>#VALUE!</v>
      </c>
      <c r="G264" s="76" t="e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#VALUE!</v>
      </c>
      <c r="H264" s="171" t="e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#VALUE!</v>
      </c>
      <c r="I264" s="171" t="e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#VALUE!</v>
      </c>
      <c r="J264" s="76" t="e">
        <f t="shared" si="42"/>
        <v>#VALUE!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71" t="str">
        <f t="shared" si="52"/>
        <v>JB1-10</v>
      </c>
      <c r="F265" t="e">
        <f t="shared" si="53"/>
        <v>#VALUE!</v>
      </c>
      <c r="G265" s="76" t="e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#VALUE!</v>
      </c>
      <c r="H265" s="171" t="e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#VALUE!</v>
      </c>
      <c r="I265" s="171" t="e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#VALUE!</v>
      </c>
      <c r="J265" s="76" t="e">
        <f t="shared" si="42"/>
        <v>#VALUE!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71" t="str">
        <f t="shared" si="52"/>
        <v>JB1-10</v>
      </c>
      <c r="F266" t="e">
        <f>IF(I266&lt;&gt;0,"Halm",IF(B266&lt;&gt;"Permanent græs",B266,"Græs"))</f>
        <v>#VALUE!</v>
      </c>
      <c r="G266" s="76" t="e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#VALUE!</v>
      </c>
      <c r="H266" s="171" t="e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#VALUE!</v>
      </c>
      <c r="I266" s="171" t="e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#VALUE!</v>
      </c>
      <c r="J266" s="76" t="e">
        <f t="shared" si="42"/>
        <v>#VALUE!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71" t="str">
        <f t="shared" si="52"/>
        <v>JB1-10</v>
      </c>
      <c r="F267" t="e">
        <f t="shared" ref="F267:F335" si="54">IF(I267&lt;&gt;0,"Halm",IF(B267&lt;&gt;"Permanent græs",B267,"Græs"))</f>
        <v>#VALUE!</v>
      </c>
      <c r="G267" s="76" t="e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#VALUE!</v>
      </c>
      <c r="H267" s="171" t="e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#VALUE!</v>
      </c>
      <c r="I267" s="171" t="e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#VALUE!</v>
      </c>
      <c r="J267" s="76" t="e">
        <f t="shared" si="42"/>
        <v>#VALUE!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71" t="str">
        <f t="shared" si="52"/>
        <v>JB1-10</v>
      </c>
      <c r="F268" t="e">
        <f t="shared" si="54"/>
        <v>#VALUE!</v>
      </c>
      <c r="G268" s="76" t="e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#VALUE!</v>
      </c>
      <c r="H268" s="171" t="e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#VALUE!</v>
      </c>
      <c r="I268" s="171" t="e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#VALUE!</v>
      </c>
      <c r="J268" s="76" t="e">
        <f t="shared" si="42"/>
        <v>#VALUE!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71" t="str">
        <f t="shared" si="52"/>
        <v>JB1-10</v>
      </c>
      <c r="F269" t="e">
        <f t="shared" si="54"/>
        <v>#VALUE!</v>
      </c>
      <c r="G269" s="76" t="e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#VALUE!</v>
      </c>
      <c r="H269" s="171" t="e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#VALUE!</v>
      </c>
      <c r="I269" s="171" t="e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#VALUE!</v>
      </c>
      <c r="J269" s="76" t="e">
        <f t="shared" si="42"/>
        <v>#VALUE!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71" t="str">
        <f t="shared" si="52"/>
        <v>JB1-10</v>
      </c>
      <c r="F270" t="e">
        <f t="shared" si="54"/>
        <v>#VALUE!</v>
      </c>
      <c r="G270" s="76" t="e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#VALUE!</v>
      </c>
      <c r="H270" s="171" t="e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#VALUE!</v>
      </c>
      <c r="I270" s="171" t="e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#VALUE!</v>
      </c>
      <c r="J270" s="76" t="e">
        <f t="shared" si="42"/>
        <v>#VALUE!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71" t="str">
        <f t="shared" si="52"/>
        <v>JB1-10</v>
      </c>
      <c r="F271" t="e">
        <f t="shared" si="54"/>
        <v>#VALUE!</v>
      </c>
      <c r="G271" s="76" t="e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#VALUE!</v>
      </c>
      <c r="H271" s="171" t="e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#VALUE!</v>
      </c>
      <c r="I271" s="171" t="e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#VALUE!</v>
      </c>
      <c r="J271" s="76" t="e">
        <f t="shared" si="42"/>
        <v>#VALUE!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71" t="str">
        <f t="shared" si="52"/>
        <v>JB1-10</v>
      </c>
      <c r="F272" t="e">
        <f t="shared" si="54"/>
        <v>#VALUE!</v>
      </c>
      <c r="G272" s="76" t="e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#VALUE!</v>
      </c>
      <c r="H272" s="171" t="e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#VALUE!</v>
      </c>
      <c r="I272" s="171" t="e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#VALUE!</v>
      </c>
      <c r="J272" s="76" t="e">
        <f t="shared" si="42"/>
        <v>#VALUE!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71" t="str">
        <f t="shared" si="52"/>
        <v>JB1-10</v>
      </c>
      <c r="F273" t="e">
        <f t="shared" si="54"/>
        <v>#VALUE!</v>
      </c>
      <c r="G273" s="76" t="e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#VALUE!</v>
      </c>
      <c r="H273" s="171" t="e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#VALUE!</v>
      </c>
      <c r="I273" s="171" t="e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#VALUE!</v>
      </c>
      <c r="J273" s="76" t="e">
        <f t="shared" si="42"/>
        <v>#VALUE!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71" t="str">
        <f t="shared" si="52"/>
        <v>JB1-10</v>
      </c>
      <c r="F274" t="e">
        <f t="shared" si="54"/>
        <v>#VALUE!</v>
      </c>
      <c r="G274" s="76" t="e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#VALUE!</v>
      </c>
      <c r="H274" s="171" t="e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#VALUE!</v>
      </c>
      <c r="I274" s="171" t="e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#VALUE!</v>
      </c>
      <c r="J274" s="76" t="e">
        <f t="shared" si="42"/>
        <v>#VALUE!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71" t="str">
        <f t="shared" si="52"/>
        <v>JB1-10</v>
      </c>
      <c r="F275" t="e">
        <f t="shared" si="54"/>
        <v>#VALUE!</v>
      </c>
      <c r="G275" s="76" t="e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#VALUE!</v>
      </c>
      <c r="H275" s="171" t="e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#VALUE!</v>
      </c>
      <c r="I275" s="171" t="e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#VALUE!</v>
      </c>
      <c r="J275" s="76" t="e">
        <f t="shared" si="42"/>
        <v>#VALUE!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71" t="str">
        <f t="shared" si="52"/>
        <v>JB1-10</v>
      </c>
      <c r="F276" t="e">
        <f t="shared" si="54"/>
        <v>#VALUE!</v>
      </c>
      <c r="G276" s="76" t="e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#VALUE!</v>
      </c>
      <c r="H276" s="171" t="e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#VALUE!</v>
      </c>
      <c r="I276" s="171" t="e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#VALUE!</v>
      </c>
      <c r="J276" s="76" t="e">
        <f t="shared" si="42"/>
        <v>#VALUE!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71" t="str">
        <f t="shared" si="52"/>
        <v>JB1-10</v>
      </c>
      <c r="F277" t="e">
        <f t="shared" si="54"/>
        <v>#VALUE!</v>
      </c>
      <c r="G277" s="76" t="e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#VALUE!</v>
      </c>
      <c r="H277" s="171" t="e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#VALUE!</v>
      </c>
      <c r="I277" s="171" t="e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#VALUE!</v>
      </c>
      <c r="J277" s="76" t="e">
        <f t="shared" ref="J277:J340" si="55">IF(I277&lt;&gt;0,I277,H277)</f>
        <v>#VALUE!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71" t="str">
        <f t="shared" si="52"/>
        <v>JB1-10</v>
      </c>
      <c r="F278" t="e">
        <f t="shared" si="54"/>
        <v>#VALUE!</v>
      </c>
      <c r="G278" s="76" t="e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#VALUE!</v>
      </c>
      <c r="H278" s="171" t="e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#VALUE!</v>
      </c>
      <c r="I278" s="171" t="e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#VALUE!</v>
      </c>
      <c r="J278" s="76" t="e">
        <f t="shared" si="55"/>
        <v>#VALUE!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71" t="str">
        <f t="shared" si="52"/>
        <v>JB1-10</v>
      </c>
      <c r="F279" t="e">
        <f t="shared" si="54"/>
        <v>#VALUE!</v>
      </c>
      <c r="G279" s="76" t="e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#VALUE!</v>
      </c>
      <c r="H279" s="171" t="e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#VALUE!</v>
      </c>
      <c r="I279" s="171" t="e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#VALUE!</v>
      </c>
      <c r="J279" s="76" t="e">
        <f t="shared" si="55"/>
        <v>#VALUE!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71" t="str">
        <f t="shared" si="52"/>
        <v>JB1-10</v>
      </c>
      <c r="F280" t="e">
        <f t="shared" si="54"/>
        <v>#VALUE!</v>
      </c>
      <c r="G280" s="76" t="e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#VALUE!</v>
      </c>
      <c r="H280" s="171" t="e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#VALUE!</v>
      </c>
      <c r="I280" s="171" t="e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#VALUE!</v>
      </c>
      <c r="J280" s="76" t="e">
        <f t="shared" si="55"/>
        <v>#VALUE!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71" t="str">
        <f t="shared" si="52"/>
        <v>JB1-10</v>
      </c>
      <c r="F281" t="e">
        <f t="shared" si="54"/>
        <v>#VALUE!</v>
      </c>
      <c r="G281" s="76" t="e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#VALUE!</v>
      </c>
      <c r="H281" s="171" t="e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#VALUE!</v>
      </c>
      <c r="I281" s="171" t="e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#VALUE!</v>
      </c>
      <c r="J281" s="76" t="e">
        <f t="shared" si="55"/>
        <v>#VALUE!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71" t="str">
        <f t="shared" si="52"/>
        <v>JB1-10</v>
      </c>
      <c r="F282" t="e">
        <f t="shared" si="54"/>
        <v>#VALUE!</v>
      </c>
      <c r="G282" s="76" t="e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#VALUE!</v>
      </c>
      <c r="H282" s="171" t="e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#VALUE!</v>
      </c>
      <c r="I282" s="171" t="e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#VALUE!</v>
      </c>
      <c r="J282" s="76" t="e">
        <f t="shared" si="55"/>
        <v>#VALUE!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71" t="str">
        <f t="shared" si="52"/>
        <v>JB1-10</v>
      </c>
      <c r="F283" t="e">
        <f t="shared" si="54"/>
        <v>#VALUE!</v>
      </c>
      <c r="G283" s="76" t="e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#VALUE!</v>
      </c>
      <c r="H283" s="171" t="e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#VALUE!</v>
      </c>
      <c r="I283" s="171" t="e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#VALUE!</v>
      </c>
      <c r="J283" s="76" t="e">
        <f t="shared" si="55"/>
        <v>#VALUE!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71" t="str">
        <f t="shared" si="52"/>
        <v>JB1-10</v>
      </c>
      <c r="F284" t="e">
        <f t="shared" si="54"/>
        <v>#VALUE!</v>
      </c>
      <c r="G284" s="76" t="e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#VALUE!</v>
      </c>
      <c r="H284" s="171" t="e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#VALUE!</v>
      </c>
      <c r="I284" s="171" t="e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#VALUE!</v>
      </c>
      <c r="J284" s="76" t="e">
        <f t="shared" si="55"/>
        <v>#VALUE!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71" t="str">
        <f t="shared" si="52"/>
        <v>JB1-10</v>
      </c>
      <c r="F285" t="e">
        <f t="shared" si="54"/>
        <v>#VALUE!</v>
      </c>
      <c r="G285" s="76" t="e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#VALUE!</v>
      </c>
      <c r="H285" s="171" t="e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#VALUE!</v>
      </c>
      <c r="I285" s="171" t="e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#VALUE!</v>
      </c>
      <c r="J285" s="76" t="e">
        <f t="shared" si="55"/>
        <v>#VALUE!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71" t="str">
        <f t="shared" ref="E286:E317" si="56">Jordbund1</f>
        <v>JB1-10</v>
      </c>
      <c r="F286" t="e">
        <f t="shared" si="54"/>
        <v>#VALUE!</v>
      </c>
      <c r="G286" s="76" t="e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#VALUE!</v>
      </c>
      <c r="H286" s="171" t="e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#VALUE!</v>
      </c>
      <c r="I286" s="171" t="e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#VALUE!</v>
      </c>
      <c r="J286" s="76" t="e">
        <f t="shared" si="55"/>
        <v>#VALUE!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71" t="str">
        <f t="shared" si="56"/>
        <v>JB1-10</v>
      </c>
      <c r="F287" t="e">
        <f t="shared" si="54"/>
        <v>#VALUE!</v>
      </c>
      <c r="G287" s="76" t="e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#VALUE!</v>
      </c>
      <c r="H287" s="171" t="e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#VALUE!</v>
      </c>
      <c r="I287" s="171" t="e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#VALUE!</v>
      </c>
      <c r="J287" s="76" t="e">
        <f t="shared" si="55"/>
        <v>#VALUE!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71" t="str">
        <f t="shared" si="56"/>
        <v>JB1-10</v>
      </c>
      <c r="F288" t="e">
        <f t="shared" si="54"/>
        <v>#VALUE!</v>
      </c>
      <c r="G288" s="76" t="e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#VALUE!</v>
      </c>
      <c r="H288" s="171" t="e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#VALUE!</v>
      </c>
      <c r="I288" s="171" t="e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#VALUE!</v>
      </c>
      <c r="J288" s="76" t="e">
        <f t="shared" si="55"/>
        <v>#VALUE!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71" t="str">
        <f t="shared" si="56"/>
        <v>JB1-10</v>
      </c>
      <c r="F289" t="e">
        <f t="shared" si="54"/>
        <v>#VALUE!</v>
      </c>
      <c r="G289" s="76" t="e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#VALUE!</v>
      </c>
      <c r="H289" s="171" t="e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#VALUE!</v>
      </c>
      <c r="I289" s="171" t="e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#VALUE!</v>
      </c>
      <c r="J289" s="76" t="e">
        <f t="shared" si="55"/>
        <v>#VALUE!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71" t="str">
        <f t="shared" si="56"/>
        <v>JB1-10</v>
      </c>
      <c r="F290" t="e">
        <f t="shared" si="54"/>
        <v>#VALUE!</v>
      </c>
      <c r="G290" s="76" t="e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#VALUE!</v>
      </c>
      <c r="H290" s="171" t="e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#VALUE!</v>
      </c>
      <c r="I290" s="171" t="e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#VALUE!</v>
      </c>
      <c r="J290" s="76" t="e">
        <f t="shared" si="55"/>
        <v>#VALUE!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71" t="str">
        <f t="shared" si="56"/>
        <v>JB1-10</v>
      </c>
      <c r="F291" t="e">
        <f t="shared" si="54"/>
        <v>#VALUE!</v>
      </c>
      <c r="G291" s="76" t="e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#VALUE!</v>
      </c>
      <c r="H291" s="171" t="e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#VALUE!</v>
      </c>
      <c r="I291" s="171" t="e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#VALUE!</v>
      </c>
      <c r="J291" s="76" t="e">
        <f t="shared" si="55"/>
        <v>#VALUE!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71" t="str">
        <f t="shared" si="56"/>
        <v>JB1-10</v>
      </c>
      <c r="F292" t="e">
        <f t="shared" si="54"/>
        <v>#VALUE!</v>
      </c>
      <c r="G292" s="76" t="e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#VALUE!</v>
      </c>
      <c r="H292" s="171" t="e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#VALUE!</v>
      </c>
      <c r="I292" s="171" t="e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#VALUE!</v>
      </c>
      <c r="J292" s="76" t="e">
        <f t="shared" si="55"/>
        <v>#VALUE!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71" t="str">
        <f t="shared" si="56"/>
        <v>JB1-10</v>
      </c>
      <c r="F293" t="e">
        <f t="shared" si="54"/>
        <v>#VALUE!</v>
      </c>
      <c r="G293" s="76" t="e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#VALUE!</v>
      </c>
      <c r="H293" s="171" t="e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#VALUE!</v>
      </c>
      <c r="I293" s="171" t="e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#VALUE!</v>
      </c>
      <c r="J293" s="76" t="e">
        <f t="shared" si="55"/>
        <v>#VALUE!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71" t="str">
        <f t="shared" si="56"/>
        <v>JB1-10</v>
      </c>
      <c r="F294" t="e">
        <f t="shared" si="54"/>
        <v>#VALUE!</v>
      </c>
      <c r="G294" s="76" t="e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#VALUE!</v>
      </c>
      <c r="H294" s="171" t="e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#VALUE!</v>
      </c>
      <c r="I294" s="171" t="e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#VALUE!</v>
      </c>
      <c r="J294" s="76" t="e">
        <f t="shared" si="55"/>
        <v>#VALUE!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71" t="str">
        <f t="shared" si="56"/>
        <v>JB1-10</v>
      </c>
      <c r="F295" t="e">
        <f t="shared" si="54"/>
        <v>#VALUE!</v>
      </c>
      <c r="G295" s="76" t="e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#VALUE!</v>
      </c>
      <c r="H295" s="171" t="e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#VALUE!</v>
      </c>
      <c r="I295" s="171" t="e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#VALUE!</v>
      </c>
      <c r="J295" s="76" t="e">
        <f t="shared" si="55"/>
        <v>#VALUE!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71" t="str">
        <f t="shared" si="56"/>
        <v>JB1-10</v>
      </c>
      <c r="F296" t="e">
        <f t="shared" si="54"/>
        <v>#VALUE!</v>
      </c>
      <c r="G296" s="76" t="e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#VALUE!</v>
      </c>
      <c r="H296" s="171" t="e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#VALUE!</v>
      </c>
      <c r="I296" s="171" t="e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#VALUE!</v>
      </c>
      <c r="J296" s="76" t="e">
        <f t="shared" si="55"/>
        <v>#VALUE!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71" t="str">
        <f t="shared" si="56"/>
        <v>JB1-10</v>
      </c>
      <c r="F297" t="e">
        <f t="shared" si="54"/>
        <v>#VALUE!</v>
      </c>
      <c r="G297" s="76" t="e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#VALUE!</v>
      </c>
      <c r="H297" s="171" t="e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#VALUE!</v>
      </c>
      <c r="I297" s="171" t="e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#VALUE!</v>
      </c>
      <c r="J297" s="76" t="e">
        <f t="shared" si="55"/>
        <v>#VALUE!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71" t="str">
        <f t="shared" si="56"/>
        <v>JB1-10</v>
      </c>
      <c r="F298" t="e">
        <f t="shared" si="54"/>
        <v>#VALUE!</v>
      </c>
      <c r="G298" s="76" t="e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#VALUE!</v>
      </c>
      <c r="H298" s="171" t="e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#VALUE!</v>
      </c>
      <c r="I298" s="171" t="e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#VALUE!</v>
      </c>
      <c r="J298" s="76" t="e">
        <f t="shared" si="55"/>
        <v>#VALUE!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71" t="str">
        <f t="shared" si="56"/>
        <v>JB1-10</v>
      </c>
      <c r="F299" t="e">
        <f t="shared" si="54"/>
        <v>#VALUE!</v>
      </c>
      <c r="G299" s="76" t="e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#VALUE!</v>
      </c>
      <c r="H299" s="171" t="e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#VALUE!</v>
      </c>
      <c r="I299" s="171" t="e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#VALUE!</v>
      </c>
      <c r="J299" s="76" t="e">
        <f t="shared" si="55"/>
        <v>#VALUE!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71" t="str">
        <f t="shared" si="56"/>
        <v>JB1-10</v>
      </c>
      <c r="F300" t="e">
        <f t="shared" si="54"/>
        <v>#VALUE!</v>
      </c>
      <c r="G300" s="76" t="e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#VALUE!</v>
      </c>
      <c r="H300" s="171" t="e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#VALUE!</v>
      </c>
      <c r="I300" s="171" t="e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#VALUE!</v>
      </c>
      <c r="J300" s="76" t="e">
        <f t="shared" si="55"/>
        <v>#VALUE!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71" t="str">
        <f t="shared" si="56"/>
        <v>JB1-10</v>
      </c>
      <c r="F301" t="e">
        <f t="shared" si="54"/>
        <v>#VALUE!</v>
      </c>
      <c r="G301" s="76" t="e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#VALUE!</v>
      </c>
      <c r="H301" s="171" t="e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#VALUE!</v>
      </c>
      <c r="I301" s="171" t="e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#VALUE!</v>
      </c>
      <c r="J301" s="76" t="e">
        <f t="shared" si="55"/>
        <v>#VALUE!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71" t="str">
        <f t="shared" si="56"/>
        <v>JB1-10</v>
      </c>
      <c r="F302" t="e">
        <f t="shared" si="54"/>
        <v>#VALUE!</v>
      </c>
      <c r="G302" s="76" t="e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#VALUE!</v>
      </c>
      <c r="H302" s="171" t="e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#VALUE!</v>
      </c>
      <c r="I302" s="171" t="e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#VALUE!</v>
      </c>
      <c r="J302" s="76" t="e">
        <f t="shared" si="55"/>
        <v>#VALUE!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71" t="str">
        <f t="shared" si="56"/>
        <v>JB1-10</v>
      </c>
      <c r="F303" t="e">
        <f t="shared" si="54"/>
        <v>#VALUE!</v>
      </c>
      <c r="G303" s="76" t="e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#VALUE!</v>
      </c>
      <c r="H303" s="171" t="e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#VALUE!</v>
      </c>
      <c r="I303" s="171" t="e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#VALUE!</v>
      </c>
      <c r="J303" s="76" t="e">
        <f t="shared" si="55"/>
        <v>#VALUE!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71" t="str">
        <f t="shared" si="56"/>
        <v>JB1-10</v>
      </c>
      <c r="F304" t="e">
        <f t="shared" si="54"/>
        <v>#VALUE!</v>
      </c>
      <c r="G304" s="76" t="e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#VALUE!</v>
      </c>
      <c r="H304" s="171" t="e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#VALUE!</v>
      </c>
      <c r="I304" s="171" t="e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#VALUE!</v>
      </c>
      <c r="J304" s="76" t="e">
        <f t="shared" si="55"/>
        <v>#VALUE!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71" t="str">
        <f t="shared" si="56"/>
        <v>JB1-10</v>
      </c>
      <c r="F305" t="e">
        <f t="shared" si="54"/>
        <v>#VALUE!</v>
      </c>
      <c r="G305" s="76" t="e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#VALUE!</v>
      </c>
      <c r="H305" s="171" t="e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#VALUE!</v>
      </c>
      <c r="I305" s="171" t="e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#VALUE!</v>
      </c>
      <c r="J305" s="76" t="e">
        <f t="shared" si="55"/>
        <v>#VALUE!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71" t="str">
        <f t="shared" si="56"/>
        <v>JB1-10</v>
      </c>
      <c r="F306" t="e">
        <f t="shared" si="54"/>
        <v>#VALUE!</v>
      </c>
      <c r="G306" s="76" t="e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#VALUE!</v>
      </c>
      <c r="H306" s="171" t="e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#VALUE!</v>
      </c>
      <c r="I306" s="171" t="e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#VALUE!</v>
      </c>
      <c r="J306" s="76" t="e">
        <f t="shared" si="55"/>
        <v>#VALUE!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71" t="str">
        <f t="shared" si="56"/>
        <v>JB1-10</v>
      </c>
      <c r="F307" t="e">
        <f t="shared" si="54"/>
        <v>#VALUE!</v>
      </c>
      <c r="G307" s="76" t="e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#VALUE!</v>
      </c>
      <c r="H307" s="171" t="e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#VALUE!</v>
      </c>
      <c r="I307" s="171" t="e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#VALUE!</v>
      </c>
      <c r="J307" s="76" t="e">
        <f t="shared" si="55"/>
        <v>#VALUE!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71" t="str">
        <f t="shared" si="56"/>
        <v>JB1-10</v>
      </c>
      <c r="F308" t="e">
        <f t="shared" si="54"/>
        <v>#VALUE!</v>
      </c>
      <c r="G308" s="76" t="e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#VALUE!</v>
      </c>
      <c r="H308" s="171" t="e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#VALUE!</v>
      </c>
      <c r="I308" s="171" t="e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#VALUE!</v>
      </c>
      <c r="J308" s="76" t="e">
        <f t="shared" si="55"/>
        <v>#VALUE!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71" t="str">
        <f t="shared" si="56"/>
        <v>JB1-10</v>
      </c>
      <c r="F309" t="e">
        <f t="shared" si="54"/>
        <v>#VALUE!</v>
      </c>
      <c r="G309" s="76" t="e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#VALUE!</v>
      </c>
      <c r="H309" s="171" t="e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#VALUE!</v>
      </c>
      <c r="I309" s="171" t="e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#VALUE!</v>
      </c>
      <c r="J309" s="76" t="e">
        <f t="shared" si="55"/>
        <v>#VALUE!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71" t="str">
        <f t="shared" si="56"/>
        <v>JB1-10</v>
      </c>
      <c r="F310" t="e">
        <f t="shared" si="54"/>
        <v>#VALUE!</v>
      </c>
      <c r="G310" s="76" t="e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#VALUE!</v>
      </c>
      <c r="H310" s="171" t="e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#VALUE!</v>
      </c>
      <c r="I310" s="171" t="e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#VALUE!</v>
      </c>
      <c r="J310" s="76" t="e">
        <f t="shared" si="55"/>
        <v>#VALUE!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71" t="str">
        <f t="shared" si="56"/>
        <v>JB1-10</v>
      </c>
      <c r="F311" t="e">
        <f t="shared" si="54"/>
        <v>#VALUE!</v>
      </c>
      <c r="G311" s="76" t="e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#VALUE!</v>
      </c>
      <c r="H311" s="171" t="e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#VALUE!</v>
      </c>
      <c r="I311" s="171" t="e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#VALUE!</v>
      </c>
      <c r="J311" s="76" t="e">
        <f t="shared" si="55"/>
        <v>#VALUE!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71" t="str">
        <f t="shared" si="56"/>
        <v>JB1-10</v>
      </c>
      <c r="F312" t="e">
        <f t="shared" si="54"/>
        <v>#VALUE!</v>
      </c>
      <c r="G312" s="76" t="e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#VALUE!</v>
      </c>
      <c r="H312" s="171" t="e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#VALUE!</v>
      </c>
      <c r="I312" s="171" t="e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#VALUE!</v>
      </c>
      <c r="J312" s="76" t="e">
        <f t="shared" si="55"/>
        <v>#VALUE!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71" t="str">
        <f t="shared" si="56"/>
        <v>JB1-10</v>
      </c>
      <c r="F313" t="e">
        <f t="shared" si="54"/>
        <v>#VALUE!</v>
      </c>
      <c r="G313" s="76" t="e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#VALUE!</v>
      </c>
      <c r="H313" s="171" t="e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#VALUE!</v>
      </c>
      <c r="I313" s="171" t="e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#VALUE!</v>
      </c>
      <c r="J313" s="76" t="e">
        <f t="shared" si="55"/>
        <v>#VALUE!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71" t="str">
        <f t="shared" si="56"/>
        <v>JB1-10</v>
      </c>
      <c r="F314" t="e">
        <f t="shared" si="54"/>
        <v>#VALUE!</v>
      </c>
      <c r="G314" s="76" t="e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#VALUE!</v>
      </c>
      <c r="H314" s="171" t="e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#VALUE!</v>
      </c>
      <c r="I314" s="171" t="e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#VALUE!</v>
      </c>
      <c r="J314" s="76" t="e">
        <f t="shared" si="55"/>
        <v>#VALUE!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71" t="str">
        <f t="shared" si="56"/>
        <v>JB1-10</v>
      </c>
      <c r="F315" t="e">
        <f t="shared" si="54"/>
        <v>#VALUE!</v>
      </c>
      <c r="G315" s="76" t="e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#VALUE!</v>
      </c>
      <c r="H315" s="171" t="e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#VALUE!</v>
      </c>
      <c r="I315" s="171" t="e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#VALUE!</v>
      </c>
      <c r="J315" s="76" t="e">
        <f t="shared" si="55"/>
        <v>#VALUE!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71" t="str">
        <f t="shared" si="56"/>
        <v>JB1-10</v>
      </c>
      <c r="F316" t="e">
        <f t="shared" si="54"/>
        <v>#VALUE!</v>
      </c>
      <c r="G316" s="76" t="e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#VALUE!</v>
      </c>
      <c r="H316" s="171" t="e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#VALUE!</v>
      </c>
      <c r="I316" s="171" t="e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#VALUE!</v>
      </c>
      <c r="J316" s="76" t="e">
        <f t="shared" si="55"/>
        <v>#VALUE!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71" t="str">
        <f t="shared" si="56"/>
        <v>JB1-10</v>
      </c>
      <c r="F317" t="e">
        <f t="shared" si="54"/>
        <v>#VALUE!</v>
      </c>
      <c r="G317" s="76" t="e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#VALUE!</v>
      </c>
      <c r="H317" s="171" t="e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#VALUE!</v>
      </c>
      <c r="I317" s="171" t="e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#VALUE!</v>
      </c>
      <c r="J317" s="76" t="e">
        <f t="shared" si="55"/>
        <v>#VALUE!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71" t="str">
        <f t="shared" ref="E318:E337" si="57">Jordbund1</f>
        <v>JB1-10</v>
      </c>
      <c r="F318" t="e">
        <f t="shared" si="54"/>
        <v>#VALUE!</v>
      </c>
      <c r="G318" s="76" t="e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#VALUE!</v>
      </c>
      <c r="H318" s="171" t="e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#VALUE!</v>
      </c>
      <c r="I318" s="171" t="e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#VALUE!</v>
      </c>
      <c r="J318" s="76" t="e">
        <f t="shared" si="55"/>
        <v>#VALUE!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71" t="str">
        <f t="shared" si="57"/>
        <v>JB1-10</v>
      </c>
      <c r="F319" t="e">
        <f t="shared" si="54"/>
        <v>#VALUE!</v>
      </c>
      <c r="G319" s="76" t="e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#VALUE!</v>
      </c>
      <c r="H319" s="171" t="e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#VALUE!</v>
      </c>
      <c r="I319" s="171" t="e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#VALUE!</v>
      </c>
      <c r="J319" s="76" t="e">
        <f t="shared" si="55"/>
        <v>#VALUE!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71" t="str">
        <f t="shared" si="57"/>
        <v>JB1-10</v>
      </c>
      <c r="F320" t="e">
        <f t="shared" si="54"/>
        <v>#VALUE!</v>
      </c>
      <c r="G320" s="76" t="e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#VALUE!</v>
      </c>
      <c r="H320" s="171" t="e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#VALUE!</v>
      </c>
      <c r="I320" s="171" t="e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#VALUE!</v>
      </c>
      <c r="J320" s="76" t="e">
        <f t="shared" si="55"/>
        <v>#VALUE!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71" t="str">
        <f t="shared" si="57"/>
        <v>JB1-10</v>
      </c>
      <c r="F321" t="e">
        <f t="shared" si="54"/>
        <v>#VALUE!</v>
      </c>
      <c r="G321" s="76" t="e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#VALUE!</v>
      </c>
      <c r="H321" s="171" t="e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#VALUE!</v>
      </c>
      <c r="I321" s="171" t="e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#VALUE!</v>
      </c>
      <c r="J321" s="76" t="e">
        <f t="shared" si="55"/>
        <v>#VALUE!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71" t="str">
        <f t="shared" si="57"/>
        <v>JB1-10</v>
      </c>
      <c r="F322" t="e">
        <f t="shared" si="54"/>
        <v>#VALUE!</v>
      </c>
      <c r="G322" s="76" t="e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#VALUE!</v>
      </c>
      <c r="H322" s="171" t="e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#VALUE!</v>
      </c>
      <c r="I322" s="171" t="e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#VALUE!</v>
      </c>
      <c r="J322" s="76" t="e">
        <f t="shared" si="55"/>
        <v>#VALUE!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71" t="str">
        <f t="shared" si="57"/>
        <v>JB1-10</v>
      </c>
      <c r="F323" t="e">
        <f t="shared" si="54"/>
        <v>#VALUE!</v>
      </c>
      <c r="G323" s="76" t="e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#VALUE!</v>
      </c>
      <c r="H323" s="171" t="e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#VALUE!</v>
      </c>
      <c r="I323" s="171" t="e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#VALUE!</v>
      </c>
      <c r="J323" s="76" t="e">
        <f t="shared" si="55"/>
        <v>#VALUE!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71" t="str">
        <f t="shared" si="57"/>
        <v>JB1-10</v>
      </c>
      <c r="F324" t="e">
        <f t="shared" si="54"/>
        <v>#VALUE!</v>
      </c>
      <c r="G324" s="76" t="e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#VALUE!</v>
      </c>
      <c r="H324" s="171" t="e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#VALUE!</v>
      </c>
      <c r="I324" s="171" t="e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#VALUE!</v>
      </c>
      <c r="J324" s="76" t="e">
        <f t="shared" si="55"/>
        <v>#VALUE!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71" t="str">
        <f t="shared" si="57"/>
        <v>JB1-10</v>
      </c>
      <c r="F325" t="e">
        <f t="shared" si="54"/>
        <v>#VALUE!</v>
      </c>
      <c r="G325" s="76" t="e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#VALUE!</v>
      </c>
      <c r="H325" s="171" t="e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#VALUE!</v>
      </c>
      <c r="I325" s="171" t="e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#VALUE!</v>
      </c>
      <c r="J325" s="76" t="e">
        <f t="shared" si="55"/>
        <v>#VALUE!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71" t="str">
        <f t="shared" si="57"/>
        <v>JB1-10</v>
      </c>
      <c r="F326" t="e">
        <f t="shared" si="54"/>
        <v>#VALUE!</v>
      </c>
      <c r="G326" s="76" t="e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#VALUE!</v>
      </c>
      <c r="H326" s="171" t="e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#VALUE!</v>
      </c>
      <c r="I326" s="171" t="e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#VALUE!</v>
      </c>
      <c r="J326" s="76" t="e">
        <f t="shared" si="55"/>
        <v>#VALUE!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71" t="str">
        <f t="shared" si="57"/>
        <v>JB1-10</v>
      </c>
      <c r="F327" t="e">
        <f t="shared" si="54"/>
        <v>#VALUE!</v>
      </c>
      <c r="G327" s="76" t="e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#VALUE!</v>
      </c>
      <c r="H327" s="171" t="e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#VALUE!</v>
      </c>
      <c r="I327" s="171" t="e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#VALUE!</v>
      </c>
      <c r="J327" s="76" t="e">
        <f t="shared" si="55"/>
        <v>#VALUE!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71" t="str">
        <f t="shared" si="57"/>
        <v>JB1-10</v>
      </c>
      <c r="F328" t="e">
        <f t="shared" si="54"/>
        <v>#VALUE!</v>
      </c>
      <c r="G328" s="76" t="e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#VALUE!</v>
      </c>
      <c r="H328" s="171" t="e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#VALUE!</v>
      </c>
      <c r="I328" s="171" t="e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#VALUE!</v>
      </c>
      <c r="J328" s="76" t="e">
        <f t="shared" si="55"/>
        <v>#VALUE!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71" t="str">
        <f t="shared" si="57"/>
        <v>JB1-10</v>
      </c>
      <c r="F329" t="e">
        <f t="shared" si="54"/>
        <v>#VALUE!</v>
      </c>
      <c r="G329" s="76" t="e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#VALUE!</v>
      </c>
      <c r="H329" s="171" t="e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#VALUE!</v>
      </c>
      <c r="I329" s="171" t="e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#VALUE!</v>
      </c>
      <c r="J329" s="76" t="e">
        <f t="shared" si="55"/>
        <v>#VALUE!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71" t="str">
        <f t="shared" si="57"/>
        <v>JB1-10</v>
      </c>
      <c r="F330" t="e">
        <f t="shared" si="54"/>
        <v>#VALUE!</v>
      </c>
      <c r="G330" s="76" t="e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#VALUE!</v>
      </c>
      <c r="H330" s="171" t="e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#VALUE!</v>
      </c>
      <c r="I330" s="171" t="e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#VALUE!</v>
      </c>
      <c r="J330" s="76" t="e">
        <f t="shared" si="55"/>
        <v>#VALUE!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71" t="str">
        <f t="shared" si="57"/>
        <v>JB1-10</v>
      </c>
      <c r="F331" t="e">
        <f t="shared" si="54"/>
        <v>#VALUE!</v>
      </c>
      <c r="G331" s="76" t="e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#VALUE!</v>
      </c>
      <c r="H331" s="171" t="e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#VALUE!</v>
      </c>
      <c r="I331" s="171" t="e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#VALUE!</v>
      </c>
      <c r="J331" s="76" t="e">
        <f t="shared" si="55"/>
        <v>#VALUE!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71" t="str">
        <f t="shared" si="57"/>
        <v>JB1-10</v>
      </c>
      <c r="F332" t="e">
        <f t="shared" si="54"/>
        <v>#VALUE!</v>
      </c>
      <c r="G332" s="76" t="e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#VALUE!</v>
      </c>
      <c r="H332" s="171" t="e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#VALUE!</v>
      </c>
      <c r="I332" s="171" t="e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#VALUE!</v>
      </c>
      <c r="J332" s="76" t="e">
        <f t="shared" si="55"/>
        <v>#VALUE!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71" t="str">
        <f t="shared" si="57"/>
        <v>JB1-10</v>
      </c>
      <c r="F333" t="e">
        <f t="shared" si="54"/>
        <v>#VALUE!</v>
      </c>
      <c r="G333" s="76" t="e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#VALUE!</v>
      </c>
      <c r="H333" s="171" t="e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#VALUE!</v>
      </c>
      <c r="I333" s="171" t="e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#VALUE!</v>
      </c>
      <c r="J333" s="76" t="e">
        <f t="shared" si="55"/>
        <v>#VALUE!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71" t="str">
        <f t="shared" si="57"/>
        <v>JB1-10</v>
      </c>
      <c r="F334" t="e">
        <f t="shared" si="54"/>
        <v>#VALUE!</v>
      </c>
      <c r="G334" s="76" t="e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#VALUE!</v>
      </c>
      <c r="H334" s="171" t="e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#VALUE!</v>
      </c>
      <c r="I334" s="171" t="e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#VALUE!</v>
      </c>
      <c r="J334" s="76" t="e">
        <f t="shared" si="55"/>
        <v>#VALUE!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71" t="str">
        <f t="shared" si="57"/>
        <v>JB1-10</v>
      </c>
      <c r="F335" t="e">
        <f t="shared" si="54"/>
        <v>#VALUE!</v>
      </c>
      <c r="G335" s="76" t="e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#VALUE!</v>
      </c>
      <c r="H335" s="171" t="e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#VALUE!</v>
      </c>
      <c r="I335" s="171" t="e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#VALUE!</v>
      </c>
      <c r="J335" s="76" t="e">
        <f t="shared" si="55"/>
        <v>#VALUE!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71" t="str">
        <f t="shared" si="57"/>
        <v>JB1-10</v>
      </c>
      <c r="F336" t="e">
        <f t="shared" ref="F336:F399" si="58">IF(I336&lt;&gt;0,"Halm",IF(B336&lt;&gt;"Permanent græs",B336,"Græs"))</f>
        <v>#VALUE!</v>
      </c>
      <c r="G336" s="76" t="e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#VALUE!</v>
      </c>
      <c r="H336" s="171" t="e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#VALUE!</v>
      </c>
      <c r="I336" s="171" t="e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#VALUE!</v>
      </c>
      <c r="J336" s="76" t="e">
        <f t="shared" si="55"/>
        <v>#VALUE!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71" t="str">
        <f t="shared" si="57"/>
        <v>JB1-10</v>
      </c>
      <c r="F337" t="e">
        <f t="shared" si="58"/>
        <v>#VALUE!</v>
      </c>
      <c r="G337" s="76" t="e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#VALUE!</v>
      </c>
      <c r="H337" s="171" t="e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#VALUE!</v>
      </c>
      <c r="I337" s="171" t="e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#VALUE!</v>
      </c>
      <c r="J337" s="76" t="e">
        <f t="shared" si="55"/>
        <v>#VALUE!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71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71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71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71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71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71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71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71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71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71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71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71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71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71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71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71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71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71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71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71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71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71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71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71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71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71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71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71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71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71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71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71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71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71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71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71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71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71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71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71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71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71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71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1752.9487519585884</v>
      </c>
      <c r="H352" s="171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14745.804901475647</v>
      </c>
      <c r="I352" s="171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6933.951173656309</v>
      </c>
      <c r="J352" s="76">
        <f t="shared" si="60"/>
        <v>6933.951173656309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71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47.402536309570174</v>
      </c>
      <c r="H353" s="171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219.56854818592902</v>
      </c>
      <c r="I353" s="171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93.910619514131326</v>
      </c>
      <c r="J353" s="76">
        <f t="shared" si="60"/>
        <v>93.910619514131326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71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191.46624906280843</v>
      </c>
      <c r="H354" s="171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1010.9417950516286</v>
      </c>
      <c r="I354" s="171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777.89014124472294</v>
      </c>
      <c r="J354" s="76">
        <f t="shared" si="60"/>
        <v>777.89014124472294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71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562.99099727781993</v>
      </c>
      <c r="H355" s="171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33522.735941910505</v>
      </c>
      <c r="I355" s="171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33522.735941910505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71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10.662439786194978</v>
      </c>
      <c r="H356" s="171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265.49475067625497</v>
      </c>
      <c r="I356" s="171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265.49475067625497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71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18.127123488677832</v>
      </c>
      <c r="H357" s="171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923.85028726105998</v>
      </c>
      <c r="I357" s="171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923.85028726105998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71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50.643369270114505</v>
      </c>
      <c r="H358" s="171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4937.9552651911044</v>
      </c>
      <c r="I358" s="171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4937.9552651911044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71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53.993646777040333</v>
      </c>
      <c r="H359" s="171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2883.9086616552786</v>
      </c>
      <c r="I359" s="171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2883.9086616552786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71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11.647539532185737</v>
      </c>
      <c r="H360" s="171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118.66513275390831</v>
      </c>
      <c r="I360" s="171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118.66513275390831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71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83.169081452753318</v>
      </c>
      <c r="H361" s="171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2973.7215031127798</v>
      </c>
      <c r="I361" s="171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2973.7215031127798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71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603.80358732362868</v>
      </c>
      <c r="H362" s="171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10353.198462420129</v>
      </c>
      <c r="I362" s="171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2477.9157290165494</v>
      </c>
      <c r="J362" s="76">
        <f t="shared" si="60"/>
        <v>2477.9157290165494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71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18.25162816502359</v>
      </c>
      <c r="H363" s="171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1095.0976899014156</v>
      </c>
      <c r="I363" s="171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1095.0976899014156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71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38.736771764982237</v>
      </c>
      <c r="H364" s="171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1133.7591736092363</v>
      </c>
      <c r="I364" s="171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1133.7591736092363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71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4383.0738282155862</v>
      </c>
      <c r="H365" s="171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72531.105709311538</v>
      </c>
      <c r="I365" s="171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72531.105709311538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71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1671.8875379951853</v>
      </c>
      <c r="H366" s="171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14063.917969615499</v>
      </c>
      <c r="I366" s="171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6613.3060326779805</v>
      </c>
      <c r="J366" s="76">
        <f t="shared" si="60"/>
        <v>6613.3060326779805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71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45.21051150912762</v>
      </c>
      <c r="H367" s="171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209.41508931027917</v>
      </c>
      <c r="I367" s="171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89.56793190654146</v>
      </c>
      <c r="J367" s="76">
        <f t="shared" si="60"/>
        <v>89.56793190654146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71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182.61231847030859</v>
      </c>
      <c r="H368" s="171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964.19304152322934</v>
      </c>
      <c r="I368" s="171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741.91834280566047</v>
      </c>
      <c r="J368" s="76">
        <f t="shared" si="60"/>
        <v>741.91834280566047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71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536.95673150774724</v>
      </c>
      <c r="H369" s="171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31972.551620897299</v>
      </c>
      <c r="I369" s="171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31972.551620897299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71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10.169378986833362</v>
      </c>
      <c r="H370" s="171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253.21753677215071</v>
      </c>
      <c r="I370" s="171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253.21753677215071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71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17.288875003652265</v>
      </c>
      <c r="H371" s="171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881.12888669407448</v>
      </c>
      <c r="I371" s="171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881.12888669407448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71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48.301479361669905</v>
      </c>
      <c r="H372" s="171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4709.6105130435399</v>
      </c>
      <c r="I372" s="171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4709.6105130435399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71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51.496830741107829</v>
      </c>
      <c r="H373" s="171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2750.5487235440514</v>
      </c>
      <c r="I373" s="171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2750.5487235440514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71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11.108924987344778</v>
      </c>
      <c r="H374" s="171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113.17772777106862</v>
      </c>
      <c r="I374" s="171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113.17772777106862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71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79.323112368232927</v>
      </c>
      <c r="H375" s="171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2836.2083700208591</v>
      </c>
      <c r="I375" s="171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2836.2083700208591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71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575.88203415259386</v>
      </c>
      <c r="H376" s="171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9874.4378398804711</v>
      </c>
      <c r="I376" s="171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2363.3300305649177</v>
      </c>
      <c r="J376" s="76">
        <f t="shared" si="60"/>
        <v>2363.3300305649177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71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17.407622238317295</v>
      </c>
      <c r="H377" s="171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1044.4573342990377</v>
      </c>
      <c r="I377" s="171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1044.4573342990377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71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36.945475960821213</v>
      </c>
      <c r="H378" s="171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1081.3310037313527</v>
      </c>
      <c r="I378" s="171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1081.3310037313527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71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4180.3883332692003</v>
      </c>
      <c r="H379" s="171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69177.066138938724</v>
      </c>
      <c r="I379" s="171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69177.066138938724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71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71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71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71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71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71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71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71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71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71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71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71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71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71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71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71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71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71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71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71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71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71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71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71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71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71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71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71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71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71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71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71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71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71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71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71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71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71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71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71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71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71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71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273.58159712648495</v>
      </c>
      <c r="H394" s="171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1541.9168246687541</v>
      </c>
      <c r="I394" s="171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725.05882503724069</v>
      </c>
      <c r="J394" s="76">
        <f t="shared" si="60"/>
        <v>725.05882503724069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71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7.3980837014936114</v>
      </c>
      <c r="H395" s="171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19.532716512031495</v>
      </c>
      <c r="I395" s="171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8.3542452851010474</v>
      </c>
      <c r="J395" s="76">
        <f t="shared" si="60"/>
        <v>8.3542452851010474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71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29.882015749686865</v>
      </c>
      <c r="H396" s="171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86.77737373709067</v>
      </c>
      <c r="I396" s="171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66.772650852509457</v>
      </c>
      <c r="J396" s="76">
        <f t="shared" si="60"/>
        <v>66.772650852509457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71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87.865646973995027</v>
      </c>
      <c r="H397" s="171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4080.8602250672566</v>
      </c>
      <c r="I397" s="171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4080.8602250672566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71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1.6640801978454596</v>
      </c>
      <c r="H398" s="171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23.618290248020603</v>
      </c>
      <c r="I398" s="171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23.618290248020603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71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2.8290886369612802</v>
      </c>
      <c r="H399" s="171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82.185294340738224</v>
      </c>
      <c r="I399" s="171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82.185294340738224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71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7.9038784410005301</v>
      </c>
      <c r="H400" s="171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439.27821694387916</v>
      </c>
      <c r="I400" s="171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439.27821694387916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71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8.4267541212721913</v>
      </c>
      <c r="H401" s="171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373.57452663407389</v>
      </c>
      <c r="I401" s="171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373.57452663407389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71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1.8178240888382367</v>
      </c>
      <c r="H402" s="171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10.556395335737855</v>
      </c>
      <c r="I402" s="171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10.556395335737855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71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12.9801456602563</v>
      </c>
      <c r="H403" s="171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264.54088978558201</v>
      </c>
      <c r="I403" s="171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264.54088978558201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71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94.235241952242646</v>
      </c>
      <c r="H404" s="171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921.01574761066934</v>
      </c>
      <c r="I404" s="171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220.43423739632777</v>
      </c>
      <c r="J404" s="76">
        <f t="shared" si="60"/>
        <v>220.43423739632777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71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2.8485200026337401</v>
      </c>
      <c r="H405" s="171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97.419384090073905</v>
      </c>
      <c r="I405" s="171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97.419384090073905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71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6.0456233390434706</v>
      </c>
      <c r="H406" s="171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100.85869180257887</v>
      </c>
      <c r="I406" s="171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100.85869180257887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71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684.06354544405099</v>
      </c>
      <c r="H407" s="171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11319.883550008157</v>
      </c>
      <c r="I407" s="171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11319.883550008157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71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354.6428110898878</v>
      </c>
      <c r="H408" s="171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1998.7810690150513</v>
      </c>
      <c r="I408" s="171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939.89106949271923</v>
      </c>
      <c r="J408" s="76">
        <f t="shared" si="64"/>
        <v>939.89106949271923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71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9.5901085019361609</v>
      </c>
      <c r="H409" s="171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25.320188071151932</v>
      </c>
      <c r="I409" s="171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10.829577221427284</v>
      </c>
      <c r="J409" s="76">
        <f t="shared" si="64"/>
        <v>10.829577221427284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71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38.735946342186679</v>
      </c>
      <c r="H410" s="171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112.48918817771012</v>
      </c>
      <c r="I410" s="171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86.557139993993758</v>
      </c>
      <c r="J410" s="76">
        <f t="shared" si="64"/>
        <v>86.557139993993758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71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113.89991274406761</v>
      </c>
      <c r="H411" s="171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5290.003995457555</v>
      </c>
      <c r="I411" s="171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5290.003995457555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71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2.1571409972070765</v>
      </c>
      <c r="H412" s="171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30.61630217336004</v>
      </c>
      <c r="I412" s="171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30.61630217336004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71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3.6673371219868445</v>
      </c>
      <c r="H413" s="171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106.53649266391993</v>
      </c>
      <c r="I413" s="171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106.53649266391993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71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10.245768349445131</v>
      </c>
      <c r="H414" s="171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569.43472566799153</v>
      </c>
      <c r="I414" s="171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569.43472566799153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71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10.923570157204692</v>
      </c>
      <c r="H415" s="171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484.2632752663921</v>
      </c>
      <c r="I415" s="171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484.2632752663921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71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2.3564386336791951</v>
      </c>
      <c r="H416" s="171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13.684216175956474</v>
      </c>
      <c r="I416" s="171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13.684216175956474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71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16.826114744776682</v>
      </c>
      <c r="H417" s="171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342.92337564797663</v>
      </c>
      <c r="I417" s="171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342.92337564797663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71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122.15679512327748</v>
      </c>
      <c r="H418" s="171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1193.9093024582751</v>
      </c>
      <c r="I418" s="171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285.7480855137581</v>
      </c>
      <c r="J418" s="76">
        <f t="shared" si="64"/>
        <v>285.7480855137581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71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3.6925259293400323</v>
      </c>
      <c r="H419" s="171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126.2843867834291</v>
      </c>
      <c r="I419" s="171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126.2843867834291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71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7.8369191432044989</v>
      </c>
      <c r="H420" s="171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130.74274863297259</v>
      </c>
      <c r="I420" s="171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130.74274863297259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71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886.74904039043645</v>
      </c>
      <c r="H421" s="171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14673.923120380941</v>
      </c>
      <c r="I421" s="171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14673.923120380941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71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71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71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71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71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71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71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71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71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71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71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71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71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71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71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71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71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71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71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71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71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71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71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71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71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71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71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71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71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71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71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71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71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71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71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71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71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71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71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71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71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71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71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1053.0573109296802</v>
      </c>
      <c r="H436" s="171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10334.704449463881</v>
      </c>
      <c r="I436" s="171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4859.7100345183562</v>
      </c>
      <c r="J436" s="76">
        <f t="shared" si="64"/>
        <v>4859.7100345183562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71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19.126993325199422</v>
      </c>
      <c r="H437" s="171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103.36227192937768</v>
      </c>
      <c r="I437" s="171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44.208585753622174</v>
      </c>
      <c r="J437" s="76">
        <f t="shared" si="64"/>
        <v>44.208585753622174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71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93.430886843548848</v>
      </c>
      <c r="H438" s="171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575.53426295626093</v>
      </c>
      <c r="I438" s="171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442.85678096765128</v>
      </c>
      <c r="J438" s="76">
        <f t="shared" si="64"/>
        <v>442.85678096765128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71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686.58489509283288</v>
      </c>
      <c r="H439" s="171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47695.679492308911</v>
      </c>
      <c r="I439" s="171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47695.679492308911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71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3.2314797199590726</v>
      </c>
      <c r="H440" s="171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93.874485864811049</v>
      </c>
      <c r="I440" s="171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93.874485864811049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71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18.419048913328059</v>
      </c>
      <c r="H441" s="171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1095.1830046465504</v>
      </c>
      <c r="I441" s="171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1095.1830046465504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71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21.211111456389141</v>
      </c>
      <c r="H442" s="171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2412.8747324778428</v>
      </c>
      <c r="I442" s="171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2412.8747324778428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71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21.786516121482823</v>
      </c>
      <c r="H443" s="171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1357.6049655940806</v>
      </c>
      <c r="I443" s="171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1357.6049655940806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71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7.9057923278821436</v>
      </c>
      <c r="H444" s="171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93.968247609207168</v>
      </c>
      <c r="I444" s="171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93.968247609207168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71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56.451191622853806</v>
      </c>
      <c r="H445" s="171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2354.8231231900932</v>
      </c>
      <c r="I445" s="171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2354.8231231900932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71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528.28027242495364</v>
      </c>
      <c r="H446" s="171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10567.932556534564</v>
      </c>
      <c r="I446" s="171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2529.3097973610966</v>
      </c>
      <c r="J446" s="76">
        <f t="shared" si="64"/>
        <v>2529.3097973610966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71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12.388331588802384</v>
      </c>
      <c r="H447" s="171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867.18321121616691</v>
      </c>
      <c r="I447" s="171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867.18321121616691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71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37.789605201644072</v>
      </c>
      <c r="H448" s="171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1290.3767629829683</v>
      </c>
      <c r="I448" s="171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1290.3767629829683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71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3393.0422285443651</v>
      </c>
      <c r="H449" s="171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65506.073264277518</v>
      </c>
      <c r="I449" s="171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65506.073264277518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71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1004.3610190947816</v>
      </c>
      <c r="H450" s="171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9856.7990413961852</v>
      </c>
      <c r="I450" s="171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4634.9835589336917</v>
      </c>
      <c r="J450" s="76">
        <f t="shared" si="64"/>
        <v>4634.9835589336917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71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18.242508084727771</v>
      </c>
      <c r="H451" s="171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98.582513689868875</v>
      </c>
      <c r="I451" s="171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42.164258088714782</v>
      </c>
      <c r="J451" s="76">
        <f t="shared" si="64"/>
        <v>42.164258088714782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71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89.110383405696865</v>
      </c>
      <c r="H452" s="171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548.91996177909266</v>
      </c>
      <c r="I452" s="171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422.37785468012981</v>
      </c>
      <c r="J452" s="76">
        <f t="shared" si="64"/>
        <v>422.37785468012981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71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654.83530456830886</v>
      </c>
      <c r="H453" s="171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45490.098937751281</v>
      </c>
      <c r="I453" s="171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45490.098937751281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71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3.0820471317528724</v>
      </c>
      <c r="H454" s="171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89.53346917742094</v>
      </c>
      <c r="I454" s="171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89.53346917742094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71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17.567300986700172</v>
      </c>
      <c r="H455" s="171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1044.5387038536462</v>
      </c>
      <c r="I455" s="171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1044.5387038536462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71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20.230250811006982</v>
      </c>
      <c r="H456" s="171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2301.2967101667286</v>
      </c>
      <c r="I456" s="171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2301.2967101667286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71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20.77904716788824</v>
      </c>
      <c r="H457" s="171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1294.825545219788</v>
      </c>
      <c r="I457" s="171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1294.825545219788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71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7.5402065554945299</v>
      </c>
      <c r="H458" s="171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89.622895118608</v>
      </c>
      <c r="I458" s="171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89.622895118608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71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53.840731894629357</v>
      </c>
      <c r="H459" s="171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2245.9295683604932</v>
      </c>
      <c r="I459" s="171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2245.9295683604932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71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503.85112687929109</v>
      </c>
      <c r="H460" s="171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10079.242033689035</v>
      </c>
      <c r="I460" s="171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2412.3474945929534</v>
      </c>
      <c r="J460" s="76">
        <f t="shared" si="64"/>
        <v>2412.3474945929534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71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11.815460763886664</v>
      </c>
      <c r="H461" s="171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827.08225347206644</v>
      </c>
      <c r="I461" s="171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827.08225347206644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71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36.042109007348387</v>
      </c>
      <c r="H462" s="171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1230.7061612265302</v>
      </c>
      <c r="I462" s="171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1230.7061612265302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71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3236.1385416752614</v>
      </c>
      <c r="H463" s="171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62476.890685582592</v>
      </c>
      <c r="I463" s="171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62476.890685582592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71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71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71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71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71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71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71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71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71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71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71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71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71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71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71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71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71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71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71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71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71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71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71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71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71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71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71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71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71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71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71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71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71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71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71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71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71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71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71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71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71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71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71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164.34998494278247</v>
      </c>
      <c r="H478" s="171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1080.6636039930729</v>
      </c>
      <c r="I478" s="171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508.16274291582124</v>
      </c>
      <c r="J478" s="76">
        <f t="shared" si="68"/>
        <v>508.16274291582124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71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2.9851376865918176</v>
      </c>
      <c r="H479" s="171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9.1950599132550419</v>
      </c>
      <c r="I479" s="171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3.9327753453655783</v>
      </c>
      <c r="J479" s="76">
        <f t="shared" si="68"/>
        <v>3.9327753453655783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71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14.581699102750399</v>
      </c>
      <c r="H480" s="171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49.402796560118354</v>
      </c>
      <c r="I480" s="171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38.014006921211696</v>
      </c>
      <c r="J480" s="76">
        <f t="shared" si="68"/>
        <v>38.014006921211696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71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107.15486802026872</v>
      </c>
      <c r="H481" s="171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5806.1908098729809</v>
      </c>
      <c r="I481" s="171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5806.1908098729809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71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0.50433498519592468</v>
      </c>
      <c r="H482" s="171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8.3510308523667174</v>
      </c>
      <c r="I482" s="171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8.3510308523667174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71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2.8746492523691192</v>
      </c>
      <c r="H483" s="171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97.426973650349197</v>
      </c>
      <c r="I483" s="171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97.426973650349197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71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3.3104046781647791</v>
      </c>
      <c r="H484" s="171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214.64822042100579</v>
      </c>
      <c r="I484" s="171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214.64822042100579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71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3.4002077183817128</v>
      </c>
      <c r="H485" s="171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175.86085132348759</v>
      </c>
      <c r="I485" s="171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175.86085132348759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71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1.2338519818081959</v>
      </c>
      <c r="H486" s="171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8.3593718537901633</v>
      </c>
      <c r="I486" s="171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8.3593718537901633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71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8.8103015827575319</v>
      </c>
      <c r="H487" s="171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209.48397610344239</v>
      </c>
      <c r="I487" s="171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209.48397610344239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71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82.448366216611277</v>
      </c>
      <c r="H488" s="171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940.11839332408658</v>
      </c>
      <c r="I488" s="171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225.00622995021547</v>
      </c>
      <c r="J488" s="76">
        <f t="shared" ref="J488:J505" si="70">IF(I488&lt;&gt;0,I488,H488)</f>
        <v>225.00622995021547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71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1.9334390340905452</v>
      </c>
      <c r="H489" s="171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77.144217460212744</v>
      </c>
      <c r="I489" s="171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77.144217460212744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71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5.8977996557479182</v>
      </c>
      <c r="H490" s="171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114.79132012894728</v>
      </c>
      <c r="I490" s="171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114.79132012894728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71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529.54994318322474</v>
      </c>
      <c r="H491" s="171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10223.491203095338</v>
      </c>
      <c r="I491" s="171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10223.491203095338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71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213.04627677768096</v>
      </c>
      <c r="H492" s="171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1400.8602273984279</v>
      </c>
      <c r="I492" s="171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658.72948155754602</v>
      </c>
      <c r="J492" s="76">
        <f t="shared" si="70"/>
        <v>658.72948155754602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71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3.8696229270634666</v>
      </c>
      <c r="H493" s="171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11.919522109775052</v>
      </c>
      <c r="I493" s="171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5.0980421143627872</v>
      </c>
      <c r="J493" s="76">
        <f t="shared" si="70"/>
        <v>5.0980421143627872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71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18.902202540602364</v>
      </c>
      <c r="H494" s="171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64.040662207560814</v>
      </c>
      <c r="I494" s="171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49.277416379348487</v>
      </c>
      <c r="J494" s="76">
        <f t="shared" si="70"/>
        <v>49.277416379348487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71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138.90445854479279</v>
      </c>
      <c r="H495" s="171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7526.5436424279396</v>
      </c>
      <c r="I495" s="171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7526.5436424279396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71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0.65376757340212444</v>
      </c>
      <c r="H496" s="171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10.825410364179078</v>
      </c>
      <c r="I496" s="171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10.825410364179078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71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3.7263971789970061</v>
      </c>
      <c r="H497" s="171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126.29422510230449</v>
      </c>
      <c r="I497" s="171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126.29422510230449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71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4.291265323546936</v>
      </c>
      <c r="H498" s="171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278.24769313834076</v>
      </c>
      <c r="I498" s="171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278.24769313834076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71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4.4076766719762936</v>
      </c>
      <c r="H499" s="171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227.96777023415052</v>
      </c>
      <c r="I499" s="171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227.96777023415052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71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1.5994377541958094</v>
      </c>
      <c r="H500" s="171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10.836222773431693</v>
      </c>
      <c r="I500" s="171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10.836222773431693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71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11.420761310981984</v>
      </c>
      <c r="H501" s="171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271.55330235631408</v>
      </c>
      <c r="I501" s="171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271.55330235631408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71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106.87751176227387</v>
      </c>
      <c r="H502" s="171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1218.6719913460379</v>
      </c>
      <c r="I502" s="171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291.6747425280571</v>
      </c>
      <c r="J502" s="76">
        <f t="shared" si="70"/>
        <v>291.6747425280571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71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2.5063098590062625</v>
      </c>
      <c r="H503" s="171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100.00176337434986</v>
      </c>
      <c r="I503" s="171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100.00176337434986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71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7.6452958500435964</v>
      </c>
      <c r="H504" s="171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148.80356313011683</v>
      </c>
      <c r="I504" s="171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148.80356313011683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71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686.45363005232821</v>
      </c>
      <c r="H505" s="171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13252.673781790247</v>
      </c>
      <c r="I505" s="171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13252.673781790247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11</vt:i4>
      </vt:variant>
    </vt:vector>
  </HeadingPairs>
  <TitlesOfParts>
    <vt:vector size="46" baseType="lpstr">
      <vt:lpstr>Overblik</vt:lpstr>
      <vt:lpstr>Resume</vt:lpstr>
      <vt:lpstr>Arealanvendelse</vt:lpstr>
      <vt:lpstr>Landbrug</vt:lpstr>
      <vt:lpstr>Fodersammensætning</vt:lpstr>
      <vt:lpstr>Skovbrug</vt:lpstr>
      <vt:lpstr>Havbrug</vt:lpstr>
      <vt:lpstr>Adfærd</vt:lpstr>
      <vt:lpstr>Biogasanlæg</vt:lpstr>
      <vt:lpstr>Forbrug til andet</vt:lpstr>
      <vt:lpstr>Avanceret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2021-09-10T12:38:04Z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923545479774475</vt:r8>
  </property>
</Properties>
</file>