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1DF15C21-E1EC-4645-AEFC-5B5A49D32C28}" xr6:coauthVersionLast="47" xr6:coauthVersionMax="47" xr10:uidLastSave="{00000000-0000-0000-0000-000000000000}"/>
  <bookViews>
    <workbookView xWindow="-120" yWindow="-120" windowWidth="29040" windowHeight="15840" tabRatio="945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state="hidden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60" r:id="rId37"/>
    <pivotCache cacheId="161" r:id="rId38"/>
    <pivotCache cacheId="162" r:id="rId39"/>
    <pivotCache cacheId="163" r:id="rId40"/>
    <pivotCache cacheId="164" r:id="rId41"/>
    <pivotCache cacheId="165" r:id="rId42"/>
    <pivotCache cacheId="166" r:id="rId43"/>
    <pivotCache cacheId="167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39" l="1"/>
  <c r="D5" i="39"/>
  <c r="D4" i="39"/>
  <c r="D3" i="39"/>
  <c r="E35" i="17"/>
  <c r="D17" i="17" l="1"/>
  <c r="E17" i="17" s="1"/>
  <c r="C5" i="9"/>
  <c r="D5" i="9" s="1"/>
  <c r="C33" i="17" l="1"/>
  <c r="D33" i="17" s="1"/>
  <c r="E33" i="17" s="1"/>
  <c r="C34" i="17"/>
  <c r="D34" i="17" s="1"/>
  <c r="C35" i="17"/>
  <c r="C36" i="17"/>
  <c r="D36" i="17" s="1"/>
  <c r="E36" i="17" s="1"/>
  <c r="C37" i="17"/>
  <c r="D37" i="17" s="1"/>
  <c r="E37" i="17" s="1"/>
  <c r="C38" i="17"/>
  <c r="C39" i="17"/>
  <c r="C40" i="17"/>
  <c r="D40" i="17" s="1"/>
  <c r="E40" i="17" s="1"/>
  <c r="C41" i="17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D39" i="17" l="1"/>
  <c r="E39" i="17" s="1"/>
  <c r="D41" i="17"/>
  <c r="E41" i="17" s="1"/>
  <c r="D38" i="17"/>
  <c r="E38" i="17" s="1"/>
  <c r="E34" i="17"/>
  <c r="E32" i="17"/>
  <c r="D46" i="17" l="1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D15" i="34" s="1"/>
  <c r="A16" i="34"/>
  <c r="C201" i="38" s="1"/>
  <c r="B26" i="6"/>
  <c r="C198" i="38" l="1"/>
  <c r="C197" i="38"/>
  <c r="E15" i="34"/>
  <c r="E14" i="34" s="1"/>
  <c r="D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K5" i="9" l="1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A6" i="41" s="1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406" i="41" l="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2" i="38"/>
  <c r="D67" i="38"/>
  <c r="F3" i="37"/>
  <c r="F5" i="37"/>
  <c r="F5" i="41" s="1"/>
  <c r="F7" i="37"/>
  <c r="F7" i="41" s="1"/>
  <c r="F8" i="37"/>
  <c r="A3" i="37"/>
  <c r="A3" i="41" s="1"/>
  <c r="D3" i="37"/>
  <c r="D3" i="41" s="1"/>
  <c r="B3" i="37"/>
  <c r="B3" i="41" s="1"/>
  <c r="C3" i="37"/>
  <c r="C3" i="41" s="1"/>
  <c r="G183" i="35"/>
  <c r="G184" i="35"/>
  <c r="A5" i="37"/>
  <c r="A5" i="41" s="1"/>
  <c r="D5" i="37"/>
  <c r="D5" i="41" s="1"/>
  <c r="B5" i="37"/>
  <c r="B5" i="41" s="1"/>
  <c r="C5" i="37"/>
  <c r="C5" i="41" s="1"/>
  <c r="A7" i="37"/>
  <c r="A7" i="41" s="1"/>
  <c r="D7" i="37"/>
  <c r="D7" i="41" s="1"/>
  <c r="B7" i="37"/>
  <c r="B7" i="41" s="1"/>
  <c r="C7" i="37"/>
  <c r="C7" i="41" s="1"/>
  <c r="A8" i="37"/>
  <c r="A8" i="41" s="1"/>
  <c r="D8" i="37"/>
  <c r="D8" i="41" s="1"/>
  <c r="B8" i="37"/>
  <c r="B8" i="41" s="1"/>
  <c r="C8" i="37"/>
  <c r="C8" i="41" s="1"/>
  <c r="A9" i="37"/>
  <c r="A9" i="41" s="1"/>
  <c r="D9" i="37"/>
  <c r="D9" i="41" s="1"/>
  <c r="B9" i="37"/>
  <c r="B9" i="41" s="1"/>
  <c r="C9" i="37"/>
  <c r="C9" i="41" s="1"/>
  <c r="F9" i="37"/>
  <c r="F9" i="41" s="1"/>
  <c r="A10" i="37"/>
  <c r="A10" i="41" s="1"/>
  <c r="D10" i="37"/>
  <c r="D10" i="41" s="1"/>
  <c r="B10" i="37"/>
  <c r="B10" i="41" s="1"/>
  <c r="C10" i="37"/>
  <c r="C10" i="41" s="1"/>
  <c r="F10" i="37"/>
  <c r="F10" i="41" s="1"/>
  <c r="A11" i="37"/>
  <c r="A11" i="41" s="1"/>
  <c r="D11" i="37"/>
  <c r="D11" i="41" s="1"/>
  <c r="B11" i="37"/>
  <c r="B11" i="41" s="1"/>
  <c r="C11" i="37"/>
  <c r="C11" i="41" s="1"/>
  <c r="F11" i="37"/>
  <c r="F11" i="41" s="1"/>
  <c r="A12" i="37"/>
  <c r="A12" i="41" s="1"/>
  <c r="D12" i="37"/>
  <c r="D12" i="41" s="1"/>
  <c r="B12" i="37"/>
  <c r="B12" i="41" s="1"/>
  <c r="C12" i="37"/>
  <c r="C12" i="41" s="1"/>
  <c r="F12" i="37"/>
  <c r="F12" i="41" s="1"/>
  <c r="A13" i="37"/>
  <c r="A13" i="41" s="1"/>
  <c r="D13" i="37"/>
  <c r="D13" i="41" s="1"/>
  <c r="B13" i="37"/>
  <c r="B13" i="41" s="1"/>
  <c r="C13" i="37"/>
  <c r="C13" i="41" s="1"/>
  <c r="F13" i="37"/>
  <c r="F13" i="41" s="1"/>
  <c r="A14" i="37"/>
  <c r="A14" i="41" s="1"/>
  <c r="D14" i="37"/>
  <c r="D14" i="41" s="1"/>
  <c r="B14" i="37"/>
  <c r="B14" i="41" s="1"/>
  <c r="C14" i="37"/>
  <c r="C14" i="41" s="1"/>
  <c r="F14" i="37"/>
  <c r="F14" i="41" s="1"/>
  <c r="A15" i="37"/>
  <c r="A15" i="41" s="1"/>
  <c r="D15" i="37"/>
  <c r="D15" i="41" s="1"/>
  <c r="B15" i="37"/>
  <c r="B15" i="41" s="1"/>
  <c r="C15" i="37"/>
  <c r="C15" i="41" s="1"/>
  <c r="F15" i="37"/>
  <c r="F15" i="41" s="1"/>
  <c r="A16" i="37"/>
  <c r="A16" i="41" s="1"/>
  <c r="D16" i="37"/>
  <c r="D16" i="41" s="1"/>
  <c r="B16" i="37"/>
  <c r="B16" i="41" s="1"/>
  <c r="C16" i="37"/>
  <c r="C16" i="41" s="1"/>
  <c r="F16" i="37"/>
  <c r="F16" i="41" s="1"/>
  <c r="A17" i="37"/>
  <c r="A17" i="41" s="1"/>
  <c r="D17" i="37"/>
  <c r="D17" i="41" s="1"/>
  <c r="B17" i="37"/>
  <c r="B17" i="41" s="1"/>
  <c r="C17" i="37"/>
  <c r="C17" i="41" s="1"/>
  <c r="F17" i="37"/>
  <c r="F17" i="41" s="1"/>
  <c r="A18" i="37"/>
  <c r="A18" i="41" s="1"/>
  <c r="D18" i="37"/>
  <c r="D18" i="41" s="1"/>
  <c r="B18" i="37"/>
  <c r="B18" i="41" s="1"/>
  <c r="C18" i="37"/>
  <c r="C18" i="41" s="1"/>
  <c r="F18" i="37"/>
  <c r="F18" i="41" s="1"/>
  <c r="A19" i="37"/>
  <c r="A19" i="41" s="1"/>
  <c r="D19" i="37"/>
  <c r="D19" i="41" s="1"/>
  <c r="B19" i="37"/>
  <c r="B19" i="41" s="1"/>
  <c r="C19" i="37"/>
  <c r="C19" i="41" s="1"/>
  <c r="F19" i="37"/>
  <c r="F19" i="41" s="1"/>
  <c r="A20" i="37"/>
  <c r="A20" i="41" s="1"/>
  <c r="D20" i="37"/>
  <c r="D20" i="41" s="1"/>
  <c r="B20" i="37"/>
  <c r="B20" i="41" s="1"/>
  <c r="C20" i="37"/>
  <c r="C20" i="41" s="1"/>
  <c r="F20" i="37"/>
  <c r="F20" i="41" s="1"/>
  <c r="A21" i="37"/>
  <c r="A21" i="41" s="1"/>
  <c r="D21" i="37"/>
  <c r="D21" i="41" s="1"/>
  <c r="B21" i="37"/>
  <c r="B21" i="41" s="1"/>
  <c r="C21" i="37"/>
  <c r="C21" i="41" s="1"/>
  <c r="F21" i="37"/>
  <c r="F21" i="41" s="1"/>
  <c r="A22" i="37"/>
  <c r="A22" i="41" s="1"/>
  <c r="D22" i="37"/>
  <c r="D22" i="41" s="1"/>
  <c r="B22" i="37"/>
  <c r="B22" i="41" s="1"/>
  <c r="C22" i="37"/>
  <c r="C22" i="41" s="1"/>
  <c r="F22" i="37"/>
  <c r="F22" i="41" s="1"/>
  <c r="A23" i="37"/>
  <c r="A23" i="41" s="1"/>
  <c r="D23" i="37"/>
  <c r="D23" i="41" s="1"/>
  <c r="B23" i="37"/>
  <c r="B23" i="41" s="1"/>
  <c r="C23" i="37"/>
  <c r="C23" i="41" s="1"/>
  <c r="F23" i="37"/>
  <c r="F23" i="41" s="1"/>
  <c r="A24" i="37"/>
  <c r="A24" i="41" s="1"/>
  <c r="D24" i="37"/>
  <c r="D24" i="41" s="1"/>
  <c r="B24" i="37"/>
  <c r="B24" i="41" s="1"/>
  <c r="C24" i="37"/>
  <c r="C24" i="41" s="1"/>
  <c r="F24" i="37"/>
  <c r="F24" i="41" s="1"/>
  <c r="A25" i="37"/>
  <c r="A25" i="41" s="1"/>
  <c r="D25" i="37"/>
  <c r="D25" i="41" s="1"/>
  <c r="B25" i="37"/>
  <c r="B25" i="41" s="1"/>
  <c r="C25" i="37"/>
  <c r="C25" i="41" s="1"/>
  <c r="F25" i="37"/>
  <c r="F25" i="41" s="1"/>
  <c r="A26" i="37"/>
  <c r="A26" i="41" s="1"/>
  <c r="D26" i="37"/>
  <c r="D26" i="41" s="1"/>
  <c r="B26" i="37"/>
  <c r="B26" i="41" s="1"/>
  <c r="C26" i="37"/>
  <c r="C26" i="41" s="1"/>
  <c r="F26" i="37"/>
  <c r="F26" i="41" s="1"/>
  <c r="A27" i="37"/>
  <c r="A27" i="41" s="1"/>
  <c r="D27" i="37"/>
  <c r="D27" i="41" s="1"/>
  <c r="B27" i="37"/>
  <c r="B27" i="41" s="1"/>
  <c r="C27" i="37"/>
  <c r="C27" i="41" s="1"/>
  <c r="F27" i="37"/>
  <c r="F27" i="41" s="1"/>
  <c r="A28" i="37"/>
  <c r="A28" i="41" s="1"/>
  <c r="D28" i="37"/>
  <c r="D28" i="41" s="1"/>
  <c r="B28" i="37"/>
  <c r="B28" i="41" s="1"/>
  <c r="C28" i="37"/>
  <c r="C28" i="41" s="1"/>
  <c r="F28" i="37"/>
  <c r="F28" i="41" s="1"/>
  <c r="A29" i="37"/>
  <c r="A29" i="41" s="1"/>
  <c r="D29" i="37"/>
  <c r="D29" i="41" s="1"/>
  <c r="B29" i="37"/>
  <c r="B29" i="41" s="1"/>
  <c r="C29" i="37"/>
  <c r="C29" i="41" s="1"/>
  <c r="F29" i="37"/>
  <c r="F29" i="41" s="1"/>
  <c r="A30" i="37"/>
  <c r="A30" i="41" s="1"/>
  <c r="D30" i="37"/>
  <c r="D30" i="41" s="1"/>
  <c r="B30" i="37"/>
  <c r="B30" i="41" s="1"/>
  <c r="C30" i="37"/>
  <c r="C30" i="41" s="1"/>
  <c r="F30" i="37"/>
  <c r="F30" i="41" s="1"/>
  <c r="A31" i="37"/>
  <c r="A31" i="41" s="1"/>
  <c r="D31" i="37"/>
  <c r="D31" i="41" s="1"/>
  <c r="B31" i="37"/>
  <c r="B31" i="41" s="1"/>
  <c r="C31" i="37"/>
  <c r="C31" i="41" s="1"/>
  <c r="F31" i="37"/>
  <c r="F31" i="41" s="1"/>
  <c r="A32" i="37"/>
  <c r="A32" i="41" s="1"/>
  <c r="D32" i="37"/>
  <c r="D32" i="41" s="1"/>
  <c r="B32" i="37"/>
  <c r="B32" i="41" s="1"/>
  <c r="C32" i="37"/>
  <c r="C32" i="41" s="1"/>
  <c r="F32" i="37"/>
  <c r="F32" i="41" s="1"/>
  <c r="A33" i="37"/>
  <c r="A33" i="41" s="1"/>
  <c r="D33" i="37"/>
  <c r="D33" i="41" s="1"/>
  <c r="B33" i="37"/>
  <c r="B33" i="41" s="1"/>
  <c r="C33" i="37"/>
  <c r="C33" i="41" s="1"/>
  <c r="F33" i="37"/>
  <c r="F33" i="41" s="1"/>
  <c r="A34" i="37"/>
  <c r="A34" i="41" s="1"/>
  <c r="D34" i="37"/>
  <c r="D34" i="41" s="1"/>
  <c r="B34" i="37"/>
  <c r="B34" i="41" s="1"/>
  <c r="C34" i="37"/>
  <c r="C34" i="41" s="1"/>
  <c r="F34" i="37"/>
  <c r="F34" i="41" s="1"/>
  <c r="A35" i="37"/>
  <c r="A35" i="41" s="1"/>
  <c r="D35" i="37"/>
  <c r="D35" i="41" s="1"/>
  <c r="B35" i="37"/>
  <c r="B35" i="41" s="1"/>
  <c r="C35" i="37"/>
  <c r="C35" i="41" s="1"/>
  <c r="F35" i="37"/>
  <c r="F35" i="41" s="1"/>
  <c r="A36" i="37"/>
  <c r="A36" i="41" s="1"/>
  <c r="D36" i="37"/>
  <c r="D36" i="41" s="1"/>
  <c r="B36" i="37"/>
  <c r="B36" i="41" s="1"/>
  <c r="C36" i="37"/>
  <c r="C36" i="41" s="1"/>
  <c r="F36" i="37"/>
  <c r="F36" i="41" s="1"/>
  <c r="A37" i="37"/>
  <c r="A37" i="41" s="1"/>
  <c r="D37" i="37"/>
  <c r="D37" i="41" s="1"/>
  <c r="B37" i="37"/>
  <c r="B37" i="41" s="1"/>
  <c r="C37" i="37"/>
  <c r="C37" i="41" s="1"/>
  <c r="F37" i="37"/>
  <c r="F37" i="41" s="1"/>
  <c r="A38" i="37"/>
  <c r="A38" i="41" s="1"/>
  <c r="D38" i="37"/>
  <c r="D38" i="41" s="1"/>
  <c r="B38" i="37"/>
  <c r="B38" i="41" s="1"/>
  <c r="C38" i="37"/>
  <c r="C38" i="41" s="1"/>
  <c r="F38" i="37"/>
  <c r="F38" i="41" s="1"/>
  <c r="A39" i="37"/>
  <c r="A39" i="41" s="1"/>
  <c r="D39" i="37"/>
  <c r="D39" i="41" s="1"/>
  <c r="B39" i="37"/>
  <c r="B39" i="41" s="1"/>
  <c r="C39" i="37"/>
  <c r="C39" i="41" s="1"/>
  <c r="F39" i="37"/>
  <c r="F39" i="41" s="1"/>
  <c r="A40" i="37"/>
  <c r="A40" i="41" s="1"/>
  <c r="D40" i="37"/>
  <c r="D40" i="41" s="1"/>
  <c r="B40" i="37"/>
  <c r="B40" i="41" s="1"/>
  <c r="C40" i="37"/>
  <c r="C40" i="41" s="1"/>
  <c r="F40" i="37"/>
  <c r="F40" i="41" s="1"/>
  <c r="A41" i="37"/>
  <c r="A41" i="41" s="1"/>
  <c r="D41" i="37"/>
  <c r="D41" i="41" s="1"/>
  <c r="B41" i="37"/>
  <c r="B41" i="41" s="1"/>
  <c r="C41" i="37"/>
  <c r="C41" i="41" s="1"/>
  <c r="F41" i="37"/>
  <c r="F41" i="41" s="1"/>
  <c r="A42" i="37"/>
  <c r="A42" i="41" s="1"/>
  <c r="D42" i="37"/>
  <c r="D42" i="41" s="1"/>
  <c r="B42" i="37"/>
  <c r="B42" i="41" s="1"/>
  <c r="C42" i="37"/>
  <c r="C42" i="41" s="1"/>
  <c r="F42" i="37"/>
  <c r="F42" i="41" s="1"/>
  <c r="A43" i="37"/>
  <c r="A43" i="41" s="1"/>
  <c r="D43" i="37"/>
  <c r="D43" i="41" s="1"/>
  <c r="B43" i="37"/>
  <c r="B43" i="41" s="1"/>
  <c r="C43" i="37"/>
  <c r="C43" i="41" s="1"/>
  <c r="F43" i="37"/>
  <c r="F43" i="41" s="1"/>
  <c r="A44" i="37"/>
  <c r="A44" i="41" s="1"/>
  <c r="D44" i="37"/>
  <c r="D44" i="41" s="1"/>
  <c r="B44" i="37"/>
  <c r="B44" i="41" s="1"/>
  <c r="C44" i="37"/>
  <c r="C44" i="41" s="1"/>
  <c r="F44" i="37"/>
  <c r="F44" i="41" s="1"/>
  <c r="A45" i="37"/>
  <c r="A45" i="41" s="1"/>
  <c r="D45" i="37"/>
  <c r="D45" i="41" s="1"/>
  <c r="B45" i="37"/>
  <c r="B45" i="41" s="1"/>
  <c r="C45" i="37"/>
  <c r="C45" i="41" s="1"/>
  <c r="F45" i="37"/>
  <c r="F45" i="41" s="1"/>
  <c r="A46" i="37"/>
  <c r="A46" i="41" s="1"/>
  <c r="D46" i="37"/>
  <c r="D46" i="41" s="1"/>
  <c r="B46" i="37"/>
  <c r="B46" i="41" s="1"/>
  <c r="C46" i="37"/>
  <c r="C46" i="41" s="1"/>
  <c r="F46" i="37"/>
  <c r="F46" i="41" s="1"/>
  <c r="A47" i="37"/>
  <c r="A47" i="41" s="1"/>
  <c r="D47" i="37"/>
  <c r="D47" i="41" s="1"/>
  <c r="B47" i="37"/>
  <c r="B47" i="41" s="1"/>
  <c r="C47" i="37"/>
  <c r="C47" i="41" s="1"/>
  <c r="F47" i="37"/>
  <c r="F47" i="41" s="1"/>
  <c r="A48" i="37"/>
  <c r="A48" i="41" s="1"/>
  <c r="D48" i="37"/>
  <c r="D48" i="41" s="1"/>
  <c r="B48" i="37"/>
  <c r="B48" i="41" s="1"/>
  <c r="C48" i="37"/>
  <c r="C48" i="41" s="1"/>
  <c r="F48" i="37"/>
  <c r="F48" i="41" s="1"/>
  <c r="A49" i="37"/>
  <c r="A49" i="41" s="1"/>
  <c r="D49" i="37"/>
  <c r="D49" i="41" s="1"/>
  <c r="B49" i="37"/>
  <c r="B49" i="41" s="1"/>
  <c r="C49" i="37"/>
  <c r="C49" i="41" s="1"/>
  <c r="F49" i="37"/>
  <c r="F49" i="41" s="1"/>
  <c r="A50" i="37"/>
  <c r="A50" i="41" s="1"/>
  <c r="D50" i="37"/>
  <c r="D50" i="41" s="1"/>
  <c r="B50" i="37"/>
  <c r="B50" i="41" s="1"/>
  <c r="C50" i="37"/>
  <c r="C50" i="41" s="1"/>
  <c r="F50" i="37"/>
  <c r="F50" i="41" s="1"/>
  <c r="A51" i="37"/>
  <c r="A51" i="41" s="1"/>
  <c r="D51" i="37"/>
  <c r="D51" i="41" s="1"/>
  <c r="B51" i="37"/>
  <c r="B51" i="41" s="1"/>
  <c r="C51" i="37"/>
  <c r="C51" i="41" s="1"/>
  <c r="F51" i="37"/>
  <c r="F51" i="41" s="1"/>
  <c r="A52" i="37"/>
  <c r="A52" i="41" s="1"/>
  <c r="D52" i="37"/>
  <c r="D52" i="41" s="1"/>
  <c r="B52" i="37"/>
  <c r="B52" i="41" s="1"/>
  <c r="C52" i="37"/>
  <c r="C52" i="41" s="1"/>
  <c r="F52" i="37"/>
  <c r="F52" i="41" s="1"/>
  <c r="A53" i="37"/>
  <c r="A53" i="41" s="1"/>
  <c r="D53" i="37"/>
  <c r="D53" i="41" s="1"/>
  <c r="B53" i="37"/>
  <c r="B53" i="41" s="1"/>
  <c r="C53" i="37"/>
  <c r="C53" i="41" s="1"/>
  <c r="F53" i="37"/>
  <c r="F53" i="41" s="1"/>
  <c r="A54" i="37"/>
  <c r="A54" i="41" s="1"/>
  <c r="D54" i="37"/>
  <c r="D54" i="41" s="1"/>
  <c r="B54" i="37"/>
  <c r="B54" i="41" s="1"/>
  <c r="C54" i="37"/>
  <c r="C54" i="41" s="1"/>
  <c r="F54" i="37"/>
  <c r="F54" i="41" s="1"/>
  <c r="A55" i="37"/>
  <c r="A55" i="41" s="1"/>
  <c r="D55" i="37"/>
  <c r="D55" i="41" s="1"/>
  <c r="B55" i="37"/>
  <c r="B55" i="41" s="1"/>
  <c r="C55" i="37"/>
  <c r="C55" i="41" s="1"/>
  <c r="F55" i="37"/>
  <c r="F55" i="41" s="1"/>
  <c r="A56" i="37"/>
  <c r="A56" i="41" s="1"/>
  <c r="D56" i="37"/>
  <c r="D56" i="41" s="1"/>
  <c r="B56" i="37"/>
  <c r="B56" i="41" s="1"/>
  <c r="C56" i="37"/>
  <c r="C56" i="41" s="1"/>
  <c r="F56" i="37"/>
  <c r="F56" i="41" s="1"/>
  <c r="A57" i="37"/>
  <c r="A57" i="41" s="1"/>
  <c r="D57" i="37"/>
  <c r="D57" i="41" s="1"/>
  <c r="B57" i="37"/>
  <c r="B57" i="41" s="1"/>
  <c r="C57" i="37"/>
  <c r="C57" i="41" s="1"/>
  <c r="F57" i="37"/>
  <c r="F57" i="41" s="1"/>
  <c r="A58" i="37"/>
  <c r="A58" i="41" s="1"/>
  <c r="D58" i="37"/>
  <c r="D58" i="41" s="1"/>
  <c r="B58" i="37"/>
  <c r="B58" i="41" s="1"/>
  <c r="C58" i="37"/>
  <c r="C58" i="41" s="1"/>
  <c r="F58" i="37"/>
  <c r="F58" i="41" s="1"/>
  <c r="A59" i="37"/>
  <c r="A59" i="41" s="1"/>
  <c r="D59" i="37"/>
  <c r="D59" i="41" s="1"/>
  <c r="B59" i="37"/>
  <c r="B59" i="41" s="1"/>
  <c r="C59" i="37"/>
  <c r="C59" i="41" s="1"/>
  <c r="F59" i="37"/>
  <c r="F59" i="41" s="1"/>
  <c r="A60" i="37"/>
  <c r="A60" i="41" s="1"/>
  <c r="D60" i="37"/>
  <c r="D60" i="41" s="1"/>
  <c r="B60" i="37"/>
  <c r="B60" i="41" s="1"/>
  <c r="C60" i="37"/>
  <c r="C60" i="41" s="1"/>
  <c r="F60" i="37"/>
  <c r="F60" i="41" s="1"/>
  <c r="A61" i="37"/>
  <c r="A61" i="41" s="1"/>
  <c r="D61" i="37"/>
  <c r="D61" i="41" s="1"/>
  <c r="B61" i="37"/>
  <c r="B61" i="41" s="1"/>
  <c r="C61" i="37"/>
  <c r="C61" i="41" s="1"/>
  <c r="F61" i="37"/>
  <c r="F61" i="41" s="1"/>
  <c r="A62" i="37"/>
  <c r="A62" i="41" s="1"/>
  <c r="D62" i="37"/>
  <c r="D62" i="41" s="1"/>
  <c r="B62" i="37"/>
  <c r="B62" i="41" s="1"/>
  <c r="C62" i="37"/>
  <c r="C62" i="41" s="1"/>
  <c r="F62" i="37"/>
  <c r="F62" i="41" s="1"/>
  <c r="A63" i="37"/>
  <c r="A63" i="41" s="1"/>
  <c r="D63" i="37"/>
  <c r="D63" i="41" s="1"/>
  <c r="B63" i="37"/>
  <c r="B63" i="41" s="1"/>
  <c r="C63" i="37"/>
  <c r="C63" i="41" s="1"/>
  <c r="F63" i="37"/>
  <c r="F63" i="41" s="1"/>
  <c r="A64" i="37"/>
  <c r="A64" i="41" s="1"/>
  <c r="D64" i="37"/>
  <c r="D64" i="41" s="1"/>
  <c r="B64" i="37"/>
  <c r="B64" i="41" s="1"/>
  <c r="C64" i="37"/>
  <c r="C64" i="41" s="1"/>
  <c r="F64" i="37"/>
  <c r="F64" i="41" s="1"/>
  <c r="A65" i="37"/>
  <c r="A65" i="41" s="1"/>
  <c r="D65" i="37"/>
  <c r="D65" i="41" s="1"/>
  <c r="B65" i="37"/>
  <c r="B65" i="41" s="1"/>
  <c r="C65" i="37"/>
  <c r="C65" i="41" s="1"/>
  <c r="F65" i="37"/>
  <c r="F65" i="41" s="1"/>
  <c r="A66" i="37"/>
  <c r="A66" i="41" s="1"/>
  <c r="D66" i="37"/>
  <c r="D66" i="41" s="1"/>
  <c r="B66" i="37"/>
  <c r="B66" i="41" s="1"/>
  <c r="C66" i="37"/>
  <c r="C66" i="41" s="1"/>
  <c r="F66" i="37"/>
  <c r="F66" i="41" s="1"/>
  <c r="A67" i="37"/>
  <c r="A67" i="41" s="1"/>
  <c r="D67" i="37"/>
  <c r="D67" i="41" s="1"/>
  <c r="B67" i="37"/>
  <c r="B67" i="41" s="1"/>
  <c r="C67" i="37"/>
  <c r="C67" i="41" s="1"/>
  <c r="F67" i="37"/>
  <c r="F67" i="41" s="1"/>
  <c r="A68" i="37"/>
  <c r="A68" i="41" s="1"/>
  <c r="D68" i="37"/>
  <c r="D68" i="41" s="1"/>
  <c r="B68" i="37"/>
  <c r="B68" i="41" s="1"/>
  <c r="C68" i="37"/>
  <c r="C68" i="41" s="1"/>
  <c r="F68" i="37"/>
  <c r="F68" i="41" s="1"/>
  <c r="A69" i="37"/>
  <c r="A69" i="41" s="1"/>
  <c r="D69" i="37"/>
  <c r="D69" i="41" s="1"/>
  <c r="B69" i="37"/>
  <c r="B69" i="41" s="1"/>
  <c r="C69" i="37"/>
  <c r="C69" i="41" s="1"/>
  <c r="F69" i="37"/>
  <c r="F69" i="41" s="1"/>
  <c r="A70" i="37"/>
  <c r="A70" i="41" s="1"/>
  <c r="D70" i="37"/>
  <c r="D70" i="41" s="1"/>
  <c r="B70" i="37"/>
  <c r="B70" i="41" s="1"/>
  <c r="C70" i="37"/>
  <c r="C70" i="41" s="1"/>
  <c r="F70" i="37"/>
  <c r="F70" i="41" s="1"/>
  <c r="A71" i="37"/>
  <c r="A71" i="41" s="1"/>
  <c r="D71" i="37"/>
  <c r="D71" i="41" s="1"/>
  <c r="B71" i="37"/>
  <c r="B71" i="41" s="1"/>
  <c r="C71" i="37"/>
  <c r="C71" i="41" s="1"/>
  <c r="F71" i="37"/>
  <c r="F71" i="41" s="1"/>
  <c r="A72" i="37"/>
  <c r="A72" i="41" s="1"/>
  <c r="D72" i="37"/>
  <c r="D72" i="41" s="1"/>
  <c r="B72" i="37"/>
  <c r="B72" i="41" s="1"/>
  <c r="C72" i="37"/>
  <c r="C72" i="41" s="1"/>
  <c r="F72" i="37"/>
  <c r="F72" i="41" s="1"/>
  <c r="A73" i="37"/>
  <c r="A73" i="41" s="1"/>
  <c r="D73" i="37"/>
  <c r="D73" i="41" s="1"/>
  <c r="B73" i="37"/>
  <c r="B73" i="41" s="1"/>
  <c r="C73" i="37"/>
  <c r="C73" i="41" s="1"/>
  <c r="F73" i="37"/>
  <c r="F73" i="41" s="1"/>
  <c r="A74" i="37"/>
  <c r="A74" i="41" s="1"/>
  <c r="D74" i="37"/>
  <c r="D74" i="41" s="1"/>
  <c r="B74" i="37"/>
  <c r="B74" i="41" s="1"/>
  <c r="C74" i="37"/>
  <c r="C74" i="41" s="1"/>
  <c r="F74" i="37"/>
  <c r="F74" i="41" s="1"/>
  <c r="A75" i="37"/>
  <c r="A75" i="41" s="1"/>
  <c r="D75" i="37"/>
  <c r="D75" i="41" s="1"/>
  <c r="B75" i="37"/>
  <c r="B75" i="41" s="1"/>
  <c r="C75" i="37"/>
  <c r="C75" i="41" s="1"/>
  <c r="F75" i="37"/>
  <c r="F75" i="41" s="1"/>
  <c r="A76" i="37"/>
  <c r="A76" i="41" s="1"/>
  <c r="D76" i="37"/>
  <c r="D76" i="41" s="1"/>
  <c r="B76" i="37"/>
  <c r="B76" i="41" s="1"/>
  <c r="C76" i="37"/>
  <c r="C76" i="41" s="1"/>
  <c r="F76" i="37"/>
  <c r="F76" i="41" s="1"/>
  <c r="A77" i="37"/>
  <c r="A77" i="41" s="1"/>
  <c r="D77" i="37"/>
  <c r="D77" i="41" s="1"/>
  <c r="B77" i="37"/>
  <c r="B77" i="41" s="1"/>
  <c r="C77" i="37"/>
  <c r="C77" i="41" s="1"/>
  <c r="F77" i="37"/>
  <c r="F77" i="41" s="1"/>
  <c r="A78" i="37"/>
  <c r="A78" i="41" s="1"/>
  <c r="D78" i="37"/>
  <c r="D78" i="41" s="1"/>
  <c r="B78" i="37"/>
  <c r="B78" i="41" s="1"/>
  <c r="C78" i="37"/>
  <c r="C78" i="41" s="1"/>
  <c r="F78" i="37"/>
  <c r="F78" i="41" s="1"/>
  <c r="A79" i="37"/>
  <c r="A79" i="41" s="1"/>
  <c r="D79" i="37"/>
  <c r="D79" i="41" s="1"/>
  <c r="B79" i="37"/>
  <c r="B79" i="41" s="1"/>
  <c r="C79" i="37"/>
  <c r="C79" i="41" s="1"/>
  <c r="F79" i="37"/>
  <c r="F79" i="41" s="1"/>
  <c r="A80" i="37"/>
  <c r="A80" i="41" s="1"/>
  <c r="D80" i="37"/>
  <c r="D80" i="41" s="1"/>
  <c r="B80" i="37"/>
  <c r="B80" i="41" s="1"/>
  <c r="C80" i="37"/>
  <c r="C80" i="41" s="1"/>
  <c r="F80" i="37"/>
  <c r="F80" i="41" s="1"/>
  <c r="A81" i="37"/>
  <c r="A81" i="41" s="1"/>
  <c r="D81" i="37"/>
  <c r="D81" i="41" s="1"/>
  <c r="B81" i="37"/>
  <c r="B81" i="41" s="1"/>
  <c r="C81" i="37"/>
  <c r="C81" i="41" s="1"/>
  <c r="F81" i="37"/>
  <c r="F81" i="41" s="1"/>
  <c r="A82" i="37"/>
  <c r="A82" i="41" s="1"/>
  <c r="D82" i="37"/>
  <c r="D82" i="41" s="1"/>
  <c r="B82" i="37"/>
  <c r="B82" i="41" s="1"/>
  <c r="C82" i="37"/>
  <c r="C82" i="41" s="1"/>
  <c r="F82" i="37"/>
  <c r="F82" i="41" s="1"/>
  <c r="A83" i="37"/>
  <c r="A83" i="41" s="1"/>
  <c r="D83" i="37"/>
  <c r="D83" i="41" s="1"/>
  <c r="B83" i="37"/>
  <c r="B83" i="41" s="1"/>
  <c r="C83" i="37"/>
  <c r="C83" i="41" s="1"/>
  <c r="F83" i="37"/>
  <c r="F83" i="41" s="1"/>
  <c r="A84" i="37"/>
  <c r="A84" i="41" s="1"/>
  <c r="D84" i="37"/>
  <c r="D84" i="41" s="1"/>
  <c r="B84" i="37"/>
  <c r="B84" i="41" s="1"/>
  <c r="C84" i="37"/>
  <c r="C84" i="41" s="1"/>
  <c r="F84" i="37"/>
  <c r="F84" i="41" s="1"/>
  <c r="A85" i="37"/>
  <c r="A85" i="41" s="1"/>
  <c r="D85" i="37"/>
  <c r="D85" i="41" s="1"/>
  <c r="B85" i="37"/>
  <c r="B85" i="41" s="1"/>
  <c r="C85" i="37"/>
  <c r="C85" i="41" s="1"/>
  <c r="F85" i="37"/>
  <c r="F85" i="41" s="1"/>
  <c r="A86" i="37"/>
  <c r="A86" i="41" s="1"/>
  <c r="D86" i="37"/>
  <c r="D86" i="41" s="1"/>
  <c r="B86" i="37"/>
  <c r="B86" i="41" s="1"/>
  <c r="C86" i="37"/>
  <c r="C86" i="41" s="1"/>
  <c r="F86" i="37"/>
  <c r="F86" i="41" s="1"/>
  <c r="A87" i="37"/>
  <c r="A87" i="41" s="1"/>
  <c r="D87" i="37"/>
  <c r="D87" i="41" s="1"/>
  <c r="B87" i="37"/>
  <c r="B87" i="41" s="1"/>
  <c r="C87" i="37"/>
  <c r="C87" i="41" s="1"/>
  <c r="F87" i="37"/>
  <c r="F87" i="41" s="1"/>
  <c r="A88" i="37"/>
  <c r="A88" i="41" s="1"/>
  <c r="D88" i="37"/>
  <c r="D88" i="41" s="1"/>
  <c r="B88" i="37"/>
  <c r="B88" i="41" s="1"/>
  <c r="C88" i="37"/>
  <c r="C88" i="41" s="1"/>
  <c r="F88" i="37"/>
  <c r="F88" i="41" s="1"/>
  <c r="A89" i="37"/>
  <c r="A89" i="41" s="1"/>
  <c r="D89" i="37"/>
  <c r="D89" i="41" s="1"/>
  <c r="B89" i="37"/>
  <c r="B89" i="41" s="1"/>
  <c r="C89" i="37"/>
  <c r="C89" i="41" s="1"/>
  <c r="F89" i="37"/>
  <c r="F89" i="41" s="1"/>
  <c r="A90" i="37"/>
  <c r="A90" i="41" s="1"/>
  <c r="D90" i="37"/>
  <c r="D90" i="41" s="1"/>
  <c r="B90" i="37"/>
  <c r="B90" i="41" s="1"/>
  <c r="C90" i="37"/>
  <c r="C90" i="41" s="1"/>
  <c r="F90" i="37"/>
  <c r="F90" i="41" s="1"/>
  <c r="A91" i="37"/>
  <c r="A91" i="41" s="1"/>
  <c r="D91" i="37"/>
  <c r="D91" i="41" s="1"/>
  <c r="B91" i="37"/>
  <c r="B91" i="41" s="1"/>
  <c r="C91" i="37"/>
  <c r="C91" i="41" s="1"/>
  <c r="F91" i="37"/>
  <c r="F91" i="41" s="1"/>
  <c r="A92" i="37"/>
  <c r="A92" i="41" s="1"/>
  <c r="D92" i="37"/>
  <c r="D92" i="41" s="1"/>
  <c r="B92" i="37"/>
  <c r="B92" i="41" s="1"/>
  <c r="C92" i="37"/>
  <c r="C92" i="41" s="1"/>
  <c r="F92" i="37"/>
  <c r="F92" i="41" s="1"/>
  <c r="A93" i="37"/>
  <c r="A93" i="41" s="1"/>
  <c r="D93" i="37"/>
  <c r="D93" i="41" s="1"/>
  <c r="B93" i="37"/>
  <c r="B93" i="41" s="1"/>
  <c r="C93" i="37"/>
  <c r="C93" i="41" s="1"/>
  <c r="F93" i="37"/>
  <c r="F93" i="41" s="1"/>
  <c r="A94" i="37"/>
  <c r="A94" i="41" s="1"/>
  <c r="D94" i="37"/>
  <c r="D94" i="41" s="1"/>
  <c r="B94" i="37"/>
  <c r="B94" i="41" s="1"/>
  <c r="C94" i="37"/>
  <c r="C94" i="41" s="1"/>
  <c r="F94" i="37"/>
  <c r="F94" i="41" s="1"/>
  <c r="A95" i="37"/>
  <c r="A95" i="41" s="1"/>
  <c r="D95" i="37"/>
  <c r="D95" i="41" s="1"/>
  <c r="B95" i="37"/>
  <c r="B95" i="41" s="1"/>
  <c r="C95" i="37"/>
  <c r="C95" i="41" s="1"/>
  <c r="F95" i="37"/>
  <c r="F95" i="41" s="1"/>
  <c r="A96" i="37"/>
  <c r="A96" i="41" s="1"/>
  <c r="D96" i="37"/>
  <c r="D96" i="41" s="1"/>
  <c r="B96" i="37"/>
  <c r="B96" i="41" s="1"/>
  <c r="C96" i="37"/>
  <c r="C96" i="41" s="1"/>
  <c r="F96" i="37"/>
  <c r="F96" i="41" s="1"/>
  <c r="A97" i="37"/>
  <c r="A97" i="41" s="1"/>
  <c r="D97" i="37"/>
  <c r="D97" i="41" s="1"/>
  <c r="B97" i="37"/>
  <c r="B97" i="41" s="1"/>
  <c r="C97" i="37"/>
  <c r="C97" i="41" s="1"/>
  <c r="F97" i="37"/>
  <c r="F97" i="41" s="1"/>
  <c r="A98" i="37"/>
  <c r="A98" i="41" s="1"/>
  <c r="D98" i="37"/>
  <c r="D98" i="41" s="1"/>
  <c r="B98" i="37"/>
  <c r="B98" i="41" s="1"/>
  <c r="C98" i="37"/>
  <c r="C98" i="41" s="1"/>
  <c r="F98" i="37"/>
  <c r="F98" i="41" s="1"/>
  <c r="A99" i="37"/>
  <c r="A99" i="41" s="1"/>
  <c r="D99" i="37"/>
  <c r="D99" i="41" s="1"/>
  <c r="B99" i="37"/>
  <c r="B99" i="41" s="1"/>
  <c r="C99" i="37"/>
  <c r="C99" i="41" s="1"/>
  <c r="F99" i="37"/>
  <c r="F99" i="41" s="1"/>
  <c r="A100" i="37"/>
  <c r="A100" i="41" s="1"/>
  <c r="D100" i="37"/>
  <c r="D100" i="41" s="1"/>
  <c r="B100" i="37"/>
  <c r="B100" i="41" s="1"/>
  <c r="C100" i="37"/>
  <c r="C100" i="41" s="1"/>
  <c r="F100" i="37"/>
  <c r="F100" i="41" s="1"/>
  <c r="A101" i="37"/>
  <c r="A101" i="41" s="1"/>
  <c r="D101" i="37"/>
  <c r="D101" i="41" s="1"/>
  <c r="B101" i="37"/>
  <c r="B101" i="41" s="1"/>
  <c r="C101" i="37"/>
  <c r="C101" i="41" s="1"/>
  <c r="F101" i="37"/>
  <c r="F101" i="41" s="1"/>
  <c r="A102" i="37"/>
  <c r="A102" i="41" s="1"/>
  <c r="D102" i="37"/>
  <c r="D102" i="41" s="1"/>
  <c r="B102" i="37"/>
  <c r="B102" i="41" s="1"/>
  <c r="C102" i="37"/>
  <c r="C102" i="41" s="1"/>
  <c r="F102" i="37"/>
  <c r="F102" i="41" s="1"/>
  <c r="A103" i="37"/>
  <c r="A103" i="41" s="1"/>
  <c r="D103" i="37"/>
  <c r="D103" i="41" s="1"/>
  <c r="B103" i="37"/>
  <c r="B103" i="41" s="1"/>
  <c r="C103" i="37"/>
  <c r="C103" i="41" s="1"/>
  <c r="F103" i="37"/>
  <c r="F103" i="41" s="1"/>
  <c r="A104" i="37"/>
  <c r="A104" i="41" s="1"/>
  <c r="D104" i="37"/>
  <c r="D104" i="41" s="1"/>
  <c r="B104" i="37"/>
  <c r="B104" i="41" s="1"/>
  <c r="C104" i="37"/>
  <c r="C104" i="41" s="1"/>
  <c r="F104" i="37"/>
  <c r="F104" i="41" s="1"/>
  <c r="A105" i="37"/>
  <c r="A105" i="41" s="1"/>
  <c r="D105" i="37"/>
  <c r="D105" i="41" s="1"/>
  <c r="B105" i="37"/>
  <c r="B105" i="41" s="1"/>
  <c r="C105" i="37"/>
  <c r="C105" i="41" s="1"/>
  <c r="F105" i="37"/>
  <c r="F105" i="41" s="1"/>
  <c r="A106" i="37"/>
  <c r="A106" i="41" s="1"/>
  <c r="D106" i="37"/>
  <c r="D106" i="41" s="1"/>
  <c r="B106" i="37"/>
  <c r="B106" i="41" s="1"/>
  <c r="C106" i="37"/>
  <c r="C106" i="41" s="1"/>
  <c r="F106" i="37"/>
  <c r="F106" i="41" s="1"/>
  <c r="A107" i="37"/>
  <c r="A107" i="41" s="1"/>
  <c r="D107" i="37"/>
  <c r="D107" i="41" s="1"/>
  <c r="B107" i="37"/>
  <c r="B107" i="41" s="1"/>
  <c r="C107" i="37"/>
  <c r="C107" i="41" s="1"/>
  <c r="F107" i="37"/>
  <c r="F107" i="41" s="1"/>
  <c r="A108" i="37"/>
  <c r="A108" i="41" s="1"/>
  <c r="D108" i="37"/>
  <c r="D108" i="41" s="1"/>
  <c r="B108" i="37"/>
  <c r="B108" i="41" s="1"/>
  <c r="C108" i="37"/>
  <c r="C108" i="41" s="1"/>
  <c r="F108" i="37"/>
  <c r="F108" i="41" s="1"/>
  <c r="A109" i="37"/>
  <c r="A109" i="41" s="1"/>
  <c r="D109" i="37"/>
  <c r="D109" i="41" s="1"/>
  <c r="B109" i="37"/>
  <c r="B109" i="41" s="1"/>
  <c r="C109" i="37"/>
  <c r="C109" i="41" s="1"/>
  <c r="F109" i="37"/>
  <c r="F109" i="41" s="1"/>
  <c r="A110" i="37"/>
  <c r="A110" i="41" s="1"/>
  <c r="D110" i="37"/>
  <c r="D110" i="41" s="1"/>
  <c r="B110" i="37"/>
  <c r="B110" i="41" s="1"/>
  <c r="C110" i="37"/>
  <c r="C110" i="41" s="1"/>
  <c r="F110" i="37"/>
  <c r="F110" i="41" s="1"/>
  <c r="A111" i="37"/>
  <c r="A111" i="41" s="1"/>
  <c r="D111" i="37"/>
  <c r="D111" i="41" s="1"/>
  <c r="B111" i="37"/>
  <c r="B111" i="41" s="1"/>
  <c r="C111" i="37"/>
  <c r="C111" i="41" s="1"/>
  <c r="F111" i="37"/>
  <c r="F111" i="41" s="1"/>
  <c r="A112" i="37"/>
  <c r="A112" i="41" s="1"/>
  <c r="D112" i="37"/>
  <c r="D112" i="41" s="1"/>
  <c r="B112" i="37"/>
  <c r="B112" i="41" s="1"/>
  <c r="C112" i="37"/>
  <c r="C112" i="41" s="1"/>
  <c r="F112" i="37"/>
  <c r="F112" i="41" s="1"/>
  <c r="A113" i="37"/>
  <c r="A113" i="41" s="1"/>
  <c r="D113" i="37"/>
  <c r="D113" i="41" s="1"/>
  <c r="B113" i="37"/>
  <c r="B113" i="41" s="1"/>
  <c r="C113" i="37"/>
  <c r="C113" i="41" s="1"/>
  <c r="F113" i="37"/>
  <c r="F113" i="41" s="1"/>
  <c r="A114" i="37"/>
  <c r="A114" i="41" s="1"/>
  <c r="D114" i="37"/>
  <c r="D114" i="41" s="1"/>
  <c r="B114" i="37"/>
  <c r="B114" i="41" s="1"/>
  <c r="C114" i="37"/>
  <c r="C114" i="41" s="1"/>
  <c r="F114" i="37"/>
  <c r="F114" i="41" s="1"/>
  <c r="A115" i="37"/>
  <c r="A115" i="41" s="1"/>
  <c r="D115" i="37"/>
  <c r="D115" i="41" s="1"/>
  <c r="B115" i="37"/>
  <c r="B115" i="41" s="1"/>
  <c r="C115" i="37"/>
  <c r="C115" i="41" s="1"/>
  <c r="F115" i="37"/>
  <c r="F115" i="41" s="1"/>
  <c r="A116" i="37"/>
  <c r="A116" i="41" s="1"/>
  <c r="D116" i="37"/>
  <c r="D116" i="41" s="1"/>
  <c r="B116" i="37"/>
  <c r="B116" i="41" s="1"/>
  <c r="C116" i="37"/>
  <c r="C116" i="41" s="1"/>
  <c r="F116" i="37"/>
  <c r="F116" i="41" s="1"/>
  <c r="A117" i="37"/>
  <c r="A117" i="41" s="1"/>
  <c r="D117" i="37"/>
  <c r="D117" i="41" s="1"/>
  <c r="B117" i="37"/>
  <c r="B117" i="41" s="1"/>
  <c r="C117" i="37"/>
  <c r="C117" i="41" s="1"/>
  <c r="F117" i="37"/>
  <c r="F117" i="41" s="1"/>
  <c r="A118" i="37"/>
  <c r="A118" i="41" s="1"/>
  <c r="D118" i="37"/>
  <c r="D118" i="41" s="1"/>
  <c r="B118" i="37"/>
  <c r="B118" i="41" s="1"/>
  <c r="C118" i="37"/>
  <c r="C118" i="41" s="1"/>
  <c r="F118" i="37"/>
  <c r="F118" i="41" s="1"/>
  <c r="A119" i="37"/>
  <c r="A119" i="41" s="1"/>
  <c r="D119" i="37"/>
  <c r="D119" i="41" s="1"/>
  <c r="B119" i="37"/>
  <c r="B119" i="41" s="1"/>
  <c r="C119" i="37"/>
  <c r="C119" i="41" s="1"/>
  <c r="F119" i="37"/>
  <c r="F119" i="41" s="1"/>
  <c r="A120" i="37"/>
  <c r="A120" i="41" s="1"/>
  <c r="D120" i="37"/>
  <c r="D120" i="41" s="1"/>
  <c r="B120" i="37"/>
  <c r="B120" i="41" s="1"/>
  <c r="F120" i="37"/>
  <c r="F120" i="41" s="1"/>
  <c r="A121" i="37"/>
  <c r="A121" i="41" s="1"/>
  <c r="D121" i="37"/>
  <c r="D121" i="41" s="1"/>
  <c r="B121" i="37"/>
  <c r="B121" i="41" s="1"/>
  <c r="F121" i="37"/>
  <c r="F121" i="41" s="1"/>
  <c r="A122" i="37"/>
  <c r="A122" i="41" s="1"/>
  <c r="D122" i="37"/>
  <c r="D122" i="41" s="1"/>
  <c r="B122" i="37"/>
  <c r="B122" i="41" s="1"/>
  <c r="F122" i="37"/>
  <c r="F122" i="41" s="1"/>
  <c r="A123" i="37"/>
  <c r="A123" i="41" s="1"/>
  <c r="D123" i="37"/>
  <c r="D123" i="41" s="1"/>
  <c r="B123" i="37"/>
  <c r="B123" i="41" s="1"/>
  <c r="F123" i="37"/>
  <c r="F123" i="41" s="1"/>
  <c r="A124" i="37"/>
  <c r="A124" i="41" s="1"/>
  <c r="D124" i="37"/>
  <c r="D124" i="41" s="1"/>
  <c r="B124" i="37"/>
  <c r="B124" i="41" s="1"/>
  <c r="F124" i="37"/>
  <c r="F124" i="41" s="1"/>
  <c r="A125" i="37"/>
  <c r="A125" i="41" s="1"/>
  <c r="D125" i="37"/>
  <c r="D125" i="41" s="1"/>
  <c r="B125" i="37"/>
  <c r="B125" i="41" s="1"/>
  <c r="F125" i="37"/>
  <c r="F125" i="41" s="1"/>
  <c r="A126" i="37"/>
  <c r="A126" i="41" s="1"/>
  <c r="D126" i="37"/>
  <c r="D126" i="41" s="1"/>
  <c r="B126" i="37"/>
  <c r="B126" i="41" s="1"/>
  <c r="F126" i="37"/>
  <c r="F126" i="41" s="1"/>
  <c r="A127" i="37"/>
  <c r="A127" i="41" s="1"/>
  <c r="D127" i="37"/>
  <c r="D127" i="41" s="1"/>
  <c r="B127" i="37"/>
  <c r="B127" i="41" s="1"/>
  <c r="F127" i="37"/>
  <c r="F127" i="41" s="1"/>
  <c r="A128" i="37"/>
  <c r="A128" i="41" s="1"/>
  <c r="D128" i="37"/>
  <c r="D128" i="41" s="1"/>
  <c r="B128" i="37"/>
  <c r="B128" i="41" s="1"/>
  <c r="F128" i="37"/>
  <c r="F128" i="41" s="1"/>
  <c r="A129" i="37"/>
  <c r="A129" i="41" s="1"/>
  <c r="D129" i="37"/>
  <c r="D129" i="41" s="1"/>
  <c r="B129" i="37"/>
  <c r="B129" i="41" s="1"/>
  <c r="F129" i="37"/>
  <c r="F129" i="41" s="1"/>
  <c r="A130" i="37"/>
  <c r="A130" i="41" s="1"/>
  <c r="D130" i="37"/>
  <c r="D130" i="41" s="1"/>
  <c r="B130" i="37"/>
  <c r="B130" i="41" s="1"/>
  <c r="F130" i="37"/>
  <c r="F130" i="41" s="1"/>
  <c r="A131" i="37"/>
  <c r="A131" i="41" s="1"/>
  <c r="D131" i="37"/>
  <c r="D131" i="41" s="1"/>
  <c r="B131" i="37"/>
  <c r="B131" i="41" s="1"/>
  <c r="F131" i="37"/>
  <c r="F131" i="41" s="1"/>
  <c r="A132" i="37"/>
  <c r="A132" i="41" s="1"/>
  <c r="D132" i="37"/>
  <c r="D132" i="41" s="1"/>
  <c r="B132" i="37"/>
  <c r="B132" i="41" s="1"/>
  <c r="F132" i="37"/>
  <c r="F132" i="41" s="1"/>
  <c r="A133" i="37"/>
  <c r="A133" i="41" s="1"/>
  <c r="D133" i="37"/>
  <c r="D133" i="41" s="1"/>
  <c r="B133" i="37"/>
  <c r="B133" i="41" s="1"/>
  <c r="F133" i="37"/>
  <c r="F133" i="41" s="1"/>
  <c r="A134" i="37"/>
  <c r="A134" i="41" s="1"/>
  <c r="D134" i="37"/>
  <c r="D134" i="41" s="1"/>
  <c r="B134" i="37"/>
  <c r="B134" i="41" s="1"/>
  <c r="F134" i="37"/>
  <c r="F134" i="41" s="1"/>
  <c r="A135" i="37"/>
  <c r="A135" i="41" s="1"/>
  <c r="D135" i="37"/>
  <c r="D135" i="41" s="1"/>
  <c r="B135" i="37"/>
  <c r="B135" i="41" s="1"/>
  <c r="F135" i="37"/>
  <c r="F135" i="41" s="1"/>
  <c r="A136" i="37"/>
  <c r="A136" i="41" s="1"/>
  <c r="D136" i="37"/>
  <c r="D136" i="41" s="1"/>
  <c r="B136" i="37"/>
  <c r="B136" i="41" s="1"/>
  <c r="F136" i="37"/>
  <c r="F136" i="41" s="1"/>
  <c r="A137" i="37"/>
  <c r="A137" i="41" s="1"/>
  <c r="D137" i="37"/>
  <c r="D137" i="41" s="1"/>
  <c r="B137" i="37"/>
  <c r="B137" i="41" s="1"/>
  <c r="F137" i="37"/>
  <c r="F137" i="41" s="1"/>
  <c r="A138" i="37"/>
  <c r="A138" i="41" s="1"/>
  <c r="D138" i="37"/>
  <c r="D138" i="41" s="1"/>
  <c r="B138" i="37"/>
  <c r="B138" i="41" s="1"/>
  <c r="F138" i="37"/>
  <c r="F138" i="41" s="1"/>
  <c r="A139" i="37"/>
  <c r="A139" i="41" s="1"/>
  <c r="D139" i="37"/>
  <c r="D139" i="41" s="1"/>
  <c r="B139" i="37"/>
  <c r="B139" i="41" s="1"/>
  <c r="F139" i="37"/>
  <c r="F139" i="41" s="1"/>
  <c r="A140" i="37"/>
  <c r="A140" i="41" s="1"/>
  <c r="D140" i="37"/>
  <c r="D140" i="41" s="1"/>
  <c r="B140" i="37"/>
  <c r="B140" i="41" s="1"/>
  <c r="F140" i="37"/>
  <c r="F140" i="41" s="1"/>
  <c r="A141" i="37"/>
  <c r="A141" i="41" s="1"/>
  <c r="D141" i="37"/>
  <c r="D141" i="41" s="1"/>
  <c r="B141" i="37"/>
  <c r="B141" i="41" s="1"/>
  <c r="F141" i="37"/>
  <c r="F141" i="41" s="1"/>
  <c r="A142" i="37"/>
  <c r="A142" i="41" s="1"/>
  <c r="D142" i="37"/>
  <c r="D142" i="41" s="1"/>
  <c r="B142" i="37"/>
  <c r="B142" i="41" s="1"/>
  <c r="F142" i="37"/>
  <c r="F142" i="41" s="1"/>
  <c r="A143" i="37"/>
  <c r="A143" i="41" s="1"/>
  <c r="D143" i="37"/>
  <c r="D143" i="41" s="1"/>
  <c r="B143" i="37"/>
  <c r="B143" i="41" s="1"/>
  <c r="F143" i="37"/>
  <c r="F143" i="41" s="1"/>
  <c r="A144" i="37"/>
  <c r="A144" i="41" s="1"/>
  <c r="D144" i="37"/>
  <c r="D144" i="41" s="1"/>
  <c r="B144" i="37"/>
  <c r="B144" i="41" s="1"/>
  <c r="F144" i="37"/>
  <c r="F144" i="41" s="1"/>
  <c r="A145" i="37"/>
  <c r="A145" i="41" s="1"/>
  <c r="D145" i="37"/>
  <c r="D145" i="41" s="1"/>
  <c r="B145" i="37"/>
  <c r="B145" i="41" s="1"/>
  <c r="F145" i="37"/>
  <c r="F145" i="41" s="1"/>
  <c r="A146" i="37"/>
  <c r="A146" i="41" s="1"/>
  <c r="D146" i="37"/>
  <c r="D146" i="41" s="1"/>
  <c r="B146" i="37"/>
  <c r="B146" i="41" s="1"/>
  <c r="F146" i="37"/>
  <c r="F146" i="41" s="1"/>
  <c r="A147" i="37"/>
  <c r="A147" i="41" s="1"/>
  <c r="D147" i="37"/>
  <c r="D147" i="41" s="1"/>
  <c r="B147" i="37"/>
  <c r="B147" i="41" s="1"/>
  <c r="F147" i="37"/>
  <c r="F147" i="41" s="1"/>
  <c r="A148" i="37"/>
  <c r="A148" i="41" s="1"/>
  <c r="D148" i="37"/>
  <c r="D148" i="41" s="1"/>
  <c r="B148" i="37"/>
  <c r="B148" i="41" s="1"/>
  <c r="F148" i="37"/>
  <c r="F148" i="41" s="1"/>
  <c r="A149" i="37"/>
  <c r="A149" i="41" s="1"/>
  <c r="D149" i="37"/>
  <c r="D149" i="41" s="1"/>
  <c r="B149" i="37"/>
  <c r="B149" i="41" s="1"/>
  <c r="F149" i="37"/>
  <c r="F149" i="41" s="1"/>
  <c r="A150" i="37"/>
  <c r="A150" i="41" s="1"/>
  <c r="D150" i="37"/>
  <c r="D150" i="41" s="1"/>
  <c r="B150" i="37"/>
  <c r="B150" i="41" s="1"/>
  <c r="F150" i="37"/>
  <c r="F150" i="41" s="1"/>
  <c r="A151" i="37"/>
  <c r="A151" i="41" s="1"/>
  <c r="D151" i="37"/>
  <c r="D151" i="41" s="1"/>
  <c r="B151" i="37"/>
  <c r="B151" i="41" s="1"/>
  <c r="F151" i="37"/>
  <c r="F151" i="41" s="1"/>
  <c r="A152" i="37"/>
  <c r="A152" i="41" s="1"/>
  <c r="D152" i="37"/>
  <c r="D152" i="41" s="1"/>
  <c r="B152" i="37"/>
  <c r="B152" i="41" s="1"/>
  <c r="F152" i="37"/>
  <c r="F152" i="41" s="1"/>
  <c r="A153" i="37"/>
  <c r="A153" i="41" s="1"/>
  <c r="D153" i="37"/>
  <c r="D153" i="41" s="1"/>
  <c r="B153" i="37"/>
  <c r="B153" i="41" s="1"/>
  <c r="F153" i="37"/>
  <c r="F153" i="41" s="1"/>
  <c r="A154" i="37"/>
  <c r="A154" i="41" s="1"/>
  <c r="D154" i="37"/>
  <c r="D154" i="41" s="1"/>
  <c r="B154" i="37"/>
  <c r="B154" i="41" s="1"/>
  <c r="F154" i="37"/>
  <c r="F154" i="41" s="1"/>
  <c r="A155" i="37"/>
  <c r="A155" i="41" s="1"/>
  <c r="D155" i="37"/>
  <c r="D155" i="41" s="1"/>
  <c r="B155" i="37"/>
  <c r="B155" i="41" s="1"/>
  <c r="F155" i="37"/>
  <c r="F155" i="41" s="1"/>
  <c r="A156" i="37"/>
  <c r="A156" i="41" s="1"/>
  <c r="D156" i="37"/>
  <c r="D156" i="41" s="1"/>
  <c r="B156" i="37"/>
  <c r="B156" i="41" s="1"/>
  <c r="F156" i="37"/>
  <c r="F156" i="41" s="1"/>
  <c r="A157" i="37"/>
  <c r="A157" i="41" s="1"/>
  <c r="D157" i="37"/>
  <c r="D157" i="41" s="1"/>
  <c r="B157" i="37"/>
  <c r="B157" i="41" s="1"/>
  <c r="F157" i="37"/>
  <c r="F157" i="41" s="1"/>
  <c r="A158" i="37"/>
  <c r="A158" i="41" s="1"/>
  <c r="D158" i="37"/>
  <c r="D158" i="41" s="1"/>
  <c r="B158" i="37"/>
  <c r="B158" i="41" s="1"/>
  <c r="F158" i="37"/>
  <c r="F158" i="41" s="1"/>
  <c r="A159" i="37"/>
  <c r="A159" i="41" s="1"/>
  <c r="D159" i="37"/>
  <c r="D159" i="41" s="1"/>
  <c r="B159" i="37"/>
  <c r="B159" i="41" s="1"/>
  <c r="F159" i="37"/>
  <c r="F159" i="41" s="1"/>
  <c r="A160" i="37"/>
  <c r="A160" i="41" s="1"/>
  <c r="D160" i="37"/>
  <c r="D160" i="41" s="1"/>
  <c r="B160" i="37"/>
  <c r="B160" i="41" s="1"/>
  <c r="F160" i="37"/>
  <c r="F160" i="41" s="1"/>
  <c r="A161" i="37"/>
  <c r="A161" i="41" s="1"/>
  <c r="D161" i="37"/>
  <c r="D161" i="41" s="1"/>
  <c r="B161" i="37"/>
  <c r="B161" i="41" s="1"/>
  <c r="F161" i="37"/>
  <c r="F161" i="41" s="1"/>
  <c r="A162" i="37"/>
  <c r="A162" i="41" s="1"/>
  <c r="D162" i="37"/>
  <c r="D162" i="41" s="1"/>
  <c r="B162" i="37"/>
  <c r="B162" i="41" s="1"/>
  <c r="C162" i="37"/>
  <c r="C162" i="41" s="1"/>
  <c r="F162" i="37"/>
  <c r="F162" i="41" s="1"/>
  <c r="A163" i="37"/>
  <c r="A163" i="41" s="1"/>
  <c r="D163" i="37"/>
  <c r="D163" i="41" s="1"/>
  <c r="B163" i="37"/>
  <c r="B163" i="41" s="1"/>
  <c r="C163" i="37"/>
  <c r="C163" i="41" s="1"/>
  <c r="F163" i="37"/>
  <c r="F163" i="41" s="1"/>
  <c r="A164" i="37"/>
  <c r="A164" i="41" s="1"/>
  <c r="D164" i="37"/>
  <c r="D164" i="41" s="1"/>
  <c r="B164" i="37"/>
  <c r="B164" i="41" s="1"/>
  <c r="C164" i="37"/>
  <c r="C164" i="41" s="1"/>
  <c r="F164" i="37"/>
  <c r="F164" i="41" s="1"/>
  <c r="A165" i="37"/>
  <c r="A165" i="41" s="1"/>
  <c r="D165" i="37"/>
  <c r="D165" i="41" s="1"/>
  <c r="B165" i="37"/>
  <c r="B165" i="41" s="1"/>
  <c r="C165" i="37"/>
  <c r="C165" i="41" s="1"/>
  <c r="F165" i="37"/>
  <c r="F165" i="41" s="1"/>
  <c r="A166" i="37"/>
  <c r="A166" i="41" s="1"/>
  <c r="D166" i="37"/>
  <c r="D166" i="41" s="1"/>
  <c r="B166" i="37"/>
  <c r="B166" i="41" s="1"/>
  <c r="C166" i="37"/>
  <c r="C166" i="41" s="1"/>
  <c r="F166" i="37"/>
  <c r="F166" i="41" s="1"/>
  <c r="A167" i="37"/>
  <c r="A167" i="41" s="1"/>
  <c r="D167" i="37"/>
  <c r="D167" i="41" s="1"/>
  <c r="B167" i="37"/>
  <c r="B167" i="41" s="1"/>
  <c r="C167" i="37"/>
  <c r="C167" i="41" s="1"/>
  <c r="F167" i="37"/>
  <c r="F167" i="41" s="1"/>
  <c r="A168" i="37"/>
  <c r="A168" i="41" s="1"/>
  <c r="D168" i="37"/>
  <c r="D168" i="41" s="1"/>
  <c r="B168" i="37"/>
  <c r="B168" i="41" s="1"/>
  <c r="F168" i="37"/>
  <c r="F168" i="41" s="1"/>
  <c r="A169" i="37"/>
  <c r="A169" i="41" s="1"/>
  <c r="D169" i="37"/>
  <c r="D169" i="41" s="1"/>
  <c r="B169" i="37"/>
  <c r="B169" i="41" s="1"/>
  <c r="F169" i="37"/>
  <c r="F169" i="41" s="1"/>
  <c r="A170" i="37"/>
  <c r="A170" i="41" s="1"/>
  <c r="D170" i="37"/>
  <c r="D170" i="41" s="1"/>
  <c r="B170" i="37"/>
  <c r="B170" i="41" s="1"/>
  <c r="F170" i="37"/>
  <c r="F170" i="41" s="1"/>
  <c r="A171" i="37"/>
  <c r="A171" i="41" s="1"/>
  <c r="D171" i="37"/>
  <c r="D171" i="41" s="1"/>
  <c r="B171" i="37"/>
  <c r="B171" i="41" s="1"/>
  <c r="F171" i="37"/>
  <c r="F171" i="41" s="1"/>
  <c r="A172" i="37"/>
  <c r="A172" i="41" s="1"/>
  <c r="D172" i="37"/>
  <c r="D172" i="41" s="1"/>
  <c r="B172" i="37"/>
  <c r="B172" i="41" s="1"/>
  <c r="F172" i="37"/>
  <c r="F172" i="41" s="1"/>
  <c r="A173" i="37"/>
  <c r="A173" i="41" s="1"/>
  <c r="D173" i="37"/>
  <c r="D173" i="41" s="1"/>
  <c r="B173" i="37"/>
  <c r="B173" i="41" s="1"/>
  <c r="F173" i="37"/>
  <c r="F173" i="41" s="1"/>
  <c r="A174" i="37"/>
  <c r="A174" i="41" s="1"/>
  <c r="D174" i="37"/>
  <c r="D174" i="41" s="1"/>
  <c r="B174" i="37"/>
  <c r="B174" i="41" s="1"/>
  <c r="F174" i="37"/>
  <c r="F174" i="41" s="1"/>
  <c r="A175" i="37"/>
  <c r="A175" i="41" s="1"/>
  <c r="D175" i="37"/>
  <c r="D175" i="41" s="1"/>
  <c r="B175" i="37"/>
  <c r="B175" i="41" s="1"/>
  <c r="F175" i="37"/>
  <c r="F175" i="41" s="1"/>
  <c r="A176" i="37"/>
  <c r="A176" i="41" s="1"/>
  <c r="D176" i="37"/>
  <c r="D176" i="41" s="1"/>
  <c r="B176" i="37"/>
  <c r="B176" i="41" s="1"/>
  <c r="F176" i="37"/>
  <c r="F176" i="41" s="1"/>
  <c r="A177" i="37"/>
  <c r="A177" i="41" s="1"/>
  <c r="D177" i="37"/>
  <c r="D177" i="41" s="1"/>
  <c r="B177" i="37"/>
  <c r="B177" i="41" s="1"/>
  <c r="F177" i="37"/>
  <c r="F177" i="41" s="1"/>
  <c r="A178" i="37"/>
  <c r="A178" i="41" s="1"/>
  <c r="D178" i="37"/>
  <c r="D178" i="41" s="1"/>
  <c r="B178" i="37"/>
  <c r="B178" i="41" s="1"/>
  <c r="F178" i="37"/>
  <c r="F178" i="41" s="1"/>
  <c r="A179" i="37"/>
  <c r="A179" i="41" s="1"/>
  <c r="D179" i="37"/>
  <c r="D179" i="41" s="1"/>
  <c r="B179" i="37"/>
  <c r="B179" i="41" s="1"/>
  <c r="F179" i="37"/>
  <c r="F179" i="41" s="1"/>
  <c r="A180" i="37"/>
  <c r="A180" i="41" s="1"/>
  <c r="D180" i="37"/>
  <c r="D180" i="41" s="1"/>
  <c r="B180" i="37"/>
  <c r="B180" i="41" s="1"/>
  <c r="F180" i="37"/>
  <c r="F180" i="41" s="1"/>
  <c r="A181" i="37"/>
  <c r="A181" i="41" s="1"/>
  <c r="D181" i="37"/>
  <c r="D181" i="41" s="1"/>
  <c r="B181" i="37"/>
  <c r="B181" i="41" s="1"/>
  <c r="F181" i="37"/>
  <c r="F181" i="41" s="1"/>
  <c r="A182" i="37"/>
  <c r="A182" i="41" s="1"/>
  <c r="D182" i="37"/>
  <c r="D182" i="41" s="1"/>
  <c r="B182" i="37"/>
  <c r="B182" i="41" s="1"/>
  <c r="F182" i="37"/>
  <c r="F182" i="41" s="1"/>
  <c r="A183" i="37"/>
  <c r="A183" i="41" s="1"/>
  <c r="D183" i="37"/>
  <c r="D183" i="41" s="1"/>
  <c r="B183" i="37"/>
  <c r="B183" i="41" s="1"/>
  <c r="F183" i="37"/>
  <c r="F183" i="41" s="1"/>
  <c r="A184" i="37"/>
  <c r="A184" i="41" s="1"/>
  <c r="D184" i="37"/>
  <c r="D184" i="41" s="1"/>
  <c r="B184" i="37"/>
  <c r="B184" i="41" s="1"/>
  <c r="F184" i="37"/>
  <c r="F184" i="41" s="1"/>
  <c r="A185" i="37"/>
  <c r="A185" i="41" s="1"/>
  <c r="D185" i="37"/>
  <c r="D185" i="41" s="1"/>
  <c r="B185" i="37"/>
  <c r="B185" i="41" s="1"/>
  <c r="F185" i="37"/>
  <c r="F185" i="41" s="1"/>
  <c r="A186" i="37"/>
  <c r="A186" i="41" s="1"/>
  <c r="D186" i="37"/>
  <c r="D186" i="41" s="1"/>
  <c r="B186" i="37"/>
  <c r="B186" i="41" s="1"/>
  <c r="F186" i="37"/>
  <c r="F186" i="41" s="1"/>
  <c r="A187" i="37"/>
  <c r="A187" i="41" s="1"/>
  <c r="D187" i="37"/>
  <c r="D187" i="41" s="1"/>
  <c r="B187" i="37"/>
  <c r="B187" i="41" s="1"/>
  <c r="F187" i="37"/>
  <c r="F187" i="41" s="1"/>
  <c r="A188" i="37"/>
  <c r="A188" i="41" s="1"/>
  <c r="D188" i="37"/>
  <c r="D188" i="41" s="1"/>
  <c r="B188" i="37"/>
  <c r="B188" i="41" s="1"/>
  <c r="F188" i="37"/>
  <c r="F188" i="41" s="1"/>
  <c r="A189" i="37"/>
  <c r="A189" i="41" s="1"/>
  <c r="D189" i="37"/>
  <c r="D189" i="41" s="1"/>
  <c r="B189" i="37"/>
  <c r="B189" i="41" s="1"/>
  <c r="F189" i="37"/>
  <c r="F189" i="41" s="1"/>
  <c r="A190" i="37"/>
  <c r="A190" i="41" s="1"/>
  <c r="D190" i="37"/>
  <c r="D190" i="41" s="1"/>
  <c r="B190" i="37"/>
  <c r="B190" i="41" s="1"/>
  <c r="F190" i="37"/>
  <c r="F190" i="41" s="1"/>
  <c r="A191" i="37"/>
  <c r="A191" i="41" s="1"/>
  <c r="D191" i="37"/>
  <c r="D191" i="41" s="1"/>
  <c r="B191" i="37"/>
  <c r="B191" i="41" s="1"/>
  <c r="F191" i="37"/>
  <c r="F191" i="41" s="1"/>
  <c r="A192" i="37"/>
  <c r="A192" i="41" s="1"/>
  <c r="D192" i="37"/>
  <c r="D192" i="41" s="1"/>
  <c r="B192" i="37"/>
  <c r="B192" i="41" s="1"/>
  <c r="F192" i="37"/>
  <c r="F192" i="41" s="1"/>
  <c r="A193" i="37"/>
  <c r="A193" i="41" s="1"/>
  <c r="D193" i="37"/>
  <c r="D193" i="41" s="1"/>
  <c r="B193" i="37"/>
  <c r="B193" i="41" s="1"/>
  <c r="F193" i="37"/>
  <c r="F193" i="41" s="1"/>
  <c r="A194" i="37"/>
  <c r="A194" i="41" s="1"/>
  <c r="D194" i="37"/>
  <c r="D194" i="41" s="1"/>
  <c r="B194" i="37"/>
  <c r="B194" i="41" s="1"/>
  <c r="F194" i="37"/>
  <c r="F194" i="41" s="1"/>
  <c r="A195" i="37"/>
  <c r="A195" i="41" s="1"/>
  <c r="D195" i="37"/>
  <c r="D195" i="41" s="1"/>
  <c r="B195" i="37"/>
  <c r="B195" i="41" s="1"/>
  <c r="F195" i="37"/>
  <c r="F195" i="41" s="1"/>
  <c r="A196" i="37"/>
  <c r="A196" i="41" s="1"/>
  <c r="D196" i="37"/>
  <c r="D196" i="41" s="1"/>
  <c r="B196" i="37"/>
  <c r="B196" i="41" s="1"/>
  <c r="F196" i="37"/>
  <c r="F196" i="41" s="1"/>
  <c r="A197" i="37"/>
  <c r="A197" i="41" s="1"/>
  <c r="D197" i="37"/>
  <c r="D197" i="41" s="1"/>
  <c r="B197" i="37"/>
  <c r="B197" i="41" s="1"/>
  <c r="F197" i="37"/>
  <c r="F197" i="41" s="1"/>
  <c r="A198" i="37"/>
  <c r="A198" i="41" s="1"/>
  <c r="D198" i="37"/>
  <c r="D198" i="41" s="1"/>
  <c r="B198" i="37"/>
  <c r="B198" i="41" s="1"/>
  <c r="F198" i="37"/>
  <c r="F198" i="41" s="1"/>
  <c r="A199" i="37"/>
  <c r="A199" i="41" s="1"/>
  <c r="D199" i="37"/>
  <c r="D199" i="41" s="1"/>
  <c r="B199" i="37"/>
  <c r="B199" i="41" s="1"/>
  <c r="F199" i="37"/>
  <c r="F199" i="41" s="1"/>
  <c r="A200" i="37"/>
  <c r="A200" i="41" s="1"/>
  <c r="D200" i="37"/>
  <c r="D200" i="41" s="1"/>
  <c r="B200" i="37"/>
  <c r="B200" i="41" s="1"/>
  <c r="F200" i="37"/>
  <c r="F200" i="41" s="1"/>
  <c r="A201" i="37"/>
  <c r="A201" i="41" s="1"/>
  <c r="D201" i="37"/>
  <c r="D201" i="41" s="1"/>
  <c r="B201" i="37"/>
  <c r="B201" i="41" s="1"/>
  <c r="F201" i="37"/>
  <c r="F201" i="41" s="1"/>
  <c r="A202" i="37"/>
  <c r="A202" i="41" s="1"/>
  <c r="D202" i="37"/>
  <c r="D202" i="41" s="1"/>
  <c r="B202" i="37"/>
  <c r="B202" i="41" s="1"/>
  <c r="F202" i="37"/>
  <c r="F202" i="41" s="1"/>
  <c r="A203" i="37"/>
  <c r="A203" i="41" s="1"/>
  <c r="D203" i="37"/>
  <c r="D203" i="41" s="1"/>
  <c r="B203" i="37"/>
  <c r="B203" i="41" s="1"/>
  <c r="F203" i="37"/>
  <c r="F203" i="41" s="1"/>
  <c r="A204" i="37"/>
  <c r="A204" i="41" s="1"/>
  <c r="D204" i="37"/>
  <c r="D204" i="41" s="1"/>
  <c r="B204" i="37"/>
  <c r="B204" i="41" s="1"/>
  <c r="F204" i="37"/>
  <c r="F204" i="41" s="1"/>
  <c r="A205" i="37"/>
  <c r="A205" i="41" s="1"/>
  <c r="D205" i="37"/>
  <c r="D205" i="41" s="1"/>
  <c r="B205" i="37"/>
  <c r="B205" i="41" s="1"/>
  <c r="F205" i="37"/>
  <c r="F205" i="41" s="1"/>
  <c r="A206" i="37"/>
  <c r="A206" i="41" s="1"/>
  <c r="D206" i="37"/>
  <c r="D206" i="41" s="1"/>
  <c r="B206" i="37"/>
  <c r="B206" i="41" s="1"/>
  <c r="F206" i="37"/>
  <c r="F206" i="41" s="1"/>
  <c r="A207" i="37"/>
  <c r="A207" i="41" s="1"/>
  <c r="D207" i="37"/>
  <c r="D207" i="41" s="1"/>
  <c r="B207" i="37"/>
  <c r="B207" i="41" s="1"/>
  <c r="F207" i="37"/>
  <c r="F207" i="41" s="1"/>
  <c r="A208" i="37"/>
  <c r="A208" i="41" s="1"/>
  <c r="D208" i="37"/>
  <c r="D208" i="41" s="1"/>
  <c r="B208" i="37"/>
  <c r="B208" i="41" s="1"/>
  <c r="F208" i="37"/>
  <c r="F208" i="41" s="1"/>
  <c r="A209" i="37"/>
  <c r="A209" i="41" s="1"/>
  <c r="D209" i="37"/>
  <c r="D209" i="41" s="1"/>
  <c r="B209" i="37"/>
  <c r="B209" i="41" s="1"/>
  <c r="F209" i="37"/>
  <c r="F209" i="41" s="1"/>
  <c r="A210" i="37"/>
  <c r="A210" i="41" s="1"/>
  <c r="D210" i="37"/>
  <c r="D210" i="41" s="1"/>
  <c r="B210" i="37"/>
  <c r="B210" i="41" s="1"/>
  <c r="F210" i="37"/>
  <c r="F210" i="41" s="1"/>
  <c r="A211" i="37"/>
  <c r="A211" i="41" s="1"/>
  <c r="D211" i="37"/>
  <c r="D211" i="41" s="1"/>
  <c r="B211" i="37"/>
  <c r="B211" i="41" s="1"/>
  <c r="F211" i="37"/>
  <c r="F211" i="41" s="1"/>
  <c r="A212" i="37"/>
  <c r="A212" i="41" s="1"/>
  <c r="D212" i="37"/>
  <c r="D212" i="41" s="1"/>
  <c r="B212" i="37"/>
  <c r="B212" i="41" s="1"/>
  <c r="F212" i="37"/>
  <c r="F212" i="41" s="1"/>
  <c r="A213" i="37"/>
  <c r="A213" i="41" s="1"/>
  <c r="D213" i="37"/>
  <c r="D213" i="41" s="1"/>
  <c r="B213" i="37"/>
  <c r="B213" i="41" s="1"/>
  <c r="F213" i="37"/>
  <c r="F213" i="41" s="1"/>
  <c r="A214" i="37"/>
  <c r="A214" i="41" s="1"/>
  <c r="D214" i="37"/>
  <c r="D214" i="41" s="1"/>
  <c r="B214" i="37"/>
  <c r="B214" i="41" s="1"/>
  <c r="F214" i="37"/>
  <c r="F214" i="41" s="1"/>
  <c r="A215" i="37"/>
  <c r="A215" i="41" s="1"/>
  <c r="D215" i="37"/>
  <c r="D215" i="41" s="1"/>
  <c r="B215" i="37"/>
  <c r="B215" i="41" s="1"/>
  <c r="F215" i="37"/>
  <c r="F215" i="41" s="1"/>
  <c r="A216" i="37"/>
  <c r="A216" i="41" s="1"/>
  <c r="D216" i="37"/>
  <c r="D216" i="41" s="1"/>
  <c r="B216" i="37"/>
  <c r="B216" i="41" s="1"/>
  <c r="F216" i="37"/>
  <c r="F216" i="41" s="1"/>
  <c r="A217" i="37"/>
  <c r="A217" i="41" s="1"/>
  <c r="D217" i="37"/>
  <c r="D217" i="41" s="1"/>
  <c r="B217" i="37"/>
  <c r="B217" i="41" s="1"/>
  <c r="F217" i="37"/>
  <c r="F217" i="41" s="1"/>
  <c r="A218" i="37"/>
  <c r="A218" i="41" s="1"/>
  <c r="D218" i="37"/>
  <c r="D218" i="41" s="1"/>
  <c r="B218" i="37"/>
  <c r="B218" i="41" s="1"/>
  <c r="F218" i="37"/>
  <c r="F218" i="41" s="1"/>
  <c r="A219" i="37"/>
  <c r="A219" i="41" s="1"/>
  <c r="D219" i="37"/>
  <c r="D219" i="41" s="1"/>
  <c r="B219" i="37"/>
  <c r="B219" i="41" s="1"/>
  <c r="F219" i="37"/>
  <c r="F219" i="41" s="1"/>
  <c r="A220" i="37"/>
  <c r="A220" i="41" s="1"/>
  <c r="D220" i="37"/>
  <c r="D220" i="41" s="1"/>
  <c r="B220" i="37"/>
  <c r="B220" i="41" s="1"/>
  <c r="F220" i="37"/>
  <c r="F220" i="41" s="1"/>
  <c r="A221" i="37"/>
  <c r="A221" i="41" s="1"/>
  <c r="D221" i="37"/>
  <c r="D221" i="41" s="1"/>
  <c r="B221" i="37"/>
  <c r="B221" i="41" s="1"/>
  <c r="F221" i="37"/>
  <c r="F221" i="41" s="1"/>
  <c r="A222" i="37"/>
  <c r="A222" i="41" s="1"/>
  <c r="D222" i="37"/>
  <c r="D222" i="41" s="1"/>
  <c r="B222" i="37"/>
  <c r="B222" i="41" s="1"/>
  <c r="F222" i="37"/>
  <c r="F222" i="41" s="1"/>
  <c r="A223" i="37"/>
  <c r="A223" i="41" s="1"/>
  <c r="D223" i="37"/>
  <c r="D223" i="41" s="1"/>
  <c r="B223" i="37"/>
  <c r="B223" i="41" s="1"/>
  <c r="F223" i="37"/>
  <c r="F223" i="41" s="1"/>
  <c r="A224" i="37"/>
  <c r="A224" i="41" s="1"/>
  <c r="D224" i="37"/>
  <c r="D224" i="41" s="1"/>
  <c r="B224" i="37"/>
  <c r="B224" i="41" s="1"/>
  <c r="F224" i="37"/>
  <c r="F224" i="41" s="1"/>
  <c r="A225" i="37"/>
  <c r="A225" i="41" s="1"/>
  <c r="D225" i="37"/>
  <c r="D225" i="41" s="1"/>
  <c r="B225" i="37"/>
  <c r="B225" i="41" s="1"/>
  <c r="F225" i="37"/>
  <c r="F225" i="41" s="1"/>
  <c r="A226" i="37"/>
  <c r="A226" i="41" s="1"/>
  <c r="D226" i="37"/>
  <c r="D226" i="41" s="1"/>
  <c r="B226" i="37"/>
  <c r="B226" i="41" s="1"/>
  <c r="F226" i="37"/>
  <c r="F226" i="41" s="1"/>
  <c r="A227" i="37"/>
  <c r="A227" i="41" s="1"/>
  <c r="D227" i="37"/>
  <c r="D227" i="41" s="1"/>
  <c r="B227" i="37"/>
  <c r="B227" i="41" s="1"/>
  <c r="F227" i="37"/>
  <c r="F227" i="41" s="1"/>
  <c r="A228" i="37"/>
  <c r="A228" i="41" s="1"/>
  <c r="D228" i="37"/>
  <c r="D228" i="41" s="1"/>
  <c r="B228" i="37"/>
  <c r="B228" i="41" s="1"/>
  <c r="F228" i="37"/>
  <c r="F228" i="41" s="1"/>
  <c r="A229" i="37"/>
  <c r="A229" i="41" s="1"/>
  <c r="D229" i="37"/>
  <c r="D229" i="41" s="1"/>
  <c r="B229" i="37"/>
  <c r="B229" i="41" s="1"/>
  <c r="F229" i="37"/>
  <c r="F229" i="41" s="1"/>
  <c r="A230" i="37"/>
  <c r="A230" i="41" s="1"/>
  <c r="D230" i="37"/>
  <c r="D230" i="41" s="1"/>
  <c r="B230" i="37"/>
  <c r="B230" i="41" s="1"/>
  <c r="F230" i="37"/>
  <c r="F230" i="41" s="1"/>
  <c r="A231" i="37"/>
  <c r="A231" i="41" s="1"/>
  <c r="D231" i="37"/>
  <c r="D231" i="41" s="1"/>
  <c r="B231" i="37"/>
  <c r="B231" i="41" s="1"/>
  <c r="F231" i="37"/>
  <c r="F231" i="41" s="1"/>
  <c r="A232" i="37"/>
  <c r="A232" i="41" s="1"/>
  <c r="D232" i="37"/>
  <c r="D232" i="41" s="1"/>
  <c r="B232" i="37"/>
  <c r="B232" i="41" s="1"/>
  <c r="F232" i="37"/>
  <c r="F232" i="41" s="1"/>
  <c r="A233" i="37"/>
  <c r="A233" i="41" s="1"/>
  <c r="D233" i="37"/>
  <c r="D233" i="41" s="1"/>
  <c r="B233" i="37"/>
  <c r="B233" i="41" s="1"/>
  <c r="F233" i="37"/>
  <c r="F233" i="41" s="1"/>
  <c r="A234" i="37"/>
  <c r="A234" i="41" s="1"/>
  <c r="D234" i="37"/>
  <c r="D234" i="41" s="1"/>
  <c r="B234" i="37"/>
  <c r="B234" i="41" s="1"/>
  <c r="F234" i="37"/>
  <c r="F234" i="41" s="1"/>
  <c r="A235" i="37"/>
  <c r="A235" i="41" s="1"/>
  <c r="D235" i="37"/>
  <c r="D235" i="41" s="1"/>
  <c r="B235" i="37"/>
  <c r="B235" i="41" s="1"/>
  <c r="F235" i="37"/>
  <c r="F235" i="41" s="1"/>
  <c r="A236" i="37"/>
  <c r="A236" i="41" s="1"/>
  <c r="D236" i="37"/>
  <c r="D236" i="41" s="1"/>
  <c r="B236" i="37"/>
  <c r="B236" i="41" s="1"/>
  <c r="F236" i="37"/>
  <c r="F236" i="41" s="1"/>
  <c r="A237" i="37"/>
  <c r="A237" i="41" s="1"/>
  <c r="D237" i="37"/>
  <c r="D237" i="41" s="1"/>
  <c r="B237" i="37"/>
  <c r="B237" i="41" s="1"/>
  <c r="F237" i="37"/>
  <c r="F237" i="41" s="1"/>
  <c r="A238" i="37"/>
  <c r="A238" i="41" s="1"/>
  <c r="D238" i="37"/>
  <c r="D238" i="41" s="1"/>
  <c r="B238" i="37"/>
  <c r="B238" i="41" s="1"/>
  <c r="F238" i="37"/>
  <c r="F238" i="41" s="1"/>
  <c r="A239" i="37"/>
  <c r="A239" i="41" s="1"/>
  <c r="D239" i="37"/>
  <c r="D239" i="41" s="1"/>
  <c r="B239" i="37"/>
  <c r="B239" i="41" s="1"/>
  <c r="F239" i="37"/>
  <c r="F239" i="41" s="1"/>
  <c r="A240" i="37"/>
  <c r="A240" i="41" s="1"/>
  <c r="D240" i="37"/>
  <c r="D240" i="41" s="1"/>
  <c r="B240" i="37"/>
  <c r="B240" i="41" s="1"/>
  <c r="F240" i="37"/>
  <c r="F240" i="41" s="1"/>
  <c r="A241" i="37"/>
  <c r="A241" i="41" s="1"/>
  <c r="D241" i="37"/>
  <c r="D241" i="41" s="1"/>
  <c r="B241" i="37"/>
  <c r="B241" i="41" s="1"/>
  <c r="F241" i="37"/>
  <c r="F241" i="41" s="1"/>
  <c r="A242" i="37"/>
  <c r="A242" i="41" s="1"/>
  <c r="D242" i="37"/>
  <c r="D242" i="41" s="1"/>
  <c r="B242" i="37"/>
  <c r="B242" i="41" s="1"/>
  <c r="F242" i="37"/>
  <c r="F242" i="41" s="1"/>
  <c r="A243" i="37"/>
  <c r="A243" i="41" s="1"/>
  <c r="D243" i="37"/>
  <c r="D243" i="41" s="1"/>
  <c r="B243" i="37"/>
  <c r="B243" i="41" s="1"/>
  <c r="F243" i="37"/>
  <c r="F243" i="41" s="1"/>
  <c r="A244" i="37"/>
  <c r="A244" i="41" s="1"/>
  <c r="D244" i="37"/>
  <c r="D244" i="41" s="1"/>
  <c r="B244" i="37"/>
  <c r="B244" i="41" s="1"/>
  <c r="F244" i="37"/>
  <c r="F244" i="41" s="1"/>
  <c r="A245" i="37"/>
  <c r="A245" i="41" s="1"/>
  <c r="D245" i="37"/>
  <c r="D245" i="41" s="1"/>
  <c r="B245" i="37"/>
  <c r="B245" i="41" s="1"/>
  <c r="F245" i="37"/>
  <c r="F245" i="41" s="1"/>
  <c r="A246" i="37"/>
  <c r="A246" i="41" s="1"/>
  <c r="D246" i="37"/>
  <c r="D246" i="41" s="1"/>
  <c r="B246" i="37"/>
  <c r="B246" i="41" s="1"/>
  <c r="F246" i="37"/>
  <c r="F246" i="41" s="1"/>
  <c r="A247" i="37"/>
  <c r="A247" i="41" s="1"/>
  <c r="D247" i="37"/>
  <c r="D247" i="41" s="1"/>
  <c r="B247" i="37"/>
  <c r="B247" i="41" s="1"/>
  <c r="F247" i="37"/>
  <c r="F247" i="41" s="1"/>
  <c r="A248" i="37"/>
  <c r="A248" i="41" s="1"/>
  <c r="D248" i="37"/>
  <c r="D248" i="41" s="1"/>
  <c r="B248" i="37"/>
  <c r="B248" i="41" s="1"/>
  <c r="F248" i="37"/>
  <c r="F248" i="41" s="1"/>
  <c r="A249" i="37"/>
  <c r="A249" i="41" s="1"/>
  <c r="D249" i="37"/>
  <c r="D249" i="41" s="1"/>
  <c r="B249" i="37"/>
  <c r="B249" i="41" s="1"/>
  <c r="F249" i="37"/>
  <c r="F249" i="41" s="1"/>
  <c r="A250" i="37"/>
  <c r="A250" i="41" s="1"/>
  <c r="D250" i="37"/>
  <c r="D250" i="41" s="1"/>
  <c r="B250" i="37"/>
  <c r="B250" i="41" s="1"/>
  <c r="F250" i="37"/>
  <c r="F250" i="41" s="1"/>
  <c r="A251" i="37"/>
  <c r="A251" i="41" s="1"/>
  <c r="D251" i="37"/>
  <c r="D251" i="41" s="1"/>
  <c r="B251" i="37"/>
  <c r="B251" i="41" s="1"/>
  <c r="F251" i="37"/>
  <c r="F251" i="41" s="1"/>
  <c r="A252" i="37"/>
  <c r="A252" i="41" s="1"/>
  <c r="D252" i="37"/>
  <c r="D252" i="41" s="1"/>
  <c r="B252" i="37"/>
  <c r="B252" i="41" s="1"/>
  <c r="F252" i="37"/>
  <c r="F252" i="41" s="1"/>
  <c r="A253" i="37"/>
  <c r="A253" i="41" s="1"/>
  <c r="D253" i="37"/>
  <c r="D253" i="41" s="1"/>
  <c r="B253" i="37"/>
  <c r="B253" i="41" s="1"/>
  <c r="F253" i="37"/>
  <c r="F253" i="41" s="1"/>
  <c r="A254" i="37"/>
  <c r="A254" i="41" s="1"/>
  <c r="D254" i="37"/>
  <c r="D254" i="41" s="1"/>
  <c r="B254" i="37"/>
  <c r="B254" i="41" s="1"/>
  <c r="F254" i="37"/>
  <c r="F254" i="41" s="1"/>
  <c r="A255" i="37"/>
  <c r="A255" i="41" s="1"/>
  <c r="D255" i="37"/>
  <c r="D255" i="41" s="1"/>
  <c r="B255" i="37"/>
  <c r="B255" i="41" s="1"/>
  <c r="F255" i="37"/>
  <c r="F255" i="41" s="1"/>
  <c r="A256" i="37"/>
  <c r="A256" i="41" s="1"/>
  <c r="D256" i="37"/>
  <c r="D256" i="41" s="1"/>
  <c r="B256" i="37"/>
  <c r="B256" i="41" s="1"/>
  <c r="F256" i="37"/>
  <c r="F256" i="41" s="1"/>
  <c r="A257" i="37"/>
  <c r="A257" i="41" s="1"/>
  <c r="D257" i="37"/>
  <c r="D257" i="41" s="1"/>
  <c r="B257" i="37"/>
  <c r="B257" i="41" s="1"/>
  <c r="F257" i="37"/>
  <c r="F257" i="41" s="1"/>
  <c r="A258" i="37"/>
  <c r="A258" i="41" s="1"/>
  <c r="D258" i="37"/>
  <c r="D258" i="41" s="1"/>
  <c r="B258" i="37"/>
  <c r="B258" i="41" s="1"/>
  <c r="F258" i="37"/>
  <c r="F258" i="41" s="1"/>
  <c r="A259" i="37"/>
  <c r="A259" i="41" s="1"/>
  <c r="D259" i="37"/>
  <c r="D259" i="41" s="1"/>
  <c r="B259" i="37"/>
  <c r="B259" i="41" s="1"/>
  <c r="F259" i="37"/>
  <c r="F259" i="41" s="1"/>
  <c r="A260" i="37"/>
  <c r="A260" i="41" s="1"/>
  <c r="D260" i="37"/>
  <c r="D260" i="41" s="1"/>
  <c r="B260" i="37"/>
  <c r="B260" i="41" s="1"/>
  <c r="F260" i="37"/>
  <c r="F260" i="41" s="1"/>
  <c r="A261" i="37"/>
  <c r="A261" i="41" s="1"/>
  <c r="D261" i="37"/>
  <c r="D261" i="41" s="1"/>
  <c r="B261" i="37"/>
  <c r="B261" i="41" s="1"/>
  <c r="F261" i="37"/>
  <c r="F261" i="41" s="1"/>
  <c r="A262" i="37"/>
  <c r="A262" i="41" s="1"/>
  <c r="D262" i="37"/>
  <c r="D262" i="41" s="1"/>
  <c r="B262" i="37"/>
  <c r="B262" i="41" s="1"/>
  <c r="F262" i="37"/>
  <c r="F262" i="41" s="1"/>
  <c r="A263" i="37"/>
  <c r="A263" i="41" s="1"/>
  <c r="D263" i="37"/>
  <c r="D263" i="41" s="1"/>
  <c r="B263" i="37"/>
  <c r="B263" i="41" s="1"/>
  <c r="F263" i="37"/>
  <c r="F263" i="41" s="1"/>
  <c r="A264" i="37"/>
  <c r="A264" i="41" s="1"/>
  <c r="D264" i="37"/>
  <c r="D264" i="41" s="1"/>
  <c r="B264" i="37"/>
  <c r="B264" i="41" s="1"/>
  <c r="F264" i="37"/>
  <c r="F264" i="41" s="1"/>
  <c r="A265" i="37"/>
  <c r="A265" i="41" s="1"/>
  <c r="D265" i="37"/>
  <c r="D265" i="41" s="1"/>
  <c r="B265" i="37"/>
  <c r="B265" i="41" s="1"/>
  <c r="F265" i="37"/>
  <c r="F265" i="41" s="1"/>
  <c r="A266" i="37"/>
  <c r="A266" i="41" s="1"/>
  <c r="D266" i="37"/>
  <c r="D266" i="41" s="1"/>
  <c r="B266" i="37"/>
  <c r="B266" i="41" s="1"/>
  <c r="F266" i="37"/>
  <c r="F266" i="41" s="1"/>
  <c r="A267" i="37"/>
  <c r="A267" i="41" s="1"/>
  <c r="D267" i="37"/>
  <c r="D267" i="41" s="1"/>
  <c r="B267" i="37"/>
  <c r="B267" i="41" s="1"/>
  <c r="F267" i="37"/>
  <c r="F267" i="41" s="1"/>
  <c r="A268" i="37"/>
  <c r="A268" i="41" s="1"/>
  <c r="D268" i="37"/>
  <c r="D268" i="41" s="1"/>
  <c r="B268" i="37"/>
  <c r="B268" i="41" s="1"/>
  <c r="F268" i="37"/>
  <c r="F268" i="41" s="1"/>
  <c r="A269" i="37"/>
  <c r="A269" i="41" s="1"/>
  <c r="D269" i="37"/>
  <c r="D269" i="41" s="1"/>
  <c r="B269" i="37"/>
  <c r="B269" i="41" s="1"/>
  <c r="F269" i="37"/>
  <c r="F269" i="41" s="1"/>
  <c r="A270" i="37"/>
  <c r="A270" i="41" s="1"/>
  <c r="D270" i="37"/>
  <c r="D270" i="41" s="1"/>
  <c r="B270" i="37"/>
  <c r="B270" i="41" s="1"/>
  <c r="F270" i="37"/>
  <c r="F270" i="41" s="1"/>
  <c r="A271" i="37"/>
  <c r="A271" i="41" s="1"/>
  <c r="D271" i="37"/>
  <c r="D271" i="41" s="1"/>
  <c r="B271" i="37"/>
  <c r="B271" i="41" s="1"/>
  <c r="F271" i="37"/>
  <c r="F271" i="41" s="1"/>
  <c r="A272" i="37"/>
  <c r="A272" i="41" s="1"/>
  <c r="D272" i="37"/>
  <c r="D272" i="41" s="1"/>
  <c r="B272" i="37"/>
  <c r="B272" i="41" s="1"/>
  <c r="F272" i="37"/>
  <c r="F272" i="41" s="1"/>
  <c r="A273" i="37"/>
  <c r="A273" i="41" s="1"/>
  <c r="D273" i="37"/>
  <c r="D273" i="41" s="1"/>
  <c r="B273" i="37"/>
  <c r="B273" i="41" s="1"/>
  <c r="F273" i="37"/>
  <c r="F273" i="41" s="1"/>
  <c r="A274" i="37"/>
  <c r="A274" i="41" s="1"/>
  <c r="D274" i="37"/>
  <c r="D274" i="41" s="1"/>
  <c r="B274" i="37"/>
  <c r="B274" i="41" s="1"/>
  <c r="F274" i="37"/>
  <c r="F274" i="41" s="1"/>
  <c r="A275" i="37"/>
  <c r="A275" i="41" s="1"/>
  <c r="D275" i="37"/>
  <c r="D275" i="41" s="1"/>
  <c r="B275" i="37"/>
  <c r="B275" i="41" s="1"/>
  <c r="F275" i="37"/>
  <c r="F275" i="41" s="1"/>
  <c r="A276" i="37"/>
  <c r="A276" i="41" s="1"/>
  <c r="D276" i="37"/>
  <c r="D276" i="41" s="1"/>
  <c r="B276" i="37"/>
  <c r="B276" i="41" s="1"/>
  <c r="F276" i="37"/>
  <c r="F276" i="41" s="1"/>
  <c r="A277" i="37"/>
  <c r="A277" i="41" s="1"/>
  <c r="D277" i="37"/>
  <c r="D277" i="41" s="1"/>
  <c r="B277" i="37"/>
  <c r="B277" i="41" s="1"/>
  <c r="F277" i="37"/>
  <c r="F277" i="41" s="1"/>
  <c r="A278" i="37"/>
  <c r="A278" i="41" s="1"/>
  <c r="D278" i="37"/>
  <c r="D278" i="41" s="1"/>
  <c r="B278" i="37"/>
  <c r="B278" i="41" s="1"/>
  <c r="F278" i="37"/>
  <c r="F278" i="41" s="1"/>
  <c r="A279" i="37"/>
  <c r="A279" i="41" s="1"/>
  <c r="D279" i="37"/>
  <c r="D279" i="41" s="1"/>
  <c r="B279" i="37"/>
  <c r="B279" i="41" s="1"/>
  <c r="F279" i="37"/>
  <c r="F279" i="41" s="1"/>
  <c r="A280" i="37"/>
  <c r="A280" i="41" s="1"/>
  <c r="D280" i="37"/>
  <c r="D280" i="41" s="1"/>
  <c r="B280" i="37"/>
  <c r="B280" i="41" s="1"/>
  <c r="F280" i="37"/>
  <c r="F280" i="41" s="1"/>
  <c r="A281" i="37"/>
  <c r="A281" i="41" s="1"/>
  <c r="D281" i="37"/>
  <c r="D281" i="41" s="1"/>
  <c r="B281" i="37"/>
  <c r="B281" i="41" s="1"/>
  <c r="F281" i="37"/>
  <c r="F281" i="41" s="1"/>
  <c r="A282" i="37"/>
  <c r="A282" i="41" s="1"/>
  <c r="D282" i="37"/>
  <c r="D282" i="41" s="1"/>
  <c r="B282" i="37"/>
  <c r="B282" i="41" s="1"/>
  <c r="F282" i="37"/>
  <c r="F282" i="41" s="1"/>
  <c r="A283" i="37"/>
  <c r="A283" i="41" s="1"/>
  <c r="D283" i="37"/>
  <c r="D283" i="41" s="1"/>
  <c r="B283" i="37"/>
  <c r="B283" i="41" s="1"/>
  <c r="F283" i="37"/>
  <c r="F283" i="41" s="1"/>
  <c r="A284" i="37"/>
  <c r="A284" i="41" s="1"/>
  <c r="D284" i="37"/>
  <c r="D284" i="41" s="1"/>
  <c r="B284" i="37"/>
  <c r="B284" i="41" s="1"/>
  <c r="F284" i="37"/>
  <c r="F284" i="41" s="1"/>
  <c r="A285" i="37"/>
  <c r="A285" i="41" s="1"/>
  <c r="D285" i="37"/>
  <c r="D285" i="41" s="1"/>
  <c r="B285" i="37"/>
  <c r="B285" i="41" s="1"/>
  <c r="F285" i="37"/>
  <c r="F285" i="41" s="1"/>
  <c r="A286" i="37"/>
  <c r="A286" i="41" s="1"/>
  <c r="D286" i="37"/>
  <c r="D286" i="41" s="1"/>
  <c r="B286" i="37"/>
  <c r="B286" i="41" s="1"/>
  <c r="F286" i="37"/>
  <c r="F286" i="41" s="1"/>
  <c r="A287" i="37"/>
  <c r="A287" i="41" s="1"/>
  <c r="D287" i="37"/>
  <c r="D287" i="41" s="1"/>
  <c r="B287" i="37"/>
  <c r="B287" i="41" s="1"/>
  <c r="F287" i="37"/>
  <c r="F287" i="41" s="1"/>
  <c r="A288" i="37"/>
  <c r="A288" i="41" s="1"/>
  <c r="D288" i="37"/>
  <c r="D288" i="41" s="1"/>
  <c r="B288" i="37"/>
  <c r="B288" i="41" s="1"/>
  <c r="F288" i="37"/>
  <c r="F288" i="41" s="1"/>
  <c r="A289" i="37"/>
  <c r="A289" i="41" s="1"/>
  <c r="D289" i="37"/>
  <c r="D289" i="41" s="1"/>
  <c r="B289" i="37"/>
  <c r="B289" i="41" s="1"/>
  <c r="F289" i="37"/>
  <c r="F289" i="41" s="1"/>
  <c r="A290" i="37"/>
  <c r="A290" i="41" s="1"/>
  <c r="D290" i="37"/>
  <c r="D290" i="41" s="1"/>
  <c r="B290" i="37"/>
  <c r="B290" i="41" s="1"/>
  <c r="F290" i="37"/>
  <c r="F290" i="41" s="1"/>
  <c r="A291" i="37"/>
  <c r="A291" i="41" s="1"/>
  <c r="D291" i="37"/>
  <c r="D291" i="41" s="1"/>
  <c r="B291" i="37"/>
  <c r="B291" i="41" s="1"/>
  <c r="F291" i="37"/>
  <c r="F291" i="41" s="1"/>
  <c r="A292" i="37"/>
  <c r="A292" i="41" s="1"/>
  <c r="D292" i="37"/>
  <c r="D292" i="41" s="1"/>
  <c r="B292" i="37"/>
  <c r="B292" i="41" s="1"/>
  <c r="F292" i="37"/>
  <c r="F292" i="41" s="1"/>
  <c r="A293" i="37"/>
  <c r="A293" i="41" s="1"/>
  <c r="D293" i="37"/>
  <c r="D293" i="41" s="1"/>
  <c r="B293" i="37"/>
  <c r="B293" i="41" s="1"/>
  <c r="F293" i="37"/>
  <c r="F293" i="41" s="1"/>
  <c r="A294" i="37"/>
  <c r="A294" i="41" s="1"/>
  <c r="D294" i="37"/>
  <c r="D294" i="41" s="1"/>
  <c r="B294" i="37"/>
  <c r="B294" i="41" s="1"/>
  <c r="F294" i="37"/>
  <c r="F294" i="41" s="1"/>
  <c r="A295" i="37"/>
  <c r="A295" i="41" s="1"/>
  <c r="D295" i="37"/>
  <c r="D295" i="41" s="1"/>
  <c r="B295" i="37"/>
  <c r="B295" i="41" s="1"/>
  <c r="F295" i="37"/>
  <c r="F295" i="41" s="1"/>
  <c r="A296" i="37"/>
  <c r="A296" i="41" s="1"/>
  <c r="D296" i="37"/>
  <c r="D296" i="41" s="1"/>
  <c r="B296" i="37"/>
  <c r="B296" i="41" s="1"/>
  <c r="F296" i="37"/>
  <c r="F296" i="41" s="1"/>
  <c r="A297" i="37"/>
  <c r="A297" i="41" s="1"/>
  <c r="D297" i="37"/>
  <c r="D297" i="41" s="1"/>
  <c r="B297" i="37"/>
  <c r="B297" i="41" s="1"/>
  <c r="F297" i="37"/>
  <c r="F297" i="41" s="1"/>
  <c r="A298" i="37"/>
  <c r="A298" i="41" s="1"/>
  <c r="D298" i="37"/>
  <c r="D298" i="41" s="1"/>
  <c r="B298" i="37"/>
  <c r="B298" i="41" s="1"/>
  <c r="F298" i="37"/>
  <c r="F298" i="41" s="1"/>
  <c r="A299" i="37"/>
  <c r="A299" i="41" s="1"/>
  <c r="D299" i="37"/>
  <c r="D299" i="41" s="1"/>
  <c r="B299" i="37"/>
  <c r="B299" i="41" s="1"/>
  <c r="F299" i="37"/>
  <c r="F299" i="41" s="1"/>
  <c r="A300" i="37"/>
  <c r="A300" i="41" s="1"/>
  <c r="D300" i="37"/>
  <c r="D300" i="41" s="1"/>
  <c r="B300" i="37"/>
  <c r="B300" i="41" s="1"/>
  <c r="F300" i="37"/>
  <c r="F300" i="41" s="1"/>
  <c r="A301" i="37"/>
  <c r="A301" i="41" s="1"/>
  <c r="D301" i="37"/>
  <c r="D301" i="41" s="1"/>
  <c r="B301" i="37"/>
  <c r="B301" i="41" s="1"/>
  <c r="F301" i="37"/>
  <c r="F301" i="41" s="1"/>
  <c r="A302" i="37"/>
  <c r="A302" i="41" s="1"/>
  <c r="D302" i="37"/>
  <c r="D302" i="41" s="1"/>
  <c r="B302" i="37"/>
  <c r="B302" i="41" s="1"/>
  <c r="F302" i="37"/>
  <c r="F302" i="41" s="1"/>
  <c r="A303" i="37"/>
  <c r="A303" i="41" s="1"/>
  <c r="D303" i="37"/>
  <c r="D303" i="41" s="1"/>
  <c r="B303" i="37"/>
  <c r="B303" i="41" s="1"/>
  <c r="F303" i="37"/>
  <c r="F303" i="41" s="1"/>
  <c r="A304" i="37"/>
  <c r="A304" i="41" s="1"/>
  <c r="D304" i="37"/>
  <c r="D304" i="41" s="1"/>
  <c r="B304" i="37"/>
  <c r="B304" i="41" s="1"/>
  <c r="F304" i="37"/>
  <c r="F304" i="41" s="1"/>
  <c r="A305" i="37"/>
  <c r="A305" i="41" s="1"/>
  <c r="D305" i="37"/>
  <c r="D305" i="41" s="1"/>
  <c r="B305" i="37"/>
  <c r="B305" i="41" s="1"/>
  <c r="F305" i="37"/>
  <c r="F305" i="41" s="1"/>
  <c r="A306" i="37"/>
  <c r="A306" i="41" s="1"/>
  <c r="D306" i="37"/>
  <c r="D306" i="41" s="1"/>
  <c r="B306" i="37"/>
  <c r="B306" i="41" s="1"/>
  <c r="F306" i="37"/>
  <c r="F306" i="41" s="1"/>
  <c r="A307" i="37"/>
  <c r="A307" i="41" s="1"/>
  <c r="D307" i="37"/>
  <c r="D307" i="41" s="1"/>
  <c r="B307" i="37"/>
  <c r="B307" i="41" s="1"/>
  <c r="F307" i="37"/>
  <c r="F307" i="41" s="1"/>
  <c r="A308" i="37"/>
  <c r="A308" i="41" s="1"/>
  <c r="D308" i="37"/>
  <c r="D308" i="41" s="1"/>
  <c r="B308" i="37"/>
  <c r="B308" i="41" s="1"/>
  <c r="F308" i="37"/>
  <c r="F308" i="41" s="1"/>
  <c r="A309" i="37"/>
  <c r="A309" i="41" s="1"/>
  <c r="D309" i="37"/>
  <c r="D309" i="41" s="1"/>
  <c r="B309" i="37"/>
  <c r="B309" i="41" s="1"/>
  <c r="F309" i="37"/>
  <c r="F309" i="41" s="1"/>
  <c r="A310" i="37"/>
  <c r="A310" i="41" s="1"/>
  <c r="D310" i="37"/>
  <c r="D310" i="41" s="1"/>
  <c r="B310" i="37"/>
  <c r="B310" i="41" s="1"/>
  <c r="F310" i="37"/>
  <c r="F310" i="41" s="1"/>
  <c r="A311" i="37"/>
  <c r="A311" i="41" s="1"/>
  <c r="D311" i="37"/>
  <c r="D311" i="41" s="1"/>
  <c r="B311" i="37"/>
  <c r="B311" i="41" s="1"/>
  <c r="F311" i="37"/>
  <c r="F311" i="41" s="1"/>
  <c r="A312" i="37"/>
  <c r="A312" i="41" s="1"/>
  <c r="D312" i="37"/>
  <c r="D312" i="41" s="1"/>
  <c r="B312" i="37"/>
  <c r="B312" i="41" s="1"/>
  <c r="F312" i="37"/>
  <c r="F312" i="41" s="1"/>
  <c r="A313" i="37"/>
  <c r="A313" i="41" s="1"/>
  <c r="D313" i="37"/>
  <c r="D313" i="41" s="1"/>
  <c r="B313" i="37"/>
  <c r="B313" i="41" s="1"/>
  <c r="F313" i="37"/>
  <c r="F313" i="41" s="1"/>
  <c r="A314" i="37"/>
  <c r="A314" i="41" s="1"/>
  <c r="D314" i="37"/>
  <c r="D314" i="41" s="1"/>
  <c r="B314" i="37"/>
  <c r="B314" i="41" s="1"/>
  <c r="F314" i="37"/>
  <c r="F314" i="41" s="1"/>
  <c r="A315" i="37"/>
  <c r="A315" i="41" s="1"/>
  <c r="D315" i="37"/>
  <c r="D315" i="41" s="1"/>
  <c r="B315" i="37"/>
  <c r="B315" i="41" s="1"/>
  <c r="F315" i="37"/>
  <c r="F315" i="41" s="1"/>
  <c r="A316" i="37"/>
  <c r="A316" i="41" s="1"/>
  <c r="D316" i="37"/>
  <c r="D316" i="41" s="1"/>
  <c r="B316" i="37"/>
  <c r="B316" i="41" s="1"/>
  <c r="F316" i="37"/>
  <c r="F316" i="41" s="1"/>
  <c r="A317" i="37"/>
  <c r="A317" i="41" s="1"/>
  <c r="D317" i="37"/>
  <c r="D317" i="41" s="1"/>
  <c r="B317" i="37"/>
  <c r="B317" i="41" s="1"/>
  <c r="F317" i="37"/>
  <c r="F317" i="41" s="1"/>
  <c r="A318" i="37"/>
  <c r="A318" i="41" s="1"/>
  <c r="D318" i="37"/>
  <c r="D318" i="41" s="1"/>
  <c r="B318" i="37"/>
  <c r="B318" i="41" s="1"/>
  <c r="F318" i="37"/>
  <c r="F318" i="41" s="1"/>
  <c r="A319" i="37"/>
  <c r="A319" i="41" s="1"/>
  <c r="D319" i="37"/>
  <c r="D319" i="41" s="1"/>
  <c r="B319" i="37"/>
  <c r="B319" i="41" s="1"/>
  <c r="F319" i="37"/>
  <c r="F319" i="41" s="1"/>
  <c r="A320" i="37"/>
  <c r="A320" i="41" s="1"/>
  <c r="D320" i="37"/>
  <c r="D320" i="41" s="1"/>
  <c r="B320" i="37"/>
  <c r="B320" i="41" s="1"/>
  <c r="F320" i="37"/>
  <c r="F320" i="41" s="1"/>
  <c r="A321" i="37"/>
  <c r="A321" i="41" s="1"/>
  <c r="D321" i="37"/>
  <c r="D321" i="41" s="1"/>
  <c r="B321" i="37"/>
  <c r="B321" i="41" s="1"/>
  <c r="F321" i="37"/>
  <c r="F321" i="41" s="1"/>
  <c r="A322" i="37"/>
  <c r="A322" i="41" s="1"/>
  <c r="D322" i="37"/>
  <c r="D322" i="41" s="1"/>
  <c r="B322" i="37"/>
  <c r="B322" i="41" s="1"/>
  <c r="F322" i="37"/>
  <c r="F322" i="41" s="1"/>
  <c r="A323" i="37"/>
  <c r="A323" i="41" s="1"/>
  <c r="D323" i="37"/>
  <c r="D323" i="41" s="1"/>
  <c r="B323" i="37"/>
  <c r="B323" i="41" s="1"/>
  <c r="F323" i="37"/>
  <c r="F323" i="41" s="1"/>
  <c r="A324" i="37"/>
  <c r="A324" i="41" s="1"/>
  <c r="D324" i="37"/>
  <c r="D324" i="41" s="1"/>
  <c r="B324" i="37"/>
  <c r="B324" i="41" s="1"/>
  <c r="F324" i="37"/>
  <c r="F324" i="41" s="1"/>
  <c r="A325" i="37"/>
  <c r="A325" i="41" s="1"/>
  <c r="D325" i="37"/>
  <c r="D325" i="41" s="1"/>
  <c r="B325" i="37"/>
  <c r="B325" i="41" s="1"/>
  <c r="F325" i="37"/>
  <c r="F325" i="41" s="1"/>
  <c r="A326" i="37"/>
  <c r="A326" i="41" s="1"/>
  <c r="D326" i="37"/>
  <c r="D326" i="41" s="1"/>
  <c r="B326" i="37"/>
  <c r="B326" i="41" s="1"/>
  <c r="F326" i="37"/>
  <c r="F326" i="41" s="1"/>
  <c r="A327" i="37"/>
  <c r="A327" i="41" s="1"/>
  <c r="D327" i="37"/>
  <c r="D327" i="41" s="1"/>
  <c r="B327" i="37"/>
  <c r="B327" i="41" s="1"/>
  <c r="F327" i="37"/>
  <c r="F327" i="41" s="1"/>
  <c r="A328" i="37"/>
  <c r="A328" i="41" s="1"/>
  <c r="D328" i="37"/>
  <c r="D328" i="41" s="1"/>
  <c r="B328" i="37"/>
  <c r="B328" i="41" s="1"/>
  <c r="F328" i="37"/>
  <c r="F328" i="41" s="1"/>
  <c r="A329" i="37"/>
  <c r="A329" i="41" s="1"/>
  <c r="D329" i="37"/>
  <c r="D329" i="41" s="1"/>
  <c r="B329" i="37"/>
  <c r="B329" i="41" s="1"/>
  <c r="F329" i="37"/>
  <c r="F329" i="41" s="1"/>
  <c r="A330" i="37"/>
  <c r="A330" i="41" s="1"/>
  <c r="D330" i="37"/>
  <c r="D330" i="41" s="1"/>
  <c r="B330" i="37"/>
  <c r="B330" i="41" s="1"/>
  <c r="F330" i="37"/>
  <c r="F330" i="41" s="1"/>
  <c r="A331" i="37"/>
  <c r="A331" i="41" s="1"/>
  <c r="D331" i="37"/>
  <c r="D331" i="41" s="1"/>
  <c r="B331" i="37"/>
  <c r="B331" i="41" s="1"/>
  <c r="F331" i="37"/>
  <c r="F331" i="41" s="1"/>
  <c r="A332" i="37"/>
  <c r="A332" i="41" s="1"/>
  <c r="D332" i="37"/>
  <c r="D332" i="41" s="1"/>
  <c r="B332" i="37"/>
  <c r="B332" i="41" s="1"/>
  <c r="F332" i="37"/>
  <c r="F332" i="41" s="1"/>
  <c r="A333" i="37"/>
  <c r="A333" i="41" s="1"/>
  <c r="D333" i="37"/>
  <c r="D333" i="41" s="1"/>
  <c r="B333" i="37"/>
  <c r="B333" i="41" s="1"/>
  <c r="F333" i="37"/>
  <c r="F333" i="41" s="1"/>
  <c r="A334" i="37"/>
  <c r="A334" i="41" s="1"/>
  <c r="D334" i="37"/>
  <c r="D334" i="41" s="1"/>
  <c r="B334" i="37"/>
  <c r="B334" i="41" s="1"/>
  <c r="F334" i="37"/>
  <c r="F334" i="41" s="1"/>
  <c r="A335" i="37"/>
  <c r="A335" i="41" s="1"/>
  <c r="D335" i="37"/>
  <c r="D335" i="41" s="1"/>
  <c r="B335" i="37"/>
  <c r="B335" i="41" s="1"/>
  <c r="F335" i="37"/>
  <c r="F335" i="41" s="1"/>
  <c r="A336" i="37"/>
  <c r="A336" i="41" s="1"/>
  <c r="D336" i="37"/>
  <c r="D336" i="41" s="1"/>
  <c r="B336" i="37"/>
  <c r="B336" i="41" s="1"/>
  <c r="F336" i="37"/>
  <c r="F336" i="41" s="1"/>
  <c r="A337" i="37"/>
  <c r="A337" i="41" s="1"/>
  <c r="D337" i="37"/>
  <c r="D337" i="41" s="1"/>
  <c r="B337" i="37"/>
  <c r="B337" i="41" s="1"/>
  <c r="F337" i="37"/>
  <c r="F337" i="41" s="1"/>
  <c r="A338" i="37"/>
  <c r="A338" i="41" s="1"/>
  <c r="D338" i="37"/>
  <c r="D338" i="41" s="1"/>
  <c r="B338" i="37"/>
  <c r="B338" i="41" s="1"/>
  <c r="F338" i="37"/>
  <c r="F338" i="41" s="1"/>
  <c r="A339" i="37"/>
  <c r="A339" i="41" s="1"/>
  <c r="D339" i="37"/>
  <c r="D339" i="41" s="1"/>
  <c r="B339" i="37"/>
  <c r="B339" i="41" s="1"/>
  <c r="F339" i="37"/>
  <c r="F339" i="41" s="1"/>
  <c r="A340" i="37"/>
  <c r="A340" i="41" s="1"/>
  <c r="D340" i="37"/>
  <c r="D340" i="41" s="1"/>
  <c r="B340" i="37"/>
  <c r="B340" i="41" s="1"/>
  <c r="F340" i="37"/>
  <c r="F340" i="41" s="1"/>
  <c r="A341" i="37"/>
  <c r="A341" i="41" s="1"/>
  <c r="D341" i="37"/>
  <c r="D341" i="41" s="1"/>
  <c r="B341" i="37"/>
  <c r="B341" i="41" s="1"/>
  <c r="F341" i="37"/>
  <c r="F341" i="41" s="1"/>
  <c r="A342" i="37"/>
  <c r="A342" i="41" s="1"/>
  <c r="D342" i="37"/>
  <c r="D342" i="41" s="1"/>
  <c r="B342" i="37"/>
  <c r="B342" i="41" s="1"/>
  <c r="F342" i="37"/>
  <c r="F342" i="41" s="1"/>
  <c r="A343" i="37"/>
  <c r="A343" i="41" s="1"/>
  <c r="D343" i="37"/>
  <c r="D343" i="41" s="1"/>
  <c r="B343" i="37"/>
  <c r="B343" i="41" s="1"/>
  <c r="F343" i="37"/>
  <c r="F343" i="41" s="1"/>
  <c r="A344" i="37"/>
  <c r="A344" i="41" s="1"/>
  <c r="D344" i="37"/>
  <c r="D344" i="41" s="1"/>
  <c r="B344" i="37"/>
  <c r="B344" i="41" s="1"/>
  <c r="F344" i="37"/>
  <c r="F344" i="41" s="1"/>
  <c r="A345" i="37"/>
  <c r="A345" i="41" s="1"/>
  <c r="D345" i="37"/>
  <c r="D345" i="41" s="1"/>
  <c r="B345" i="37"/>
  <c r="B345" i="41" s="1"/>
  <c r="F345" i="37"/>
  <c r="F345" i="41" s="1"/>
  <c r="A346" i="37"/>
  <c r="A346" i="41" s="1"/>
  <c r="D346" i="37"/>
  <c r="D346" i="41" s="1"/>
  <c r="B346" i="37"/>
  <c r="B346" i="41" s="1"/>
  <c r="F346" i="37"/>
  <c r="F346" i="41" s="1"/>
  <c r="A347" i="37"/>
  <c r="A347" i="41" s="1"/>
  <c r="D347" i="37"/>
  <c r="D347" i="41" s="1"/>
  <c r="B347" i="37"/>
  <c r="B347" i="41" s="1"/>
  <c r="F347" i="37"/>
  <c r="F347" i="41" s="1"/>
  <c r="A348" i="37"/>
  <c r="A348" i="41" s="1"/>
  <c r="D348" i="37"/>
  <c r="D348" i="41" s="1"/>
  <c r="B348" i="37"/>
  <c r="B348" i="41" s="1"/>
  <c r="F348" i="37"/>
  <c r="F348" i="41" s="1"/>
  <c r="A349" i="37"/>
  <c r="A349" i="41" s="1"/>
  <c r="D349" i="37"/>
  <c r="D349" i="41" s="1"/>
  <c r="B349" i="37"/>
  <c r="B349" i="41" s="1"/>
  <c r="F349" i="37"/>
  <c r="F349" i="41" s="1"/>
  <c r="A350" i="37"/>
  <c r="A350" i="41" s="1"/>
  <c r="D350" i="37"/>
  <c r="D350" i="41" s="1"/>
  <c r="B350" i="37"/>
  <c r="B350" i="41" s="1"/>
  <c r="F350" i="37"/>
  <c r="F350" i="41" s="1"/>
  <c r="A351" i="37"/>
  <c r="A351" i="41" s="1"/>
  <c r="D351" i="37"/>
  <c r="D351" i="41" s="1"/>
  <c r="B351" i="37"/>
  <c r="B351" i="41" s="1"/>
  <c r="F351" i="37"/>
  <c r="F351" i="41" s="1"/>
  <c r="A352" i="37"/>
  <c r="A352" i="41" s="1"/>
  <c r="D352" i="37"/>
  <c r="D352" i="41" s="1"/>
  <c r="B352" i="37"/>
  <c r="B352" i="41" s="1"/>
  <c r="F352" i="37"/>
  <c r="F352" i="41" s="1"/>
  <c r="A353" i="37"/>
  <c r="A353" i="41" s="1"/>
  <c r="D353" i="37"/>
  <c r="D353" i="41" s="1"/>
  <c r="B353" i="37"/>
  <c r="B353" i="41" s="1"/>
  <c r="F353" i="37"/>
  <c r="F353" i="41" s="1"/>
  <c r="A354" i="37"/>
  <c r="A354" i="41" s="1"/>
  <c r="D354" i="37"/>
  <c r="D354" i="41" s="1"/>
  <c r="B354" i="37"/>
  <c r="B354" i="41" s="1"/>
  <c r="F354" i="37"/>
  <c r="F354" i="41" s="1"/>
  <c r="A355" i="37"/>
  <c r="A355" i="41" s="1"/>
  <c r="D355" i="37"/>
  <c r="D355" i="41" s="1"/>
  <c r="B355" i="37"/>
  <c r="B355" i="41" s="1"/>
  <c r="F355" i="37"/>
  <c r="F355" i="41" s="1"/>
  <c r="A356" i="37"/>
  <c r="A356" i="41" s="1"/>
  <c r="D356" i="37"/>
  <c r="D356" i="41" s="1"/>
  <c r="B356" i="37"/>
  <c r="B356" i="41" s="1"/>
  <c r="F356" i="37"/>
  <c r="F356" i="41" s="1"/>
  <c r="A357" i="37"/>
  <c r="A357" i="41" s="1"/>
  <c r="D357" i="37"/>
  <c r="D357" i="41" s="1"/>
  <c r="B357" i="37"/>
  <c r="B357" i="41" s="1"/>
  <c r="F357" i="37"/>
  <c r="F357" i="41" s="1"/>
  <c r="A358" i="37"/>
  <c r="A358" i="41" s="1"/>
  <c r="D358" i="37"/>
  <c r="D358" i="41" s="1"/>
  <c r="B358" i="37"/>
  <c r="B358" i="41" s="1"/>
  <c r="F358" i="37"/>
  <c r="F358" i="41" s="1"/>
  <c r="A359" i="37"/>
  <c r="A359" i="41" s="1"/>
  <c r="D359" i="37"/>
  <c r="D359" i="41" s="1"/>
  <c r="B359" i="37"/>
  <c r="B359" i="41" s="1"/>
  <c r="F359" i="37"/>
  <c r="F359" i="41" s="1"/>
  <c r="A360" i="37"/>
  <c r="A360" i="41" s="1"/>
  <c r="D360" i="37"/>
  <c r="D360" i="41" s="1"/>
  <c r="B360" i="37"/>
  <c r="B360" i="41" s="1"/>
  <c r="F360" i="37"/>
  <c r="F360" i="41" s="1"/>
  <c r="A361" i="37"/>
  <c r="A361" i="41" s="1"/>
  <c r="D361" i="37"/>
  <c r="D361" i="41" s="1"/>
  <c r="B361" i="37"/>
  <c r="B361" i="41" s="1"/>
  <c r="F361" i="37"/>
  <c r="F361" i="41" s="1"/>
  <c r="A362" i="37"/>
  <c r="A362" i="41" s="1"/>
  <c r="D362" i="37"/>
  <c r="D362" i="41" s="1"/>
  <c r="B362" i="37"/>
  <c r="B362" i="41" s="1"/>
  <c r="F362" i="37"/>
  <c r="F362" i="41" s="1"/>
  <c r="A363" i="37"/>
  <c r="A363" i="41" s="1"/>
  <c r="D363" i="37"/>
  <c r="D363" i="41" s="1"/>
  <c r="B363" i="37"/>
  <c r="B363" i="41" s="1"/>
  <c r="F363" i="37"/>
  <c r="F363" i="41" s="1"/>
  <c r="A364" i="37"/>
  <c r="A364" i="41" s="1"/>
  <c r="D364" i="37"/>
  <c r="D364" i="41" s="1"/>
  <c r="B364" i="37"/>
  <c r="B364" i="41" s="1"/>
  <c r="F364" i="37"/>
  <c r="F364" i="41" s="1"/>
  <c r="A365" i="37"/>
  <c r="A365" i="41" s="1"/>
  <c r="D365" i="37"/>
  <c r="D365" i="41" s="1"/>
  <c r="B365" i="37"/>
  <c r="B365" i="41" s="1"/>
  <c r="F365" i="37"/>
  <c r="F365" i="41" s="1"/>
  <c r="A366" i="37"/>
  <c r="A366" i="41" s="1"/>
  <c r="D366" i="37"/>
  <c r="D366" i="41" s="1"/>
  <c r="B366" i="37"/>
  <c r="B366" i="41" s="1"/>
  <c r="F366" i="37"/>
  <c r="F366" i="41" s="1"/>
  <c r="A367" i="37"/>
  <c r="A367" i="41" s="1"/>
  <c r="D367" i="37"/>
  <c r="D367" i="41" s="1"/>
  <c r="B367" i="37"/>
  <c r="B367" i="41" s="1"/>
  <c r="F367" i="37"/>
  <c r="F367" i="41" s="1"/>
  <c r="A368" i="37"/>
  <c r="A368" i="41" s="1"/>
  <c r="D368" i="37"/>
  <c r="D368" i="41" s="1"/>
  <c r="B368" i="37"/>
  <c r="B368" i="41" s="1"/>
  <c r="F368" i="37"/>
  <c r="F368" i="41" s="1"/>
  <c r="A369" i="37"/>
  <c r="A369" i="41" s="1"/>
  <c r="D369" i="37"/>
  <c r="D369" i="41" s="1"/>
  <c r="B369" i="37"/>
  <c r="B369" i="41" s="1"/>
  <c r="F369" i="37"/>
  <c r="F369" i="41" s="1"/>
  <c r="A370" i="37"/>
  <c r="A370" i="41" s="1"/>
  <c r="D370" i="37"/>
  <c r="D370" i="41" s="1"/>
  <c r="B370" i="37"/>
  <c r="B370" i="41" s="1"/>
  <c r="F370" i="37"/>
  <c r="F370" i="41" s="1"/>
  <c r="A371" i="37"/>
  <c r="A371" i="41" s="1"/>
  <c r="D371" i="37"/>
  <c r="D371" i="41" s="1"/>
  <c r="B371" i="37"/>
  <c r="B371" i="41" s="1"/>
  <c r="F371" i="37"/>
  <c r="F371" i="41" s="1"/>
  <c r="A372" i="37"/>
  <c r="A372" i="41" s="1"/>
  <c r="D372" i="37"/>
  <c r="D372" i="41" s="1"/>
  <c r="B372" i="37"/>
  <c r="B372" i="41" s="1"/>
  <c r="F372" i="37"/>
  <c r="F372" i="41" s="1"/>
  <c r="A373" i="37"/>
  <c r="A373" i="41" s="1"/>
  <c r="D373" i="37"/>
  <c r="D373" i="41" s="1"/>
  <c r="B373" i="37"/>
  <c r="B373" i="41" s="1"/>
  <c r="F373" i="37"/>
  <c r="F373" i="41" s="1"/>
  <c r="A374" i="37"/>
  <c r="A374" i="41" s="1"/>
  <c r="D374" i="37"/>
  <c r="D374" i="41" s="1"/>
  <c r="B374" i="37"/>
  <c r="B374" i="41" s="1"/>
  <c r="F374" i="37"/>
  <c r="F374" i="41" s="1"/>
  <c r="A375" i="37"/>
  <c r="A375" i="41" s="1"/>
  <c r="D375" i="37"/>
  <c r="D375" i="41" s="1"/>
  <c r="B375" i="37"/>
  <c r="B375" i="41" s="1"/>
  <c r="F375" i="37"/>
  <c r="F375" i="41" s="1"/>
  <c r="A376" i="37"/>
  <c r="A376" i="41" s="1"/>
  <c r="D376" i="37"/>
  <c r="D376" i="41" s="1"/>
  <c r="B376" i="37"/>
  <c r="B376" i="41" s="1"/>
  <c r="F376" i="37"/>
  <c r="F376" i="41" s="1"/>
  <c r="A377" i="37"/>
  <c r="A377" i="41" s="1"/>
  <c r="D377" i="37"/>
  <c r="D377" i="41" s="1"/>
  <c r="B377" i="37"/>
  <c r="B377" i="41" s="1"/>
  <c r="F377" i="37"/>
  <c r="F377" i="41" s="1"/>
  <c r="A378" i="37"/>
  <c r="A378" i="41" s="1"/>
  <c r="D378" i="37"/>
  <c r="D378" i="41" s="1"/>
  <c r="B378" i="37"/>
  <c r="B378" i="41" s="1"/>
  <c r="F378" i="37"/>
  <c r="F378" i="41" s="1"/>
  <c r="A379" i="37"/>
  <c r="A379" i="41" s="1"/>
  <c r="D379" i="37"/>
  <c r="D379" i="41" s="1"/>
  <c r="B379" i="37"/>
  <c r="B379" i="41" s="1"/>
  <c r="F379" i="37"/>
  <c r="F379" i="41" s="1"/>
  <c r="A380" i="37"/>
  <c r="A380" i="41" s="1"/>
  <c r="D380" i="37"/>
  <c r="D380" i="41" s="1"/>
  <c r="B380" i="37"/>
  <c r="B380" i="41" s="1"/>
  <c r="F380" i="37"/>
  <c r="F380" i="41" s="1"/>
  <c r="A381" i="37"/>
  <c r="A381" i="41" s="1"/>
  <c r="D381" i="37"/>
  <c r="D381" i="41" s="1"/>
  <c r="B381" i="37"/>
  <c r="B381" i="41" s="1"/>
  <c r="F381" i="37"/>
  <c r="F381" i="41" s="1"/>
  <c r="A382" i="37"/>
  <c r="A382" i="41" s="1"/>
  <c r="D382" i="37"/>
  <c r="D382" i="41" s="1"/>
  <c r="B382" i="37"/>
  <c r="B382" i="41" s="1"/>
  <c r="F382" i="37"/>
  <c r="F382" i="41" s="1"/>
  <c r="A383" i="37"/>
  <c r="A383" i="41" s="1"/>
  <c r="D383" i="37"/>
  <c r="D383" i="41" s="1"/>
  <c r="B383" i="37"/>
  <c r="B383" i="41" s="1"/>
  <c r="F383" i="37"/>
  <c r="F383" i="41" s="1"/>
  <c r="A384" i="37"/>
  <c r="A384" i="41" s="1"/>
  <c r="D384" i="37"/>
  <c r="D384" i="41" s="1"/>
  <c r="B384" i="37"/>
  <c r="B384" i="41" s="1"/>
  <c r="F384" i="37"/>
  <c r="F384" i="41" s="1"/>
  <c r="A385" i="37"/>
  <c r="A385" i="41" s="1"/>
  <c r="D385" i="37"/>
  <c r="D385" i="41" s="1"/>
  <c r="B385" i="37"/>
  <c r="B385" i="41" s="1"/>
  <c r="F385" i="37"/>
  <c r="F385" i="41" s="1"/>
  <c r="A386" i="37"/>
  <c r="A386" i="41" s="1"/>
  <c r="D386" i="37"/>
  <c r="D386" i="41" s="1"/>
  <c r="B386" i="37"/>
  <c r="B386" i="41" s="1"/>
  <c r="F386" i="37"/>
  <c r="F386" i="41" s="1"/>
  <c r="A387" i="37"/>
  <c r="A387" i="41" s="1"/>
  <c r="D387" i="37"/>
  <c r="D387" i="41" s="1"/>
  <c r="B387" i="37"/>
  <c r="B387" i="41" s="1"/>
  <c r="F387" i="37"/>
  <c r="F387" i="41" s="1"/>
  <c r="A388" i="37"/>
  <c r="A388" i="41" s="1"/>
  <c r="D388" i="37"/>
  <c r="D388" i="41" s="1"/>
  <c r="B388" i="37"/>
  <c r="B388" i="41" s="1"/>
  <c r="F388" i="37"/>
  <c r="F388" i="41" s="1"/>
  <c r="A389" i="37"/>
  <c r="A389" i="41" s="1"/>
  <c r="D389" i="37"/>
  <c r="D389" i="41" s="1"/>
  <c r="B389" i="37"/>
  <c r="B389" i="41" s="1"/>
  <c r="F389" i="37"/>
  <c r="F389" i="41" s="1"/>
  <c r="A390" i="37"/>
  <c r="A390" i="41" s="1"/>
  <c r="D390" i="37"/>
  <c r="D390" i="41" s="1"/>
  <c r="B390" i="37"/>
  <c r="B390" i="41" s="1"/>
  <c r="F390" i="37"/>
  <c r="F390" i="41" s="1"/>
  <c r="A391" i="37"/>
  <c r="A391" i="41" s="1"/>
  <c r="D391" i="37"/>
  <c r="D391" i="41" s="1"/>
  <c r="B391" i="37"/>
  <c r="B391" i="41" s="1"/>
  <c r="F391" i="37"/>
  <c r="F391" i="41" s="1"/>
  <c r="A392" i="37"/>
  <c r="A392" i="41" s="1"/>
  <c r="D392" i="37"/>
  <c r="D392" i="41" s="1"/>
  <c r="B392" i="37"/>
  <c r="B392" i="41" s="1"/>
  <c r="F392" i="37"/>
  <c r="F392" i="41" s="1"/>
  <c r="A393" i="37"/>
  <c r="A393" i="41" s="1"/>
  <c r="D393" i="37"/>
  <c r="D393" i="41" s="1"/>
  <c r="B393" i="37"/>
  <c r="B393" i="41" s="1"/>
  <c r="F393" i="37"/>
  <c r="F393" i="41" s="1"/>
  <c r="A394" i="37"/>
  <c r="A394" i="41" s="1"/>
  <c r="D394" i="37"/>
  <c r="D394" i="41" s="1"/>
  <c r="B394" i="37"/>
  <c r="B394" i="41" s="1"/>
  <c r="F394" i="37"/>
  <c r="F394" i="41" s="1"/>
  <c r="A395" i="37"/>
  <c r="A395" i="41" s="1"/>
  <c r="D395" i="37"/>
  <c r="D395" i="41" s="1"/>
  <c r="B395" i="37"/>
  <c r="B395" i="41" s="1"/>
  <c r="F395" i="37"/>
  <c r="F395" i="41" s="1"/>
  <c r="A396" i="37"/>
  <c r="A396" i="41" s="1"/>
  <c r="D396" i="37"/>
  <c r="D396" i="41" s="1"/>
  <c r="B396" i="37"/>
  <c r="B396" i="41" s="1"/>
  <c r="F396" i="37"/>
  <c r="F396" i="41" s="1"/>
  <c r="A397" i="37"/>
  <c r="A397" i="41" s="1"/>
  <c r="D397" i="37"/>
  <c r="D397" i="41" s="1"/>
  <c r="B397" i="37"/>
  <c r="B397" i="41" s="1"/>
  <c r="F397" i="37"/>
  <c r="F397" i="41" s="1"/>
  <c r="A398" i="37"/>
  <c r="A398" i="41" s="1"/>
  <c r="D398" i="37"/>
  <c r="D398" i="41" s="1"/>
  <c r="B398" i="37"/>
  <c r="B398" i="41" s="1"/>
  <c r="F398" i="37"/>
  <c r="F398" i="41" s="1"/>
  <c r="A399" i="37"/>
  <c r="A399" i="41" s="1"/>
  <c r="D399" i="37"/>
  <c r="D399" i="41" s="1"/>
  <c r="B399" i="37"/>
  <c r="B399" i="41" s="1"/>
  <c r="F399" i="37"/>
  <c r="F399" i="41" s="1"/>
  <c r="A400" i="37"/>
  <c r="A400" i="41" s="1"/>
  <c r="D400" i="37"/>
  <c r="D400" i="41" s="1"/>
  <c r="B400" i="37"/>
  <c r="B400" i="41" s="1"/>
  <c r="F400" i="37"/>
  <c r="F400" i="41" s="1"/>
  <c r="A401" i="37"/>
  <c r="A401" i="41" s="1"/>
  <c r="D401" i="37"/>
  <c r="D401" i="41" s="1"/>
  <c r="B401" i="37"/>
  <c r="B401" i="41" s="1"/>
  <c r="F401" i="37"/>
  <c r="F401" i="41" s="1"/>
  <c r="A402" i="37"/>
  <c r="A402" i="41" s="1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A403" i="41" s="1"/>
  <c r="D403" i="37"/>
  <c r="D403" i="41" s="1"/>
  <c r="F402" i="37"/>
  <c r="F402" i="41" s="1"/>
  <c r="C403" i="37"/>
  <c r="C403" i="41" s="1"/>
  <c r="A404" i="37"/>
  <c r="A404" i="41" s="1"/>
  <c r="D404" i="37"/>
  <c r="D404" i="41" s="1"/>
  <c r="C404" i="37"/>
  <c r="C404" i="41" s="1"/>
  <c r="A405" i="37"/>
  <c r="A405" i="41" s="1"/>
  <c r="D405" i="37"/>
  <c r="D405" i="41" s="1"/>
  <c r="C405" i="37"/>
  <c r="C405" i="41" s="1"/>
  <c r="A407" i="37"/>
  <c r="A407" i="41" s="1"/>
  <c r="D407" i="37"/>
  <c r="D407" i="41" s="1"/>
  <c r="C407" i="37"/>
  <c r="C407" i="41" s="1"/>
  <c r="A408" i="37"/>
  <c r="A408" i="41" s="1"/>
  <c r="D408" i="37"/>
  <c r="D408" i="41" s="1"/>
  <c r="C408" i="37"/>
  <c r="C408" i="41" s="1"/>
  <c r="A409" i="37"/>
  <c r="A409" i="41" s="1"/>
  <c r="D409" i="37"/>
  <c r="D409" i="41" s="1"/>
  <c r="C409" i="37"/>
  <c r="C409" i="41" s="1"/>
  <c r="A410" i="37"/>
  <c r="A410" i="41" s="1"/>
  <c r="D410" i="37"/>
  <c r="D410" i="41" s="1"/>
  <c r="C410" i="37"/>
  <c r="C410" i="41" s="1"/>
  <c r="A411" i="37"/>
  <c r="A411" i="41" s="1"/>
  <c r="D411" i="37"/>
  <c r="D411" i="41" s="1"/>
  <c r="C411" i="37"/>
  <c r="C411" i="41" s="1"/>
  <c r="A412" i="37"/>
  <c r="A412" i="41" s="1"/>
  <c r="D412" i="37"/>
  <c r="D412" i="41" s="1"/>
  <c r="C412" i="37"/>
  <c r="C412" i="41" s="1"/>
  <c r="A413" i="37"/>
  <c r="A413" i="41" s="1"/>
  <c r="D413" i="37"/>
  <c r="D413" i="41" s="1"/>
  <c r="C413" i="37"/>
  <c r="C413" i="41" s="1"/>
  <c r="A414" i="37"/>
  <c r="A414" i="41" s="1"/>
  <c r="D414" i="37"/>
  <c r="D414" i="41" s="1"/>
  <c r="C414" i="37"/>
  <c r="C414" i="41" s="1"/>
  <c r="A415" i="37"/>
  <c r="A415" i="41" s="1"/>
  <c r="D415" i="37"/>
  <c r="D415" i="41" s="1"/>
  <c r="C415" i="37"/>
  <c r="C415" i="41" s="1"/>
  <c r="A416" i="37"/>
  <c r="A416" i="41" s="1"/>
  <c r="D416" i="37"/>
  <c r="D416" i="41" s="1"/>
  <c r="C416" i="37"/>
  <c r="C416" i="41" s="1"/>
  <c r="A417" i="37"/>
  <c r="A417" i="41" s="1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7" i="8" s="1"/>
  <c r="D460" i="37"/>
  <c r="D460" i="41" s="1"/>
  <c r="A10" i="8"/>
  <c r="A18" i="8" s="1"/>
  <c r="A472" i="37"/>
  <c r="A472" i="41" s="1"/>
  <c r="D472" i="37"/>
  <c r="D472" i="41" s="1"/>
  <c r="C472" i="37"/>
  <c r="C472" i="41" s="1"/>
  <c r="A11" i="8"/>
  <c r="C280" i="38" s="1"/>
  <c r="C286" i="38" s="1"/>
  <c r="C292" i="38" s="1"/>
  <c r="A12" i="8"/>
  <c r="A5" i="53" s="1"/>
  <c r="A13" i="8"/>
  <c r="C282" i="38" s="1"/>
  <c r="C288" i="38" s="1"/>
  <c r="C294" i="38" s="1"/>
  <c r="C300" i="38" s="1"/>
  <c r="C306" i="38" s="1"/>
  <c r="C312" i="38" s="1"/>
  <c r="C318" i="38" s="1"/>
  <c r="C324" i="38" s="1"/>
  <c r="C330" i="38" s="1"/>
  <c r="C336" i="38" s="1"/>
  <c r="C342" i="38" s="1"/>
  <c r="C348" i="38" s="1"/>
  <c r="A14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1" i="38"/>
  <c r="D316" i="38"/>
  <c r="D318" i="38"/>
  <c r="D319" i="38"/>
  <c r="D323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6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49" i="26"/>
  <c r="E50" i="26"/>
  <c r="E51" i="26"/>
  <c r="E52" i="26"/>
  <c r="E53" i="26"/>
  <c r="B49" i="26"/>
  <c r="B50" i="26"/>
  <c r="B51" i="26"/>
  <c r="B52" i="26"/>
  <c r="B53" i="26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7" i="26"/>
  <c r="C47" i="26"/>
  <c r="F11" i="32"/>
  <c r="C24" i="20" l="1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7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37" i="66"/>
  <c r="O37" i="66" s="1"/>
  <c r="C169" i="66"/>
  <c r="C11" i="66"/>
  <c r="C23" i="66"/>
  <c r="O23" i="66" s="1"/>
  <c r="C35" i="66"/>
  <c r="C47" i="66"/>
  <c r="C155" i="66"/>
  <c r="C167" i="66"/>
  <c r="O167" i="66" s="1"/>
  <c r="C181" i="66"/>
  <c r="O181" i="66" s="1"/>
  <c r="U181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C85" i="66"/>
  <c r="O85" i="66" s="1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C229" i="66"/>
  <c r="O229" i="66" s="1"/>
  <c r="U229" i="66" s="1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0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6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7" i="26"/>
  <c r="R33" i="9"/>
  <c r="R31" i="20"/>
  <c r="D247" i="66"/>
  <c r="D104" i="66"/>
  <c r="C72" i="57"/>
  <c r="C35" i="57"/>
  <c r="D347" i="38"/>
  <c r="D335" i="38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0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0" i="26"/>
  <c r="D7" i="38"/>
  <c r="D57" i="38"/>
  <c r="D93" i="38"/>
  <c r="K38" i="39"/>
  <c r="D101" i="38"/>
  <c r="D280" i="38"/>
  <c r="C11" i="53"/>
  <c r="D153" i="38"/>
  <c r="D234" i="38"/>
  <c r="D246" i="38"/>
  <c r="D293" i="38"/>
  <c r="B16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87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7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299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7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9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21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86" i="66"/>
  <c r="O156" i="66"/>
  <c r="O78" i="66"/>
  <c r="O39" i="66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O38" i="66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C289" i="38" s="1"/>
  <c r="C295" i="38" s="1"/>
  <c r="C301" i="38" s="1"/>
  <c r="C307" i="38" s="1"/>
  <c r="C313" i="38" s="1"/>
  <c r="C319" i="38" s="1"/>
  <c r="C325" i="38" s="1"/>
  <c r="C331" i="38" s="1"/>
  <c r="C337" i="38" s="1"/>
  <c r="C343" i="38" s="1"/>
  <c r="C349" i="38" s="1"/>
  <c r="A22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0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C285" i="38" s="1"/>
  <c r="C291" i="38" s="1"/>
  <c r="C297" i="38" s="1"/>
  <c r="C303" i="38" s="1"/>
  <c r="C309" i="38" s="1"/>
  <c r="D170" i="35"/>
  <c r="D76" i="35"/>
  <c r="D39" i="35"/>
  <c r="C8" i="17"/>
  <c r="D8" i="17" s="1"/>
  <c r="E8" i="17" s="1"/>
  <c r="D120" i="35"/>
  <c r="D84" i="35"/>
  <c r="T4" i="20"/>
  <c r="H20" i="26"/>
  <c r="D75" i="38"/>
  <c r="D121" i="38"/>
  <c r="D125" i="38"/>
  <c r="D133" i="38"/>
  <c r="A20" i="8"/>
  <c r="N5" i="20"/>
  <c r="D128" i="35"/>
  <c r="O235" i="66"/>
  <c r="U235" i="66" s="1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C298" i="38"/>
  <c r="G45" i="39"/>
  <c r="C278" i="38"/>
  <c r="A2" i="53"/>
  <c r="C273" i="38"/>
  <c r="C281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0" i="26"/>
  <c r="C21" i="17"/>
  <c r="D24" i="20" l="1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G32" i="26"/>
  <c r="H217" i="35" s="1"/>
  <c r="A10" i="53"/>
  <c r="A9" i="53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8" i="26"/>
  <c r="H213" i="35" s="1"/>
  <c r="G40" i="26"/>
  <c r="H225" i="35" s="1"/>
  <c r="G33" i="26"/>
  <c r="H218" i="35" s="1"/>
  <c r="D32" i="26"/>
  <c r="H196" i="35" s="1"/>
  <c r="D33" i="26"/>
  <c r="H197" i="35" s="1"/>
  <c r="D24" i="26"/>
  <c r="H188" i="35" s="1"/>
  <c r="D36" i="26"/>
  <c r="H200" i="35" s="1"/>
  <c r="D25" i="26"/>
  <c r="H189" i="35" s="1"/>
  <c r="D37" i="26"/>
  <c r="H201" i="35" s="1"/>
  <c r="D28" i="26"/>
  <c r="H192" i="35" s="1"/>
  <c r="D40" i="26"/>
  <c r="H204" i="35" s="1"/>
  <c r="D29" i="26"/>
  <c r="H193" i="35" s="1"/>
  <c r="D41" i="26"/>
  <c r="H205" i="35" s="1"/>
  <c r="E4" i="22"/>
  <c r="C21" i="26"/>
  <c r="D21" i="26" s="1"/>
  <c r="E21" i="26" s="1"/>
  <c r="G29" i="26"/>
  <c r="H214" i="35" s="1"/>
  <c r="G41" i="26"/>
  <c r="H226" i="35" s="1"/>
  <c r="G24" i="26"/>
  <c r="H209" i="35" s="1"/>
  <c r="G36" i="26"/>
  <c r="H221" i="35" s="1"/>
  <c r="G37" i="26"/>
  <c r="H222" i="35" s="1"/>
  <c r="G25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A16" i="53"/>
  <c r="H10" i="58"/>
  <c r="I10" i="37"/>
  <c r="I10" i="58"/>
  <c r="J10" i="37"/>
  <c r="H10" i="37"/>
  <c r="C267" i="38"/>
  <c r="J10" i="58"/>
  <c r="J29" i="9"/>
  <c r="F21" i="26"/>
  <c r="G21" i="26" s="1"/>
  <c r="H21" i="26" s="1"/>
  <c r="E49" i="22"/>
  <c r="G52" i="20"/>
  <c r="I7" i="17"/>
  <c r="G51" i="20"/>
  <c r="D51" i="20" s="1"/>
  <c r="C205" i="38"/>
  <c r="C284" i="38"/>
  <c r="U55" i="66"/>
  <c r="A23" i="53"/>
  <c r="C304" i="38"/>
  <c r="J39" i="9"/>
  <c r="A12" i="53"/>
  <c r="C274" i="38"/>
  <c r="U51" i="66"/>
  <c r="C271" i="38"/>
  <c r="A15" i="53"/>
  <c r="E2" i="22"/>
  <c r="C315" i="38"/>
  <c r="C254" i="38"/>
  <c r="C287" i="38"/>
  <c r="A8" i="53"/>
  <c r="J35" i="9"/>
  <c r="J5" i="9" s="1"/>
  <c r="E73" i="38" l="1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8" i="26"/>
  <c r="H10" i="41"/>
  <c r="D53" i="20"/>
  <c r="P34" i="18"/>
  <c r="G26" i="20"/>
  <c r="D26" i="20"/>
  <c r="P7" i="18" s="1"/>
  <c r="C293" i="38"/>
  <c r="C321" i="38"/>
  <c r="E47" i="22"/>
  <c r="C269" i="38"/>
  <c r="D52" i="20"/>
  <c r="P24" i="18" s="1"/>
  <c r="P33" i="18"/>
  <c r="C290" i="38"/>
  <c r="A14" i="53"/>
  <c r="A21" i="53"/>
  <c r="E51" i="22"/>
  <c r="P23" i="18"/>
  <c r="P32" i="18"/>
  <c r="A18" i="53"/>
  <c r="C310" i="38"/>
  <c r="G24" i="20"/>
  <c r="A29" i="53"/>
  <c r="D25" i="20"/>
  <c r="G25" i="20"/>
  <c r="E48" i="26"/>
  <c r="G206" i="35"/>
  <c r="C220" i="38"/>
  <c r="E6" i="22"/>
  <c r="A22" i="53"/>
  <c r="C230" i="38"/>
  <c r="H185" i="35"/>
  <c r="C48" i="26"/>
  <c r="I10" i="41"/>
  <c r="C223" i="38"/>
  <c r="J10" i="41"/>
  <c r="D29" i="53" l="1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327" i="38"/>
  <c r="C235" i="38"/>
  <c r="C245" i="38"/>
  <c r="H25" i="20"/>
  <c r="E25" i="20"/>
  <c r="H52" i="20"/>
  <c r="C299" i="38"/>
  <c r="H206" i="35"/>
  <c r="F48" i="26"/>
  <c r="C316" i="38"/>
  <c r="C296" i="38"/>
  <c r="D48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C322" i="38"/>
  <c r="A33" i="53"/>
  <c r="A30" i="53"/>
  <c r="C260" i="38"/>
  <c r="C333" i="38"/>
  <c r="C302" i="38"/>
  <c r="P9" i="18"/>
  <c r="P8" i="18"/>
  <c r="Z7" i="20"/>
  <c r="P18" i="18"/>
  <c r="Z6" i="20"/>
  <c r="P17" i="18"/>
  <c r="C305" i="38"/>
  <c r="A34" i="53"/>
  <c r="C250" i="38"/>
  <c r="G48" i="26"/>
  <c r="I206" i="35"/>
  <c r="E52" i="20"/>
  <c r="P27" i="18" s="1"/>
  <c r="P36" i="18"/>
  <c r="E51" i="20"/>
  <c r="P35" i="18"/>
  <c r="Z5" i="20" l="1"/>
  <c r="P28" i="18"/>
  <c r="P26" i="18"/>
  <c r="Z3" i="20"/>
  <c r="Z4" i="20"/>
  <c r="C265" i="38"/>
  <c r="C308" i="38"/>
  <c r="C339" i="38"/>
  <c r="C311" i="38"/>
  <c r="C268" i="38"/>
  <c r="D10" i="53" s="1"/>
  <c r="A32" i="53"/>
  <c r="A36" i="53"/>
  <c r="C275" i="38"/>
  <c r="C328" i="38"/>
  <c r="D11" i="53" l="1"/>
  <c r="D34" i="53"/>
  <c r="D9" i="53"/>
  <c r="D23" i="53"/>
  <c r="D22" i="53"/>
  <c r="D35" i="53"/>
  <c r="D33" i="53"/>
  <c r="D21" i="53"/>
  <c r="C314" i="38"/>
  <c r="C334" i="38"/>
  <c r="C317" i="38"/>
  <c r="C345" i="38"/>
  <c r="C323" i="38" l="1"/>
  <c r="C340" i="38"/>
  <c r="C320" i="38"/>
  <c r="C329" i="38" l="1"/>
  <c r="C326" i="38"/>
  <c r="C346" i="38"/>
  <c r="C332" i="38" l="1"/>
  <c r="C335" i="38"/>
  <c r="C341" i="38" l="1"/>
  <c r="C338" i="38"/>
  <c r="C344" i="38" l="1"/>
  <c r="C347" i="38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242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98" i="66"/>
  <c r="M113" i="66"/>
  <c r="M268" i="66"/>
  <c r="M90" i="66"/>
  <c r="M109" i="66"/>
  <c r="M290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50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46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194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290" i="66"/>
  <c r="L63" i="66"/>
  <c r="I80" i="66"/>
  <c r="K66" i="66"/>
  <c r="I260" i="66"/>
  <c r="I135" i="66"/>
  <c r="L182" i="66"/>
  <c r="G92" i="66"/>
  <c r="L98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L146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L194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L24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P98" i="66"/>
  <c r="V98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42" i="66"/>
  <c r="V242" i="66" s="1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290" i="66"/>
  <c r="V290" i="66" s="1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P146" i="66"/>
  <c r="V146" i="66" s="1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P194" i="66"/>
  <c r="V194" i="66" s="1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98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290" i="66"/>
  <c r="X69" i="66"/>
  <c r="X194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46" i="66"/>
  <c r="X162" i="66"/>
  <c r="X24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W88" i="66" l="1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I171" i="35" l="1"/>
  <c r="H171" i="35"/>
  <c r="H173" i="35"/>
  <c r="I173" i="35"/>
  <c r="H172" i="35"/>
  <c r="H174" i="35"/>
  <c r="I172" i="35"/>
  <c r="I174" i="35"/>
  <c r="H175" i="35"/>
  <c r="H177" i="35"/>
  <c r="I175" i="35"/>
  <c r="J93" i="37" s="1"/>
  <c r="I177" i="35"/>
  <c r="J96" i="37" s="1"/>
  <c r="H176" i="35"/>
  <c r="I176" i="35"/>
  <c r="I178" i="35"/>
  <c r="H178" i="35"/>
  <c r="I102" i="58" s="1"/>
  <c r="I179" i="35"/>
  <c r="H179" i="35"/>
  <c r="I181" i="35"/>
  <c r="H181" i="35"/>
  <c r="I180" i="35"/>
  <c r="I182" i="35"/>
  <c r="H182" i="35"/>
  <c r="I116" i="58" s="1"/>
  <c r="H180" i="35"/>
  <c r="I110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R146" i="66" s="1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R290" i="66" s="1"/>
  <c r="Q129" i="66"/>
  <c r="R129" i="66" s="1"/>
  <c r="Q126" i="66"/>
  <c r="R126" i="66" s="1"/>
  <c r="Q216" i="66"/>
  <c r="R216" i="66" s="1"/>
  <c r="Q242" i="66"/>
  <c r="R242" i="66" s="1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R98" i="66" s="1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R194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37"/>
  <c r="H7" i="58"/>
  <c r="J114" i="37"/>
  <c r="J114" i="58"/>
  <c r="J81" i="58"/>
  <c r="J81" i="37"/>
  <c r="H118" i="58"/>
  <c r="H118" i="37"/>
  <c r="H93" i="37"/>
  <c r="H93" i="58"/>
  <c r="I116" i="37"/>
  <c r="I99" i="58"/>
  <c r="I99" i="37"/>
  <c r="I102" i="37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J9" i="37"/>
  <c r="C400" i="58"/>
  <c r="C400" i="37"/>
  <c r="C309" i="58"/>
  <c r="C309" i="37"/>
  <c r="C200" i="58"/>
  <c r="C200" i="37"/>
  <c r="I7" i="58"/>
  <c r="I7" i="37"/>
  <c r="J113" i="58"/>
  <c r="J113" i="37"/>
  <c r="J80" i="58"/>
  <c r="J80" i="37"/>
  <c r="H117" i="58"/>
  <c r="H117" i="37"/>
  <c r="H85" i="37"/>
  <c r="H85" i="58"/>
  <c r="I115" i="37"/>
  <c r="I85" i="58"/>
  <c r="I85" i="37"/>
  <c r="I94" i="37"/>
  <c r="I94" i="58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J7" i="37"/>
  <c r="J112" i="58"/>
  <c r="J112" i="37"/>
  <c r="J78" i="37"/>
  <c r="J78" i="58"/>
  <c r="H115" i="58"/>
  <c r="H115" i="37"/>
  <c r="H82" i="58"/>
  <c r="H82" i="37"/>
  <c r="H114" i="58"/>
  <c r="H114" i="37"/>
  <c r="I98" i="37"/>
  <c r="I98" i="58"/>
  <c r="H86" i="58"/>
  <c r="H86" i="37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37"/>
  <c r="J109" i="58"/>
  <c r="J86" i="58"/>
  <c r="J86" i="37"/>
  <c r="H113" i="37"/>
  <c r="H113" i="58"/>
  <c r="H81" i="58"/>
  <c r="H81" i="37"/>
  <c r="I113" i="37"/>
  <c r="H83" i="58"/>
  <c r="H83" i="37"/>
  <c r="J79" i="58"/>
  <c r="J79" i="37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J3" i="37"/>
  <c r="I3" i="58"/>
  <c r="I3" i="37"/>
  <c r="J101" i="58"/>
  <c r="H112" i="37"/>
  <c r="H112" i="58"/>
  <c r="H80" i="58"/>
  <c r="H80" i="37"/>
  <c r="I97" i="58"/>
  <c r="I97" i="37"/>
  <c r="I81" i="58"/>
  <c r="I81" i="37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J99" i="58"/>
  <c r="H110" i="37"/>
  <c r="H110" i="58"/>
  <c r="H78" i="37"/>
  <c r="H78" i="58"/>
  <c r="I112" i="37"/>
  <c r="I80" i="58"/>
  <c r="I80" i="37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J98" i="58"/>
  <c r="H108" i="58"/>
  <c r="H108" i="37"/>
  <c r="I96" i="58"/>
  <c r="I96" i="37"/>
  <c r="I78" i="58"/>
  <c r="I78" i="37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J117" i="58"/>
  <c r="J117" i="37"/>
  <c r="J97" i="58"/>
  <c r="H101" i="58"/>
  <c r="H101" i="37"/>
  <c r="J111" i="58"/>
  <c r="J111" i="37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J83" i="58"/>
  <c r="J83" i="37"/>
  <c r="H96" i="58"/>
  <c r="H96" i="37"/>
  <c r="I101" i="37"/>
  <c r="I101" i="58"/>
  <c r="C321" i="58"/>
  <c r="C321" i="37"/>
  <c r="C211" i="58"/>
  <c r="C211" i="37"/>
  <c r="H9" i="58"/>
  <c r="H9" i="37"/>
  <c r="J96" i="58"/>
  <c r="H99" i="58"/>
  <c r="H99" i="37"/>
  <c r="I118" i="37"/>
  <c r="I110" i="37"/>
  <c r="I93" i="58"/>
  <c r="I93" i="37"/>
  <c r="I82" i="37"/>
  <c r="I82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J93" i="58"/>
  <c r="H98" i="37"/>
  <c r="H98" i="58"/>
  <c r="H109" i="37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I9" i="37"/>
  <c r="J118" i="37"/>
  <c r="J118" i="58"/>
  <c r="J85" i="37"/>
  <c r="J85" i="58"/>
  <c r="H97" i="37"/>
  <c r="H97" i="58"/>
  <c r="I117" i="37"/>
  <c r="J108" i="37"/>
  <c r="J108" i="58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J99" i="37" l="1"/>
  <c r="J101" i="37"/>
  <c r="J97" i="37"/>
  <c r="J98" i="37"/>
  <c r="I113" i="58"/>
  <c r="I115" i="58"/>
  <c r="I118" i="58"/>
  <c r="I112" i="58"/>
  <c r="I117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I102" i="41"/>
  <c r="J114" i="41"/>
  <c r="I116" i="41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290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194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46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98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242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I101" i="41"/>
  <c r="H86" i="41"/>
  <c r="H114" i="41"/>
  <c r="H82" i="41"/>
  <c r="H115" i="41"/>
  <c r="J112" i="41"/>
  <c r="J83" i="41"/>
  <c r="I85" i="41"/>
  <c r="H117" i="41"/>
  <c r="J113" i="41"/>
  <c r="H109" i="41"/>
  <c r="H98" i="41"/>
  <c r="J93" i="41"/>
  <c r="I82" i="41"/>
  <c r="I118" i="41"/>
  <c r="I112" i="41"/>
  <c r="H110" i="41"/>
  <c r="J99" i="41"/>
  <c r="J97" i="41"/>
  <c r="I113" i="41"/>
  <c r="H113" i="41"/>
  <c r="J109" i="41"/>
  <c r="I96" i="41"/>
  <c r="H108" i="41"/>
  <c r="J98" i="41"/>
  <c r="I81" i="41"/>
  <c r="I97" i="41"/>
  <c r="H80" i="41"/>
  <c r="I111" i="37"/>
  <c r="I111" i="58"/>
  <c r="H111" i="58"/>
  <c r="H111" i="37"/>
  <c r="C211" i="41"/>
  <c r="C321" i="41"/>
  <c r="H96" i="41"/>
  <c r="H119" i="37"/>
  <c r="H119" i="58"/>
  <c r="J110" i="37"/>
  <c r="J110" i="58"/>
  <c r="J82" i="58"/>
  <c r="J82" i="37"/>
  <c r="H95" i="37"/>
  <c r="H95" i="58"/>
  <c r="H94" i="37"/>
  <c r="H94" i="58"/>
  <c r="J119" i="37"/>
  <c r="J119" i="58"/>
  <c r="J115" i="37"/>
  <c r="J115" i="58"/>
  <c r="I119" i="58"/>
  <c r="I119" i="37"/>
  <c r="H74" i="58"/>
  <c r="H74" i="37"/>
  <c r="I79" i="58"/>
  <c r="I79" i="37"/>
  <c r="I74" i="58"/>
  <c r="I74" i="37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37"/>
  <c r="I114" i="58"/>
  <c r="I83" i="37"/>
  <c r="I83" i="58"/>
  <c r="J74" i="58"/>
  <c r="J74" i="37"/>
  <c r="C178" i="41"/>
  <c r="C212" i="41"/>
  <c r="C277" i="41"/>
  <c r="C322" i="41"/>
  <c r="J108" i="41"/>
  <c r="I117" i="41"/>
  <c r="H97" i="41"/>
  <c r="J85" i="41"/>
  <c r="J118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37"/>
  <c r="J94" i="58"/>
  <c r="I108" i="37"/>
  <c r="I108" i="58"/>
  <c r="I95" i="37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I93" i="41"/>
  <c r="I110" i="41"/>
  <c r="H99" i="41"/>
  <c r="J96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37"/>
  <c r="I87" i="58"/>
  <c r="J102" i="37"/>
  <c r="J102" i="58"/>
  <c r="J87" i="58"/>
  <c r="J87" i="37"/>
  <c r="I86" i="58"/>
  <c r="I86" i="37"/>
  <c r="J116" i="37"/>
  <c r="J116" i="58"/>
  <c r="H87" i="58"/>
  <c r="H87" i="37"/>
  <c r="I109" i="58"/>
  <c r="I109" i="37"/>
  <c r="H116" i="37"/>
  <c r="H116" i="58"/>
  <c r="J95" i="37"/>
  <c r="J95" i="58"/>
  <c r="H102" i="58"/>
  <c r="H102" i="37"/>
  <c r="H79" i="37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J101" i="41"/>
  <c r="C121" i="41"/>
  <c r="C136" i="41"/>
  <c r="C159" i="41"/>
  <c r="C173" i="41"/>
  <c r="C185" i="41"/>
  <c r="C196" i="41"/>
  <c r="C272" i="41"/>
  <c r="C295" i="41"/>
  <c r="C396" i="41"/>
  <c r="I99" i="41"/>
  <c r="H118" i="41"/>
  <c r="J81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J111" i="41"/>
  <c r="H101" i="41"/>
  <c r="J117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J79" i="41"/>
  <c r="H83" i="41"/>
  <c r="H81" i="41"/>
  <c r="J86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J80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I80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I94" i="41"/>
  <c r="I115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I98" i="41"/>
  <c r="J78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I111" i="41" l="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37"/>
  <c r="I103" i="58"/>
  <c r="C39" i="63" s="1"/>
  <c r="J271" i="66"/>
  <c r="J107" i="37"/>
  <c r="J107" i="58"/>
  <c r="F243" i="66" s="1"/>
  <c r="N243" i="66" s="1"/>
  <c r="J77" i="37"/>
  <c r="J77" i="58"/>
  <c r="J103" i="37"/>
  <c r="J103" i="58"/>
  <c r="H77" i="58"/>
  <c r="H77" i="37"/>
  <c r="I77" i="58"/>
  <c r="I77" i="37"/>
  <c r="I107" i="37"/>
  <c r="I107" i="58"/>
  <c r="F195" i="66" s="1"/>
  <c r="N195" i="66" s="1"/>
  <c r="H76" i="58"/>
  <c r="H76" i="37"/>
  <c r="H103" i="58"/>
  <c r="C30" i="63" s="1"/>
  <c r="H103" i="37"/>
  <c r="H105" i="58"/>
  <c r="H105" i="37"/>
  <c r="J76" i="58"/>
  <c r="J76" i="37"/>
  <c r="J75" i="37"/>
  <c r="J75" i="58"/>
  <c r="I76" i="58"/>
  <c r="I76" i="37"/>
  <c r="I105" i="37"/>
  <c r="I105" i="58"/>
  <c r="I75" i="58"/>
  <c r="I75" i="37"/>
  <c r="J105" i="37"/>
  <c r="J105" i="58"/>
  <c r="H107" i="58"/>
  <c r="F147" i="66" s="1"/>
  <c r="N147" i="66" s="1"/>
  <c r="H107" i="37"/>
  <c r="H75" i="58"/>
  <c r="H75" i="37"/>
  <c r="P79" i="66"/>
  <c r="S79" i="66"/>
  <c r="S143" i="66"/>
  <c r="P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410" i="37"/>
  <c r="I408" i="37"/>
  <c r="I411" i="37"/>
  <c r="I74" i="41"/>
  <c r="I409" i="37"/>
  <c r="I79" i="41"/>
  <c r="H111" i="41"/>
  <c r="I410" i="58"/>
  <c r="I411" i="58"/>
  <c r="I409" i="58"/>
  <c r="I408" i="58"/>
  <c r="F238" i="66" s="1"/>
  <c r="N238" i="66" s="1"/>
  <c r="H410" i="37"/>
  <c r="H408" i="37"/>
  <c r="H411" i="37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S95" i="66"/>
  <c r="J410" i="37"/>
  <c r="J411" i="37"/>
  <c r="J74" i="41"/>
  <c r="J408" i="37"/>
  <c r="J409" i="37"/>
  <c r="S223" i="66" l="1"/>
  <c r="M6" i="41"/>
  <c r="N6" i="41"/>
  <c r="J239" i="66"/>
  <c r="I409" i="41"/>
  <c r="H106" i="37"/>
  <c r="H106" i="58"/>
  <c r="J88" i="58"/>
  <c r="J88" i="37"/>
  <c r="J91" i="37"/>
  <c r="J91" i="58"/>
  <c r="J106" i="37"/>
  <c r="J106" i="58"/>
  <c r="H84" i="37"/>
  <c r="H84" i="58"/>
  <c r="J104" i="58"/>
  <c r="J104" i="37"/>
  <c r="J84" i="58"/>
  <c r="J84" i="37"/>
  <c r="H410" i="41"/>
  <c r="P127" i="66"/>
  <c r="S127" i="66"/>
  <c r="H411" i="41"/>
  <c r="I89" i="37"/>
  <c r="I89" i="58"/>
  <c r="I410" i="41"/>
  <c r="K41" i="39"/>
  <c r="E139" i="38" s="1"/>
  <c r="F155" i="66"/>
  <c r="H455" i="58"/>
  <c r="E370" i="38" s="1"/>
  <c r="K155" i="66" s="1"/>
  <c r="I104" i="58"/>
  <c r="I104" i="37"/>
  <c r="I408" i="41"/>
  <c r="F94" i="66"/>
  <c r="N94" i="66" s="1"/>
  <c r="J92" i="58"/>
  <c r="J92" i="37"/>
  <c r="J89" i="58"/>
  <c r="J89" i="37"/>
  <c r="H92" i="58"/>
  <c r="H92" i="37"/>
  <c r="I90" i="37"/>
  <c r="I90" i="58"/>
  <c r="J409" i="41"/>
  <c r="H104" i="37"/>
  <c r="H104" i="58"/>
  <c r="H89" i="58"/>
  <c r="H89" i="37"/>
  <c r="I411" i="41"/>
  <c r="H90" i="58"/>
  <c r="H90" i="37"/>
  <c r="F142" i="66"/>
  <c r="N142" i="66" s="1"/>
  <c r="J408" i="41"/>
  <c r="S47" i="66"/>
  <c r="P47" i="66"/>
  <c r="R47" i="66"/>
  <c r="H75" i="41"/>
  <c r="F45" i="66"/>
  <c r="J76" i="41"/>
  <c r="H88" i="37"/>
  <c r="H88" i="58"/>
  <c r="I91" i="37"/>
  <c r="I91" i="58"/>
  <c r="J411" i="41"/>
  <c r="F189" i="66"/>
  <c r="I92" i="37"/>
  <c r="I92" i="58"/>
  <c r="J90" i="58"/>
  <c r="J90" i="37"/>
  <c r="I88" i="58"/>
  <c r="I88" i="37"/>
  <c r="H91" i="37"/>
  <c r="H91" i="58"/>
  <c r="J410" i="41"/>
  <c r="J175" i="66"/>
  <c r="I75" i="41"/>
  <c r="D12" i="39" s="1"/>
  <c r="F93" i="66"/>
  <c r="D39" i="39"/>
  <c r="E103" i="38" s="1"/>
  <c r="R191" i="66"/>
  <c r="P191" i="66"/>
  <c r="S191" i="66"/>
  <c r="F237" i="66"/>
  <c r="L39" i="39"/>
  <c r="E154" i="38" s="1"/>
  <c r="I106" i="37"/>
  <c r="I106" i="58"/>
  <c r="I84" i="58"/>
  <c r="I84" i="37"/>
  <c r="F46" i="66"/>
  <c r="N46" i="66" s="1"/>
  <c r="H408" i="41"/>
  <c r="R31" i="66"/>
  <c r="P31" i="66"/>
  <c r="S31" i="66"/>
  <c r="P287" i="66"/>
  <c r="S287" i="66"/>
  <c r="C48" i="63"/>
  <c r="H77" i="41"/>
  <c r="J103" i="41"/>
  <c r="O5" i="41" s="1"/>
  <c r="C21" i="63"/>
  <c r="J77" i="41"/>
  <c r="S271" i="66"/>
  <c r="P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H455" i="37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90" i="41"/>
  <c r="H84" i="41"/>
  <c r="J106" i="41"/>
  <c r="P239" i="66"/>
  <c r="S239" i="66"/>
  <c r="I84" i="41"/>
  <c r="I106" i="41"/>
  <c r="H90" i="41"/>
  <c r="T191" i="66"/>
  <c r="J90" i="41"/>
  <c r="I92" i="41"/>
  <c r="J92" i="41"/>
  <c r="I100" i="58"/>
  <c r="I100" i="37"/>
  <c r="O14" i="39"/>
  <c r="P14" i="39"/>
  <c r="Q14" i="39" s="1"/>
  <c r="M40" i="39"/>
  <c r="E172" i="38" s="1"/>
  <c r="F267" i="66"/>
  <c r="I104" i="41"/>
  <c r="I416" i="37"/>
  <c r="I417" i="37"/>
  <c r="T31" i="66"/>
  <c r="H405" i="58"/>
  <c r="F181" i="66"/>
  <c r="N181" i="66" s="1"/>
  <c r="H406" i="58"/>
  <c r="H407" i="58"/>
  <c r="F172" i="66" s="1"/>
  <c r="I412" i="37"/>
  <c r="I415" i="37"/>
  <c r="I414" i="37"/>
  <c r="I88" i="41"/>
  <c r="I413" i="37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416" i="37"/>
  <c r="J417" i="37"/>
  <c r="J11" i="66"/>
  <c r="Y51" i="66"/>
  <c r="Y195" i="66"/>
  <c r="Z51" i="66"/>
  <c r="Z195" i="66"/>
  <c r="J251" i="66"/>
  <c r="F37" i="66"/>
  <c r="N37" i="66" s="1"/>
  <c r="H406" i="37"/>
  <c r="H91" i="41"/>
  <c r="H407" i="37"/>
  <c r="H405" i="37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37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15" i="37"/>
  <c r="J414" i="37"/>
  <c r="J412" i="37"/>
  <c r="J413" i="37"/>
  <c r="J437" i="37"/>
  <c r="J141" i="66"/>
  <c r="J203" i="66"/>
  <c r="T47" i="66"/>
  <c r="J405" i="37"/>
  <c r="J406" i="37"/>
  <c r="F133" i="66"/>
  <c r="N133" i="66" s="1"/>
  <c r="J407" i="37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C12" i="39" s="1"/>
  <c r="I437" i="37"/>
  <c r="J93" i="66"/>
  <c r="I91" i="41"/>
  <c r="I406" i="37"/>
  <c r="I407" i="37"/>
  <c r="F85" i="66"/>
  <c r="N85" i="66" s="1"/>
  <c r="I405" i="37"/>
  <c r="H412" i="37"/>
  <c r="H88" i="41"/>
  <c r="H415" i="37"/>
  <c r="H414" i="37"/>
  <c r="E43" i="39"/>
  <c r="E126" i="38" s="1"/>
  <c r="H89" i="41"/>
  <c r="B4" i="39" s="1"/>
  <c r="K40" i="39" s="1"/>
  <c r="E138" i="3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416" i="37"/>
  <c r="H104" i="41"/>
  <c r="H455" i="41"/>
  <c r="E352" i="38"/>
  <c r="K11" i="66" s="1"/>
  <c r="J59" i="66"/>
  <c r="I437" i="58"/>
  <c r="J237" i="66"/>
  <c r="J100" i="58"/>
  <c r="J100" i="37"/>
  <c r="R175" i="66"/>
  <c r="S175" i="66"/>
  <c r="P175" i="66"/>
  <c r="E16" i="39" l="1"/>
  <c r="J249" i="66"/>
  <c r="J201" i="66"/>
  <c r="D16" i="39"/>
  <c r="B7" i="39"/>
  <c r="H456" i="37" s="1"/>
  <c r="H406" i="41"/>
  <c r="T175" i="66"/>
  <c r="J100" i="41"/>
  <c r="I406" i="41"/>
  <c r="J417" i="41"/>
  <c r="H439" i="58"/>
  <c r="J171" i="66"/>
  <c r="O12" i="39"/>
  <c r="P12" i="39"/>
  <c r="J414" i="41"/>
  <c r="F139" i="66"/>
  <c r="I439" i="37"/>
  <c r="C18" i="63" s="1"/>
  <c r="J75" i="66"/>
  <c r="P59" i="66"/>
  <c r="S59" i="66"/>
  <c r="J439" i="37"/>
  <c r="C27" i="63" s="1"/>
  <c r="J123" i="66"/>
  <c r="H412" i="41"/>
  <c r="F32" i="66"/>
  <c r="N32" i="66" s="1"/>
  <c r="S251" i="66"/>
  <c r="P251" i="66"/>
  <c r="I414" i="41"/>
  <c r="F91" i="66"/>
  <c r="Z277" i="66"/>
  <c r="Y277" i="66"/>
  <c r="Z133" i="66"/>
  <c r="S203" i="66"/>
  <c r="P203" i="66"/>
  <c r="I405" i="41"/>
  <c r="F92" i="66"/>
  <c r="Y133" i="66"/>
  <c r="I415" i="41"/>
  <c r="F90" i="66"/>
  <c r="N90" i="66" s="1"/>
  <c r="P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C13" i="39"/>
  <c r="H454" i="37"/>
  <c r="H454" i="58"/>
  <c r="E369" i="38" s="1"/>
  <c r="K171" i="66" s="1"/>
  <c r="I437" i="41"/>
  <c r="R155" i="66"/>
  <c r="S155" i="66"/>
  <c r="P155" i="66"/>
  <c r="H100" i="41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H453" i="37"/>
  <c r="H453" i="58"/>
  <c r="E368" i="38" s="1"/>
  <c r="K189" i="66" s="1"/>
  <c r="K39" i="39"/>
  <c r="E137" i="38" s="1"/>
  <c r="J413" i="41"/>
  <c r="S285" i="66"/>
  <c r="P285" i="66"/>
  <c r="P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H415" i="41"/>
  <c r="F42" i="66"/>
  <c r="N42" i="66" s="1"/>
  <c r="S141" i="66"/>
  <c r="P141" i="66"/>
  <c r="S107" i="66"/>
  <c r="P107" i="66"/>
  <c r="J405" i="41"/>
  <c r="F140" i="66"/>
  <c r="J437" i="41"/>
  <c r="I413" i="41"/>
  <c r="F284" i="66"/>
  <c r="P249" i="66" l="1"/>
  <c r="S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S201" i="66"/>
  <c r="P201" i="66"/>
  <c r="I439" i="41"/>
  <c r="T11" i="66"/>
  <c r="C45" i="63"/>
  <c r="T155" i="66"/>
  <c r="E351" i="38"/>
  <c r="K27" i="66" s="1"/>
  <c r="H454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39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39" i="37"/>
  <c r="J27" i="66"/>
  <c r="Z282" i="66"/>
  <c r="Z138" i="66"/>
  <c r="Y138" i="66"/>
  <c r="Y282" i="66"/>
  <c r="J189" i="66"/>
  <c r="H437" i="58"/>
  <c r="R171" i="66"/>
  <c r="S171" i="66"/>
  <c r="P171" i="66"/>
  <c r="S105" i="66"/>
  <c r="P105" i="66"/>
  <c r="E353" i="38"/>
  <c r="K9" i="66" s="1"/>
  <c r="E350" i="38"/>
  <c r="K45" i="66" s="1"/>
  <c r="H453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37" i="37"/>
  <c r="J153" i="66" l="1"/>
  <c r="R153" i="66" s="1"/>
  <c r="P16" i="39"/>
  <c r="Q16" i="39" s="1"/>
  <c r="H456" i="41"/>
  <c r="H437" i="41"/>
  <c r="C36" i="63"/>
  <c r="T171" i="66"/>
  <c r="R189" i="66"/>
  <c r="S189" i="66"/>
  <c r="P189" i="66"/>
  <c r="P9" i="66"/>
  <c r="S9" i="66"/>
  <c r="R9" i="66"/>
  <c r="S45" i="66"/>
  <c r="P45" i="66"/>
  <c r="R45" i="66"/>
  <c r="S27" i="66"/>
  <c r="P27" i="66"/>
  <c r="R27" i="66"/>
  <c r="C9" i="63"/>
  <c r="H439" i="41"/>
  <c r="S153" i="66" l="1"/>
  <c r="T153" i="66" s="1"/>
  <c r="P153" i="66"/>
  <c r="T9" i="66"/>
  <c r="T27" i="66"/>
  <c r="T189" i="66"/>
  <c r="T45" i="66"/>
  <c r="H3" i="58" l="1"/>
  <c r="H3" i="37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R7" i="9"/>
  <c r="E44" i="22"/>
  <c r="D23" i="26"/>
  <c r="D31" i="26"/>
  <c r="D35" i="26"/>
  <c r="D39" i="26"/>
  <c r="D38" i="26"/>
  <c r="D30" i="26"/>
  <c r="D34" i="26"/>
  <c r="E19" i="22"/>
  <c r="D26" i="26"/>
  <c r="M7" i="9"/>
  <c r="D22" i="26"/>
  <c r="D27" i="26"/>
  <c r="H39" i="26"/>
  <c r="I224" i="35" s="1"/>
  <c r="H26" i="26"/>
  <c r="H30" i="26"/>
  <c r="H27" i="26"/>
  <c r="I212" i="35" s="1"/>
  <c r="H31" i="26"/>
  <c r="I216" i="35" s="1"/>
  <c r="H35" i="26"/>
  <c r="I220" i="35" s="1"/>
  <c r="H23" i="26"/>
  <c r="I208" i="35" s="1"/>
  <c r="H34" i="26"/>
  <c r="H22" i="26"/>
  <c r="H38" i="26"/>
  <c r="E79" i="22"/>
  <c r="G39" i="26"/>
  <c r="G27" i="26"/>
  <c r="G31" i="26"/>
  <c r="G30" i="26"/>
  <c r="G26" i="26"/>
  <c r="G22" i="26"/>
  <c r="G23" i="26"/>
  <c r="E64" i="22"/>
  <c r="G34" i="26"/>
  <c r="G35" i="26"/>
  <c r="G38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P15" i="39" s="1"/>
  <c r="C6" i="39"/>
  <c r="E30" i="26"/>
  <c r="E32" i="22"/>
  <c r="E34" i="26"/>
  <c r="I198" i="35" s="1"/>
  <c r="R40" i="9"/>
  <c r="E38" i="26"/>
  <c r="E22" i="26"/>
  <c r="O40" i="9"/>
  <c r="O30" i="9"/>
  <c r="E35" i="26"/>
  <c r="I199" i="35" s="1"/>
  <c r="E39" i="22"/>
  <c r="P9" i="9"/>
  <c r="K42" i="39"/>
  <c r="E140" i="38" s="1"/>
  <c r="C42" i="39"/>
  <c r="E89" i="38" s="1"/>
  <c r="Q7" i="9"/>
  <c r="E39" i="26"/>
  <c r="I203" i="35" s="1"/>
  <c r="E23" i="26"/>
  <c r="I187" i="35" s="1"/>
  <c r="E27" i="26"/>
  <c r="I191" i="35" s="1"/>
  <c r="E26" i="26"/>
  <c r="I190" i="35" s="1"/>
  <c r="E31" i="26"/>
  <c r="I195" i="35" s="1"/>
  <c r="R30" i="9"/>
  <c r="N30" i="9"/>
  <c r="K10" i="9"/>
  <c r="H24" i="26"/>
  <c r="I209" i="35" s="1"/>
  <c r="H207" i="35"/>
  <c r="F49" i="26"/>
  <c r="I207" i="35"/>
  <c r="E40" i="26"/>
  <c r="I204" i="35" s="1"/>
  <c r="H202" i="35"/>
  <c r="C53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8" i="26"/>
  <c r="I213" i="35" s="1"/>
  <c r="H211" i="35"/>
  <c r="F50" i="26"/>
  <c r="I219" i="35"/>
  <c r="E29" i="26"/>
  <c r="I193" i="35" s="1"/>
  <c r="H191" i="35"/>
  <c r="E41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2" i="26"/>
  <c r="I217" i="35" s="1"/>
  <c r="H215" i="35"/>
  <c r="F51" i="26"/>
  <c r="E24" i="26"/>
  <c r="I188" i="35" s="1"/>
  <c r="H186" i="35"/>
  <c r="C49" i="26"/>
  <c r="E37" i="26"/>
  <c r="I201" i="35" s="1"/>
  <c r="H199" i="35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H33" i="26"/>
  <c r="I218" i="35" s="1"/>
  <c r="H216" i="35"/>
  <c r="E33" i="26"/>
  <c r="I197" i="35" s="1"/>
  <c r="H195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7" i="26"/>
  <c r="I222" i="35" s="1"/>
  <c r="H220" i="35"/>
  <c r="H29" i="26"/>
  <c r="I214" i="35" s="1"/>
  <c r="H212" i="35"/>
  <c r="E28" i="26"/>
  <c r="I192" i="35" s="1"/>
  <c r="H190" i="35"/>
  <c r="C50" i="26"/>
  <c r="E25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186" i="35"/>
  <c r="I202" i="35"/>
  <c r="H40" i="26"/>
  <c r="I225" i="35" s="1"/>
  <c r="F53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6" i="26"/>
  <c r="I221" i="35" s="1"/>
  <c r="F52" i="26"/>
  <c r="H219" i="35"/>
  <c r="H41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6" i="26"/>
  <c r="I200" i="35" s="1"/>
  <c r="H198" i="35"/>
  <c r="C52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5" i="26"/>
  <c r="I210" i="35" s="1"/>
  <c r="H208" i="35"/>
  <c r="E32" i="26"/>
  <c r="I196" i="35" s="1"/>
  <c r="C51" i="26"/>
  <c r="H194" i="35"/>
  <c r="E30" i="22"/>
  <c r="O8" i="9"/>
  <c r="O10" i="9" s="1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AA3" i="39" l="1"/>
  <c r="E27" i="17"/>
  <c r="E25" i="17"/>
  <c r="O15" i="39"/>
  <c r="D27" i="17"/>
  <c r="D25" i="17"/>
  <c r="D26" i="17"/>
  <c r="D24" i="17"/>
  <c r="E26" i="17"/>
  <c r="E24" i="17"/>
  <c r="E28" i="17" s="1"/>
  <c r="D6" i="39"/>
  <c r="L42" i="39"/>
  <c r="E157" i="38" s="1"/>
  <c r="J236" i="66" s="1"/>
  <c r="D42" i="39"/>
  <c r="E106" i="38" s="1"/>
  <c r="J92" i="66" s="1"/>
  <c r="D15" i="39"/>
  <c r="AB3" i="39" s="1"/>
  <c r="Q10" i="9"/>
  <c r="D53" i="26"/>
  <c r="D50" i="26"/>
  <c r="D51" i="26"/>
  <c r="G51" i="26"/>
  <c r="Q15" i="39"/>
  <c r="J44" i="66"/>
  <c r="J188" i="66"/>
  <c r="D49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3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D52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49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2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0" i="26"/>
  <c r="I176" i="18"/>
  <c r="H176" i="18"/>
  <c r="I181" i="18"/>
  <c r="H181" i="18"/>
  <c r="I175" i="18"/>
  <c r="H175" i="18"/>
  <c r="I131" i="18"/>
  <c r="H131" i="18"/>
  <c r="H133" i="18"/>
  <c r="I133" i="18"/>
  <c r="D28" i="17" l="1"/>
  <c r="N92" i="66"/>
  <c r="F15" i="39"/>
  <c r="S92" i="66"/>
  <c r="P92" i="66"/>
  <c r="N236" i="66"/>
  <c r="S236" i="66"/>
  <c r="P236" i="66"/>
  <c r="E42" i="39"/>
  <c r="E123" i="38" s="1"/>
  <c r="J140" i="66" s="1"/>
  <c r="M42" i="39"/>
  <c r="E174" i="38" s="1"/>
  <c r="J284" i="66" s="1"/>
  <c r="E15" i="39"/>
  <c r="AC3" i="39" s="1"/>
  <c r="E48" i="17"/>
  <c r="E47" i="17" a="1"/>
  <c r="E47" i="17" s="1"/>
  <c r="D48" i="17"/>
  <c r="D47" i="17" a="1"/>
  <c r="D47" i="17" s="1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236" i="66" l="1"/>
  <c r="Q236" i="66" s="1"/>
  <c r="R236" i="66" s="1"/>
  <c r="T236" i="66" s="1"/>
  <c r="Y92" i="66"/>
  <c r="Y236" i="66"/>
  <c r="O92" i="66"/>
  <c r="Q92" i="66" s="1"/>
  <c r="R92" i="66" s="1"/>
  <c r="T92" i="66" s="1"/>
  <c r="Z92" i="66"/>
  <c r="Z236" i="66"/>
  <c r="N284" i="66"/>
  <c r="P284" i="66"/>
  <c r="S284" i="66"/>
  <c r="N140" i="66"/>
  <c r="P140" i="66"/>
  <c r="S140" i="66"/>
  <c r="G15" i="39"/>
  <c r="O33" i="20"/>
  <c r="O34" i="20" s="1"/>
  <c r="O35" i="20" s="1"/>
  <c r="O36" i="20" s="1"/>
  <c r="O37" i="20" s="1"/>
  <c r="O38" i="20" s="1"/>
  <c r="O39" i="20" s="1"/>
  <c r="O40" i="20" s="1"/>
  <c r="O41" i="20" s="1"/>
  <c r="O42" i="20" s="1"/>
  <c r="O43" i="20" s="1"/>
  <c r="O44" i="20" s="1"/>
  <c r="O45" i="20" s="1"/>
  <c r="O46" i="20" s="1"/>
  <c r="F33" i="20"/>
  <c r="F34" i="20" s="1"/>
  <c r="F35" i="20" s="1"/>
  <c r="F36" i="20" s="1"/>
  <c r="F37" i="20" s="1"/>
  <c r="F38" i="20" s="1"/>
  <c r="F39" i="20" s="1"/>
  <c r="F40" i="20" s="1"/>
  <c r="F41" i="20" s="1"/>
  <c r="F42" i="20" s="1"/>
  <c r="F43" i="20" s="1"/>
  <c r="F44" i="20" s="1"/>
  <c r="F45" i="20" s="1"/>
  <c r="F46" i="20" s="1"/>
  <c r="O6" i="20"/>
  <c r="O7" i="20"/>
  <c r="F6" i="20"/>
  <c r="F8" i="20" s="1"/>
  <c r="F7" i="20"/>
  <c r="F9" i="20" s="1"/>
  <c r="R33" i="20"/>
  <c r="R34" i="20" s="1"/>
  <c r="R35" i="20" s="1"/>
  <c r="R36" i="20" s="1"/>
  <c r="R37" i="20" s="1"/>
  <c r="R38" i="20" s="1"/>
  <c r="R39" i="20" s="1"/>
  <c r="R40" i="20" s="1"/>
  <c r="R41" i="20" s="1"/>
  <c r="R42" i="20" s="1"/>
  <c r="R43" i="20" s="1"/>
  <c r="R44" i="20" s="1"/>
  <c r="R45" i="20" s="1"/>
  <c r="R46" i="20" s="1"/>
  <c r="I7" i="20"/>
  <c r="I9" i="20" s="1"/>
  <c r="R11" i="20" s="1"/>
  <c r="R6" i="20"/>
  <c r="I33" i="20"/>
  <c r="I34" i="20" s="1"/>
  <c r="I35" i="20" s="1"/>
  <c r="I36" i="20" s="1"/>
  <c r="I37" i="20" s="1"/>
  <c r="I38" i="20" s="1"/>
  <c r="I39" i="20" s="1"/>
  <c r="I40" i="20" s="1"/>
  <c r="I41" i="20" s="1"/>
  <c r="I42" i="20" s="1"/>
  <c r="I43" i="20" s="1"/>
  <c r="I44" i="20" s="1"/>
  <c r="I45" i="20" s="1"/>
  <c r="I46" i="20" s="1"/>
  <c r="I6" i="20"/>
  <c r="R8" i="20" s="1"/>
  <c r="R7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Y140" i="66"/>
  <c r="Z284" i="66"/>
  <c r="O140" i="66"/>
  <c r="Q140" i="66" s="1"/>
  <c r="R140" i="66" s="1"/>
  <c r="T140" i="66" s="1"/>
  <c r="Y284" i="66"/>
  <c r="Z140" i="66"/>
  <c r="R9" i="20"/>
  <c r="O8" i="20"/>
  <c r="F11" i="20"/>
  <c r="O11" i="20"/>
  <c r="O10" i="20"/>
  <c r="F10" i="20"/>
  <c r="I11" i="20"/>
  <c r="I8" i="20"/>
  <c r="O9" i="20"/>
  <c r="Q44" i="66"/>
  <c r="I10" i="20" l="1"/>
  <c r="R10" i="20"/>
  <c r="R13" i="20"/>
  <c r="I13" i="20"/>
  <c r="F12" i="20"/>
  <c r="O12" i="20"/>
  <c r="O13" i="20"/>
  <c r="F13" i="20"/>
  <c r="E466" i="58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R15" i="20" l="1"/>
  <c r="I15" i="20"/>
  <c r="O15" i="20"/>
  <c r="F15" i="20"/>
  <c r="O14" i="20"/>
  <c r="F14" i="20"/>
  <c r="R12" i="20"/>
  <c r="I12" i="20"/>
  <c r="G473" i="58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O16" i="20" l="1"/>
  <c r="F16" i="20"/>
  <c r="O17" i="20"/>
  <c r="F17" i="20"/>
  <c r="I14" i="20"/>
  <c r="R14" i="20"/>
  <c r="I17" i="20"/>
  <c r="R17" i="20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I16" i="20" l="1"/>
  <c r="R16" i="20"/>
  <c r="O19" i="20"/>
  <c r="F19" i="20"/>
  <c r="I19" i="20"/>
  <c r="R19" i="20"/>
  <c r="F18" i="20"/>
  <c r="O18" i="20"/>
  <c r="H49" i="35" s="1" a="1"/>
  <c r="H49" i="35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G69" i="18" a="1"/>
  <c r="G69" i="18" s="1"/>
  <c r="G62" i="18" a="1"/>
  <c r="G62" i="18" s="1"/>
  <c r="G61" i="18" a="1"/>
  <c r="G61" i="18" s="1"/>
  <c r="R47" i="20"/>
  <c r="I284" i="18"/>
  <c r="H284" i="18"/>
  <c r="H310" i="18"/>
  <c r="I310" i="18"/>
  <c r="G70" i="18" a="1"/>
  <c r="G70" i="18" s="1"/>
  <c r="H132" i="35" a="1"/>
  <c r="H132" i="35" s="1"/>
  <c r="H290" i="18"/>
  <c r="I290" i="18"/>
  <c r="I321" i="18"/>
  <c r="H321" i="18"/>
  <c r="G63" i="18" a="1"/>
  <c r="G63" i="18" s="1"/>
  <c r="G68" i="18" a="1"/>
  <c r="G68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37"/>
  <c r="H413" i="58"/>
  <c r="G6" i="58"/>
  <c r="G6" i="37"/>
  <c r="G6" i="41" s="1"/>
  <c r="H417" i="58"/>
  <c r="H417" i="37"/>
  <c r="H409" i="58"/>
  <c r="H409" i="37"/>
  <c r="H57" i="35" l="1" a="1"/>
  <c r="H57" i="35" s="1"/>
  <c r="G64" i="18" a="1"/>
  <c r="G64" i="18" s="1"/>
  <c r="G16" i="18" a="1"/>
  <c r="G16" i="18" s="1"/>
  <c r="H6" i="35" a="1"/>
  <c r="H6" i="35" s="1"/>
  <c r="H55" i="35" a="1"/>
  <c r="H55" i="35" s="1"/>
  <c r="H15" i="35" a="1"/>
  <c r="H15" i="35" s="1"/>
  <c r="O20" i="20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R18" i="20"/>
  <c r="G82" i="18" s="1" a="1"/>
  <c r="G82" i="18" s="1"/>
  <c r="I18" i="20"/>
  <c r="I7" i="35" s="1" a="1"/>
  <c r="I7" i="35" s="1"/>
  <c r="G29" i="18" a="1"/>
  <c r="G29" i="18" s="1"/>
  <c r="I287" i="18"/>
  <c r="J287" i="18" s="1"/>
  <c r="H280" i="18"/>
  <c r="J280" i="18" s="1"/>
  <c r="H323" i="18"/>
  <c r="J323" i="18" s="1"/>
  <c r="I28" i="18"/>
  <c r="F28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H68" i="18"/>
  <c r="I68" i="18"/>
  <c r="F323" i="18"/>
  <c r="I58" i="18"/>
  <c r="J335" i="18"/>
  <c r="F335" i="18"/>
  <c r="F280" i="18"/>
  <c r="F279" i="18"/>
  <c r="I61" i="18"/>
  <c r="H61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H70" i="18"/>
  <c r="H16" i="18"/>
  <c r="I16" i="18"/>
  <c r="I332" i="18"/>
  <c r="H332" i="18"/>
  <c r="F268" i="18"/>
  <c r="J268" i="18"/>
  <c r="H281" i="18"/>
  <c r="I281" i="18"/>
  <c r="H69" i="18"/>
  <c r="I69" i="18"/>
  <c r="I331" i="18"/>
  <c r="H331" i="18"/>
  <c r="J314" i="18"/>
  <c r="F314" i="18"/>
  <c r="H417" i="41"/>
  <c r="H409" i="41"/>
  <c r="H413" i="41"/>
  <c r="I25" i="18" l="1"/>
  <c r="J25" i="18" s="1"/>
  <c r="I59" i="18"/>
  <c r="I27" i="18"/>
  <c r="J27" i="18" s="1"/>
  <c r="I71" i="18"/>
  <c r="J71" i="18" s="1"/>
  <c r="I60" i="18"/>
  <c r="I18" i="18"/>
  <c r="J18" i="18" s="1"/>
  <c r="F288" i="18"/>
  <c r="J328" i="18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18" i="18"/>
  <c r="F327" i="18"/>
  <c r="J28" i="18"/>
  <c r="J324" i="18"/>
  <c r="F275" i="18"/>
  <c r="F71" i="18"/>
  <c r="F337" i="18"/>
  <c r="F25" i="18"/>
  <c r="F332" i="18"/>
  <c r="J332" i="18"/>
  <c r="J291" i="18"/>
  <c r="F291" i="18"/>
  <c r="F64" i="18"/>
  <c r="J64" i="18"/>
  <c r="F27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F59" i="18"/>
  <c r="J59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J58" i="18"/>
  <c r="F58" i="18"/>
  <c r="F318" i="18"/>
  <c r="J318" i="18"/>
  <c r="J70" i="18"/>
  <c r="F70" i="18"/>
  <c r="J334" i="18"/>
  <c r="F334" i="18"/>
  <c r="F331" i="18"/>
  <c r="J331" i="18"/>
  <c r="F60" i="18"/>
  <c r="J60" i="18"/>
  <c r="F322" i="18"/>
  <c r="J322" i="18"/>
  <c r="I429" i="41"/>
  <c r="F17" i="18" l="1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70" i="41" s="1"/>
  <c r="G220" i="58"/>
  <c r="G220" i="37"/>
  <c r="G220" i="41" s="1"/>
  <c r="G176" i="58"/>
  <c r="G176" i="37"/>
  <c r="G176" i="41" s="1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89" i="41" s="1"/>
  <c r="G365" i="37"/>
  <c r="G365" i="41" s="1"/>
  <c r="G365" i="58"/>
  <c r="G339" i="37"/>
  <c r="G339" i="41" s="1"/>
  <c r="G339" i="58"/>
  <c r="G318" i="58"/>
  <c r="G318" i="37"/>
  <c r="G318" i="41" s="1"/>
  <c r="G297" i="37"/>
  <c r="G297" i="41" s="1"/>
  <c r="G297" i="58"/>
  <c r="G265" i="58"/>
  <c r="G265" i="37"/>
  <c r="G265" i="41" s="1"/>
  <c r="G257" i="37"/>
  <c r="G257" i="41" s="1"/>
  <c r="G257" i="58"/>
  <c r="G233" i="58"/>
  <c r="G233" i="37"/>
  <c r="G233" i="41" s="1"/>
  <c r="G203" i="37"/>
  <c r="G203" i="41" s="1"/>
  <c r="G203" i="58"/>
  <c r="G171" i="58"/>
  <c r="G171" i="37"/>
  <c r="G171" i="41" s="1"/>
  <c r="G140" i="37"/>
  <c r="G140" i="41" s="1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77" i="38"/>
  <c r="E224" i="38"/>
  <c r="G107" i="66" s="1"/>
  <c r="G14" i="39" s="1"/>
  <c r="E269" i="38"/>
  <c r="G251" i="66" s="1"/>
  <c r="H438" i="58"/>
  <c r="H438" i="37"/>
  <c r="E242" i="38"/>
  <c r="E234" i="38"/>
  <c r="I440" i="37"/>
  <c r="I440" i="58"/>
  <c r="E261" i="38"/>
  <c r="E216" i="38"/>
  <c r="E255" i="38"/>
  <c r="G201" i="66" s="1"/>
  <c r="E210" i="38"/>
  <c r="J163" i="37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41" s="1"/>
  <c r="G362" i="58"/>
  <c r="G294" i="58"/>
  <c r="G294" i="37"/>
  <c r="G294" i="41" s="1"/>
  <c r="G238" i="58"/>
  <c r="G238" i="37"/>
  <c r="G238" i="41" s="1"/>
  <c r="G184" i="58"/>
  <c r="G184" i="37"/>
  <c r="G184" i="41" s="1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41" s="1"/>
  <c r="G397" i="58"/>
  <c r="G373" i="58"/>
  <c r="G373" i="37"/>
  <c r="G373" i="41" s="1"/>
  <c r="G349" i="37"/>
  <c r="G349" i="41" s="1"/>
  <c r="G349" i="58"/>
  <c r="G273" i="58"/>
  <c r="G273" i="37"/>
  <c r="G273" i="41" s="1"/>
  <c r="G249" i="37"/>
  <c r="G249" i="41" s="1"/>
  <c r="G249" i="58"/>
  <c r="G214" i="58"/>
  <c r="G214" i="37"/>
  <c r="G214" i="41" s="1"/>
  <c r="G187" i="58"/>
  <c r="G187" i="37"/>
  <c r="G187" i="41" s="1"/>
  <c r="G157" i="58"/>
  <c r="G157" i="37"/>
  <c r="G157" i="41" s="1"/>
  <c r="G130" i="37"/>
  <c r="G130" i="41" s="1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41" s="1"/>
  <c r="G396" i="58"/>
  <c r="G388" i="37"/>
  <c r="G388" i="41" s="1"/>
  <c r="G388" i="58"/>
  <c r="G380" i="37"/>
  <c r="G380" i="41" s="1"/>
  <c r="G380" i="58"/>
  <c r="G372" i="37"/>
  <c r="G372" i="41" s="1"/>
  <c r="G372" i="58"/>
  <c r="G364" i="58"/>
  <c r="G364" i="37"/>
  <c r="G364" i="41" s="1"/>
  <c r="G356" i="58"/>
  <c r="G356" i="37"/>
  <c r="G356" i="41" s="1"/>
  <c r="G348" i="37"/>
  <c r="G348" i="41" s="1"/>
  <c r="G348" i="58"/>
  <c r="G338" i="37"/>
  <c r="G338" i="41" s="1"/>
  <c r="G338" i="58"/>
  <c r="G327" i="58"/>
  <c r="G327" i="37"/>
  <c r="G327" i="41" s="1"/>
  <c r="G316" i="58"/>
  <c r="G316" i="37"/>
  <c r="G316" i="41" s="1"/>
  <c r="G306" i="58"/>
  <c r="G306" i="37"/>
  <c r="G306" i="41" s="1"/>
  <c r="G296" i="37"/>
  <c r="G296" i="41" s="1"/>
  <c r="G296" i="58"/>
  <c r="G288" i="58"/>
  <c r="G288" i="37"/>
  <c r="G288" i="41" s="1"/>
  <c r="G280" i="37"/>
  <c r="G280" i="41" s="1"/>
  <c r="G280" i="58"/>
  <c r="G272" i="58"/>
  <c r="G272" i="37"/>
  <c r="G272" i="41" s="1"/>
  <c r="G264" i="58"/>
  <c r="G264" i="37"/>
  <c r="G264" i="41" s="1"/>
  <c r="G256" i="37"/>
  <c r="G256" i="41" s="1"/>
  <c r="G256" i="58"/>
  <c r="G248" i="58"/>
  <c r="G248" i="37"/>
  <c r="G248" i="41" s="1"/>
  <c r="G240" i="37"/>
  <c r="G240" i="41" s="1"/>
  <c r="G240" i="58"/>
  <c r="G232" i="37"/>
  <c r="G232" i="41" s="1"/>
  <c r="G232" i="58"/>
  <c r="G223" i="37"/>
  <c r="G223" i="41" s="1"/>
  <c r="G223" i="58"/>
  <c r="G212" i="37"/>
  <c r="G212" i="41" s="1"/>
  <c r="G212" i="58"/>
  <c r="G202" i="58"/>
  <c r="G202" i="37"/>
  <c r="G202" i="41" s="1"/>
  <c r="G194" i="58"/>
  <c r="G194" i="37"/>
  <c r="G194" i="41" s="1"/>
  <c r="G186" i="37"/>
  <c r="G186" i="41" s="1"/>
  <c r="G186" i="58"/>
  <c r="G178" i="58"/>
  <c r="G178" i="37"/>
  <c r="G178" i="41" s="1"/>
  <c r="G170" i="58"/>
  <c r="G170" i="37"/>
  <c r="G170" i="41" s="1"/>
  <c r="G156" i="58"/>
  <c r="G156" i="37"/>
  <c r="G156" i="41" s="1"/>
  <c r="G148" i="58"/>
  <c r="G148" i="37"/>
  <c r="G148" i="41" s="1"/>
  <c r="G139" i="37"/>
  <c r="G139" i="41" s="1"/>
  <c r="G139" i="58"/>
  <c r="G128" i="58"/>
  <c r="G128" i="37"/>
  <c r="G128" i="41" s="1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41" s="1"/>
  <c r="G71" i="58"/>
  <c r="I71" i="58" s="1"/>
  <c r="G67" i="58"/>
  <c r="I67" i="58" s="1"/>
  <c r="G67" i="37"/>
  <c r="G67" i="41" s="1"/>
  <c r="G63" i="37"/>
  <c r="G63" i="41" s="1"/>
  <c r="G63" i="58"/>
  <c r="G59" i="37"/>
  <c r="G59" i="41" s="1"/>
  <c r="G59" i="58"/>
  <c r="H59" i="58" s="1"/>
  <c r="G55" i="58"/>
  <c r="H55" i="58" s="1"/>
  <c r="G55" i="37"/>
  <c r="G55" i="41" s="1"/>
  <c r="G51" i="58"/>
  <c r="G51" i="37"/>
  <c r="G51" i="41" s="1"/>
  <c r="G47" i="58"/>
  <c r="G47" i="37"/>
  <c r="G47" i="41" s="1"/>
  <c r="G43" i="37"/>
  <c r="G43" i="41" s="1"/>
  <c r="G43" i="58"/>
  <c r="H43" i="58" s="1"/>
  <c r="G39" i="58"/>
  <c r="H39" i="58" s="1"/>
  <c r="G39" i="37"/>
  <c r="G39" i="41" s="1"/>
  <c r="G35" i="58"/>
  <c r="H35" i="58" s="1"/>
  <c r="G35" i="37"/>
  <c r="G35" i="41" s="1"/>
  <c r="G31" i="58"/>
  <c r="J31" i="58" s="1"/>
  <c r="G31" i="37"/>
  <c r="G31" i="41" s="1"/>
  <c r="G27" i="37"/>
  <c r="G27" i="41" s="1"/>
  <c r="G27" i="58"/>
  <c r="H27" i="58" s="1"/>
  <c r="G23" i="58"/>
  <c r="H23" i="58" s="1"/>
  <c r="G23" i="37"/>
  <c r="G23" i="41" s="1"/>
  <c r="G19" i="58"/>
  <c r="I19" i="58" s="1"/>
  <c r="G19" i="37"/>
  <c r="G19" i="41" s="1"/>
  <c r="G15" i="58"/>
  <c r="G15" i="37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H63" i="37"/>
  <c r="H63" i="58"/>
  <c r="H51" i="37"/>
  <c r="H51" i="58"/>
  <c r="H39" i="37"/>
  <c r="H15" i="58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G386" i="41" s="1"/>
  <c r="G324" i="58"/>
  <c r="G324" i="37"/>
  <c r="G324" i="41" s="1"/>
  <c r="G262" i="58"/>
  <c r="G262" i="37"/>
  <c r="G262" i="41" s="1"/>
  <c r="G200" i="37"/>
  <c r="G200" i="41" s="1"/>
  <c r="G200" i="58"/>
  <c r="G146" i="37"/>
  <c r="G146" i="41" s="1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81" i="41" s="1"/>
  <c r="G357" i="37"/>
  <c r="G357" i="41" s="1"/>
  <c r="G357" i="58"/>
  <c r="G328" i="58"/>
  <c r="G328" i="37"/>
  <c r="G328" i="41" s="1"/>
  <c r="G307" i="58"/>
  <c r="G307" i="37"/>
  <c r="G307" i="41" s="1"/>
  <c r="G289" i="37"/>
  <c r="G289" i="41" s="1"/>
  <c r="G289" i="58"/>
  <c r="G281" i="37"/>
  <c r="G281" i="41" s="1"/>
  <c r="G281" i="58"/>
  <c r="G241" i="58"/>
  <c r="G241" i="37"/>
  <c r="G241" i="41" s="1"/>
  <c r="G224" i="58"/>
  <c r="G224" i="37"/>
  <c r="G224" i="41" s="1"/>
  <c r="G195" i="58"/>
  <c r="G195" i="37"/>
  <c r="G195" i="41" s="1"/>
  <c r="G179" i="58"/>
  <c r="G179" i="37"/>
  <c r="G179" i="41" s="1"/>
  <c r="G149" i="58"/>
  <c r="G149" i="37"/>
  <c r="G149" i="41" s="1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95" i="41" s="1"/>
  <c r="G387" i="58"/>
  <c r="G387" i="37"/>
  <c r="G387" i="41" s="1"/>
  <c r="G379" i="37"/>
  <c r="G379" i="41" s="1"/>
  <c r="G379" i="58"/>
  <c r="G371" i="58"/>
  <c r="G371" i="37"/>
  <c r="G371" i="41" s="1"/>
  <c r="G363" i="58"/>
  <c r="G363" i="37"/>
  <c r="G363" i="41" s="1"/>
  <c r="G355" i="58"/>
  <c r="G355" i="37"/>
  <c r="G355" i="41" s="1"/>
  <c r="G347" i="37"/>
  <c r="G347" i="41" s="1"/>
  <c r="G347" i="58"/>
  <c r="G336" i="37"/>
  <c r="G336" i="41" s="1"/>
  <c r="G336" i="58"/>
  <c r="G326" i="37"/>
  <c r="G326" i="41" s="1"/>
  <c r="G326" i="58"/>
  <c r="G315" i="58"/>
  <c r="G315" i="37"/>
  <c r="G315" i="41" s="1"/>
  <c r="G304" i="37"/>
  <c r="G304" i="41" s="1"/>
  <c r="G304" i="58"/>
  <c r="G295" i="37"/>
  <c r="G295" i="41" s="1"/>
  <c r="G295" i="58"/>
  <c r="G287" i="58"/>
  <c r="G287" i="37"/>
  <c r="G287" i="41" s="1"/>
  <c r="G279" i="37"/>
  <c r="G279" i="41" s="1"/>
  <c r="G279" i="58"/>
  <c r="G271" i="58"/>
  <c r="G271" i="37"/>
  <c r="G271" i="41" s="1"/>
  <c r="G263" i="37"/>
  <c r="G263" i="41" s="1"/>
  <c r="G263" i="58"/>
  <c r="G255" i="58"/>
  <c r="G255" i="37"/>
  <c r="G255" i="41" s="1"/>
  <c r="G247" i="58"/>
  <c r="G247" i="37"/>
  <c r="G247" i="41" s="1"/>
  <c r="G239" i="58"/>
  <c r="G239" i="37"/>
  <c r="G239" i="41" s="1"/>
  <c r="G231" i="37"/>
  <c r="G231" i="41" s="1"/>
  <c r="G231" i="58"/>
  <c r="G222" i="37"/>
  <c r="G222" i="41" s="1"/>
  <c r="G222" i="58"/>
  <c r="G211" i="58"/>
  <c r="G211" i="37"/>
  <c r="G211" i="41" s="1"/>
  <c r="G201" i="58"/>
  <c r="G201" i="37"/>
  <c r="G201" i="41" s="1"/>
  <c r="G193" i="58"/>
  <c r="G193" i="37"/>
  <c r="G193" i="41" s="1"/>
  <c r="G185" i="37"/>
  <c r="G185" i="41" s="1"/>
  <c r="G185" i="58"/>
  <c r="G177" i="58"/>
  <c r="G177" i="37"/>
  <c r="G177" i="41" s="1"/>
  <c r="G169" i="58"/>
  <c r="G169" i="37"/>
  <c r="G169" i="41" s="1"/>
  <c r="G155" i="58"/>
  <c r="G155" i="37"/>
  <c r="G155" i="41" s="1"/>
  <c r="G147" i="37"/>
  <c r="G147" i="41" s="1"/>
  <c r="G147" i="58"/>
  <c r="G138" i="37"/>
  <c r="G138" i="41" s="1"/>
  <c r="G138" i="58"/>
  <c r="G127" i="58"/>
  <c r="G127" i="37"/>
  <c r="G127" i="41" s="1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I163" i="37"/>
  <c r="I59" i="37"/>
  <c r="I47" i="37"/>
  <c r="I47" i="58"/>
  <c r="I35" i="58"/>
  <c r="I23" i="37"/>
  <c r="J63" i="37"/>
  <c r="J63" i="58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354" i="41" s="1"/>
  <c r="G286" i="58"/>
  <c r="G286" i="37"/>
  <c r="G286" i="41" s="1"/>
  <c r="G230" i="58"/>
  <c r="G230" i="37"/>
  <c r="G230" i="41" s="1"/>
  <c r="G154" i="58"/>
  <c r="G154" i="37"/>
  <c r="G154" i="41" s="1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I62" i="58" s="1"/>
  <c r="G62" i="37"/>
  <c r="G62" i="41" s="1"/>
  <c r="G58" i="37"/>
  <c r="G58" i="41" s="1"/>
  <c r="G58" i="58"/>
  <c r="G42" i="58"/>
  <c r="H42" i="58" s="1"/>
  <c r="G42" i="37"/>
  <c r="G42" i="41" s="1"/>
  <c r="G22" i="58"/>
  <c r="G22" i="37"/>
  <c r="G22" i="41" s="1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I8" i="37"/>
  <c r="G385" i="37"/>
  <c r="G385" i="41" s="1"/>
  <c r="G385" i="58"/>
  <c r="G361" i="58"/>
  <c r="G361" i="37"/>
  <c r="G361" i="41" s="1"/>
  <c r="G353" i="58"/>
  <c r="G353" i="37"/>
  <c r="G353" i="41" s="1"/>
  <c r="G344" i="58"/>
  <c r="G344" i="37"/>
  <c r="G344" i="41" s="1"/>
  <c r="G334" i="37"/>
  <c r="G334" i="41" s="1"/>
  <c r="G334" i="58"/>
  <c r="G323" i="58"/>
  <c r="G323" i="37"/>
  <c r="G323" i="41" s="1"/>
  <c r="G312" i="37"/>
  <c r="G312" i="41" s="1"/>
  <c r="G312" i="58"/>
  <c r="G302" i="37"/>
  <c r="G302" i="41" s="1"/>
  <c r="G302" i="58"/>
  <c r="G293" i="37"/>
  <c r="G293" i="41" s="1"/>
  <c r="G293" i="58"/>
  <c r="G285" i="58"/>
  <c r="G285" i="37"/>
  <c r="G285" i="41" s="1"/>
  <c r="G277" i="37"/>
  <c r="G277" i="41" s="1"/>
  <c r="G277" i="58"/>
  <c r="G269" i="37"/>
  <c r="G269" i="41" s="1"/>
  <c r="G269" i="58"/>
  <c r="G261" i="58"/>
  <c r="G261" i="37"/>
  <c r="G261" i="41" s="1"/>
  <c r="G253" i="58"/>
  <c r="G253" i="37"/>
  <c r="G253" i="41" s="1"/>
  <c r="G245" i="58"/>
  <c r="G245" i="37"/>
  <c r="G245" i="41" s="1"/>
  <c r="G237" i="37"/>
  <c r="G237" i="41" s="1"/>
  <c r="G237" i="58"/>
  <c r="G229" i="37"/>
  <c r="G229" i="41" s="1"/>
  <c r="G229" i="58"/>
  <c r="G219" i="58"/>
  <c r="G219" i="37"/>
  <c r="G219" i="41" s="1"/>
  <c r="G208" i="58"/>
  <c r="G208" i="37"/>
  <c r="G208" i="41" s="1"/>
  <c r="G199" i="58"/>
  <c r="G199" i="37"/>
  <c r="G199" i="41" s="1"/>
  <c r="G191" i="37"/>
  <c r="G191" i="41" s="1"/>
  <c r="G191" i="58"/>
  <c r="G183" i="58"/>
  <c r="G183" i="37"/>
  <c r="G183" i="41" s="1"/>
  <c r="G175" i="37"/>
  <c r="G175" i="41" s="1"/>
  <c r="G175" i="58"/>
  <c r="G161" i="37"/>
  <c r="G161" i="41" s="1"/>
  <c r="G161" i="58"/>
  <c r="G153" i="37"/>
  <c r="G153" i="41" s="1"/>
  <c r="G153" i="58"/>
  <c r="G145" i="58"/>
  <c r="G145" i="37"/>
  <c r="G145" i="41" s="1"/>
  <c r="G135" i="37"/>
  <c r="G135" i="41" s="1"/>
  <c r="G135" i="58"/>
  <c r="G124" i="58"/>
  <c r="G124" i="37"/>
  <c r="G124" i="41" s="1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E265" i="38"/>
  <c r="G285" i="66" s="1"/>
  <c r="E238" i="38"/>
  <c r="J67" i="37"/>
  <c r="J19" i="37"/>
  <c r="I55" i="37"/>
  <c r="I31" i="37"/>
  <c r="H163" i="58"/>
  <c r="H163" i="37"/>
  <c r="H71" i="58"/>
  <c r="H59" i="37"/>
  <c r="H47" i="58"/>
  <c r="H47" i="37"/>
  <c r="H23" i="37"/>
  <c r="J39" i="37"/>
  <c r="G118" i="58"/>
  <c r="G118" i="37"/>
  <c r="G118" i="41" s="1"/>
  <c r="G454" i="58"/>
  <c r="G454" i="37"/>
  <c r="G454" i="41" s="1"/>
  <c r="G370" i="58"/>
  <c r="G370" i="37"/>
  <c r="G370" i="41" s="1"/>
  <c r="G314" i="58"/>
  <c r="G314" i="37"/>
  <c r="G314" i="41" s="1"/>
  <c r="G246" i="58"/>
  <c r="G246" i="37"/>
  <c r="G246" i="41" s="1"/>
  <c r="G168" i="58"/>
  <c r="G168" i="37"/>
  <c r="G168" i="41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J66" i="58" s="1"/>
  <c r="G66" i="37"/>
  <c r="G66" i="41" s="1"/>
  <c r="G54" i="58"/>
  <c r="I54" i="58" s="1"/>
  <c r="G54" i="37"/>
  <c r="G54" i="41" s="1"/>
  <c r="G46" i="37"/>
  <c r="H46" i="37" s="1"/>
  <c r="G46" i="58"/>
  <c r="H46" i="58" s="1"/>
  <c r="G34" i="37"/>
  <c r="G34" i="41" s="1"/>
  <c r="G34" i="58"/>
  <c r="H34" i="58" s="1"/>
  <c r="G30" i="37"/>
  <c r="G30" i="41" s="1"/>
  <c r="G30" i="58"/>
  <c r="H30" i="58" s="1"/>
  <c r="G14" i="37"/>
  <c r="G14" i="41" s="1"/>
  <c r="G14" i="58"/>
  <c r="J14" i="58" s="1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J22" i="58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377" i="41" s="1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41" s="1"/>
  <c r="G400" i="58"/>
  <c r="G392" i="58"/>
  <c r="G392" i="37"/>
  <c r="G392" i="41" s="1"/>
  <c r="G384" i="37"/>
  <c r="G384" i="41" s="1"/>
  <c r="G384" i="58"/>
  <c r="G376" i="37"/>
  <c r="G376" i="41" s="1"/>
  <c r="G376" i="58"/>
  <c r="G368" i="37"/>
  <c r="G368" i="41" s="1"/>
  <c r="G368" i="58"/>
  <c r="G360" i="58"/>
  <c r="G360" i="37"/>
  <c r="G360" i="41" s="1"/>
  <c r="G352" i="58"/>
  <c r="G352" i="37"/>
  <c r="G352" i="41" s="1"/>
  <c r="G343" i="37"/>
  <c r="G343" i="41" s="1"/>
  <c r="G343" i="58"/>
  <c r="G332" i="58"/>
  <c r="G332" i="37"/>
  <c r="G332" i="41" s="1"/>
  <c r="G322" i="58"/>
  <c r="G322" i="37"/>
  <c r="G322" i="41" s="1"/>
  <c r="G311" i="37"/>
  <c r="G311" i="41" s="1"/>
  <c r="G311" i="58"/>
  <c r="G300" i="58"/>
  <c r="G300" i="37"/>
  <c r="G300" i="41" s="1"/>
  <c r="G292" i="58"/>
  <c r="G292" i="37"/>
  <c r="G292" i="41" s="1"/>
  <c r="G284" i="58"/>
  <c r="G284" i="37"/>
  <c r="G284" i="41" s="1"/>
  <c r="G276" i="58"/>
  <c r="G276" i="37"/>
  <c r="G276" i="41" s="1"/>
  <c r="G268" i="58"/>
  <c r="G268" i="37"/>
  <c r="G268" i="41" s="1"/>
  <c r="G260" i="58"/>
  <c r="G260" i="37"/>
  <c r="G260" i="41" s="1"/>
  <c r="G252" i="58"/>
  <c r="G252" i="37"/>
  <c r="G252" i="41" s="1"/>
  <c r="G244" i="37"/>
  <c r="G244" i="41" s="1"/>
  <c r="G244" i="58"/>
  <c r="G236" i="58"/>
  <c r="G236" i="37"/>
  <c r="G236" i="41" s="1"/>
  <c r="G228" i="58"/>
  <c r="G228" i="37"/>
  <c r="G228" i="41" s="1"/>
  <c r="G218" i="58"/>
  <c r="G218" i="37"/>
  <c r="G218" i="41" s="1"/>
  <c r="G207" i="37"/>
  <c r="G207" i="41" s="1"/>
  <c r="G207" i="58"/>
  <c r="G198" i="58"/>
  <c r="G198" i="37"/>
  <c r="G198" i="41" s="1"/>
  <c r="G190" i="58"/>
  <c r="G190" i="37"/>
  <c r="G190" i="41" s="1"/>
  <c r="G182" i="37"/>
  <c r="G182" i="41" s="1"/>
  <c r="G182" i="58"/>
  <c r="G174" i="58"/>
  <c r="G174" i="37"/>
  <c r="G174" i="41" s="1"/>
  <c r="G160" i="37"/>
  <c r="G160" i="41" s="1"/>
  <c r="G160" i="58"/>
  <c r="G152" i="37"/>
  <c r="G152" i="41" s="1"/>
  <c r="G152" i="58"/>
  <c r="G144" i="58"/>
  <c r="G144" i="37"/>
  <c r="G144" i="41" s="1"/>
  <c r="G134" i="58"/>
  <c r="G134" i="37"/>
  <c r="G134" i="41" s="1"/>
  <c r="G123" i="58"/>
  <c r="G123" i="37"/>
  <c r="G123" i="41" s="1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I73" i="58" s="1"/>
  <c r="G73" i="37"/>
  <c r="G73" i="41" s="1"/>
  <c r="G69" i="37"/>
  <c r="G69" i="41" s="1"/>
  <c r="G69" i="58"/>
  <c r="I69" i="58" s="1"/>
  <c r="G65" i="58"/>
  <c r="H65" i="58" s="1"/>
  <c r="G65" i="37"/>
  <c r="G65" i="41" s="1"/>
  <c r="G61" i="37"/>
  <c r="G61" i="41" s="1"/>
  <c r="G61" i="58"/>
  <c r="I61" i="58" s="1"/>
  <c r="G57" i="58"/>
  <c r="I57" i="58" s="1"/>
  <c r="G57" i="37"/>
  <c r="H57" i="37" s="1"/>
  <c r="G53" i="37"/>
  <c r="G53" i="41" s="1"/>
  <c r="G53" i="58"/>
  <c r="J53" i="58" s="1"/>
  <c r="G49" i="37"/>
  <c r="G49" i="41" s="1"/>
  <c r="G49" i="58"/>
  <c r="I49" i="58" s="1"/>
  <c r="G45" i="58"/>
  <c r="J45" i="58" s="1"/>
  <c r="G45" i="37"/>
  <c r="G45" i="41" s="1"/>
  <c r="G41" i="37"/>
  <c r="G41" i="41" s="1"/>
  <c r="G41" i="58"/>
  <c r="H41" i="58" s="1"/>
  <c r="G37" i="37"/>
  <c r="G37" i="41" s="1"/>
  <c r="G37" i="58"/>
  <c r="H37" i="58" s="1"/>
  <c r="G33" i="37"/>
  <c r="G33" i="41" s="1"/>
  <c r="G33" i="58"/>
  <c r="I33" i="58" s="1"/>
  <c r="G29" i="58"/>
  <c r="H29" i="58" s="1"/>
  <c r="G29" i="37"/>
  <c r="G29" i="41" s="1"/>
  <c r="G25" i="58"/>
  <c r="J25" i="58" s="1"/>
  <c r="G25" i="37"/>
  <c r="G25" i="41" s="1"/>
  <c r="G21" i="58"/>
  <c r="H21" i="58" s="1"/>
  <c r="G21" i="37"/>
  <c r="G21" i="41" s="1"/>
  <c r="G17" i="37"/>
  <c r="G17" i="41" s="1"/>
  <c r="G17" i="58"/>
  <c r="H17" i="58" s="1"/>
  <c r="G13" i="58"/>
  <c r="G1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67" i="58"/>
  <c r="H67" i="37"/>
  <c r="H55" i="37"/>
  <c r="H43" i="37"/>
  <c r="H31" i="37"/>
  <c r="H19" i="58"/>
  <c r="H19" i="37"/>
  <c r="H162" i="58"/>
  <c r="H162" i="37"/>
  <c r="I42" i="37"/>
  <c r="H45" i="58"/>
  <c r="J71" i="58"/>
  <c r="J71" i="37"/>
  <c r="J27" i="37"/>
  <c r="G110" i="37"/>
  <c r="G110" i="41" s="1"/>
  <c r="G110" i="58"/>
  <c r="G425" i="37"/>
  <c r="G425" i="41" s="1"/>
  <c r="G425" i="58"/>
  <c r="G378" i="58"/>
  <c r="G378" i="37"/>
  <c r="G378" i="41" s="1"/>
  <c r="G335" i="58"/>
  <c r="G335" i="37"/>
  <c r="G335" i="41" s="1"/>
  <c r="G278" i="58"/>
  <c r="G278" i="37"/>
  <c r="G278" i="41" s="1"/>
  <c r="G210" i="58"/>
  <c r="G210" i="37"/>
  <c r="G210" i="41" s="1"/>
  <c r="G136" i="58"/>
  <c r="G136" i="37"/>
  <c r="G136" i="41" s="1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J70" i="37" s="1"/>
  <c r="G70" i="58"/>
  <c r="H70" i="58" s="1"/>
  <c r="G50" i="37"/>
  <c r="G50" i="41" s="1"/>
  <c r="G50" i="58"/>
  <c r="H50" i="58" s="1"/>
  <c r="G38" i="58"/>
  <c r="H38" i="58" s="1"/>
  <c r="G38" i="37"/>
  <c r="G38" i="41" s="1"/>
  <c r="G26" i="37"/>
  <c r="G26" i="41" s="1"/>
  <c r="G26" i="58"/>
  <c r="H26" i="58" s="1"/>
  <c r="G18" i="58"/>
  <c r="I18" i="58" s="1"/>
  <c r="G18" i="37"/>
  <c r="G18" i="41" s="1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41" s="1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I453" i="37"/>
  <c r="I453" i="58"/>
  <c r="E374" i="38" s="1"/>
  <c r="K237" i="66" s="1"/>
  <c r="I455" i="58"/>
  <c r="E376" i="38" s="1"/>
  <c r="K203" i="66" s="1"/>
  <c r="I455" i="37"/>
  <c r="I454" i="58"/>
  <c r="E375" i="38" s="1"/>
  <c r="K219" i="66" s="1"/>
  <c r="I456" i="58"/>
  <c r="E377" i="38" s="1"/>
  <c r="K201" i="66" s="1"/>
  <c r="I454" i="37"/>
  <c r="I456" i="37"/>
  <c r="G399" i="37"/>
  <c r="G399" i="41" s="1"/>
  <c r="G399" i="58"/>
  <c r="G391" i="37"/>
  <c r="G391" i="41" s="1"/>
  <c r="G391" i="58"/>
  <c r="G383" i="58"/>
  <c r="G383" i="37"/>
  <c r="G383" i="41" s="1"/>
  <c r="G375" i="58"/>
  <c r="G375" i="37"/>
  <c r="G375" i="41" s="1"/>
  <c r="G367" i="37"/>
  <c r="G367" i="41" s="1"/>
  <c r="G367" i="58"/>
  <c r="G359" i="58"/>
  <c r="G359" i="37"/>
  <c r="G359" i="41" s="1"/>
  <c r="G351" i="37"/>
  <c r="G351" i="41" s="1"/>
  <c r="G351" i="58"/>
  <c r="G342" i="37"/>
  <c r="G342" i="41" s="1"/>
  <c r="G342" i="58"/>
  <c r="G331" i="58"/>
  <c r="G331" i="37"/>
  <c r="G331" i="41" s="1"/>
  <c r="G320" i="37"/>
  <c r="G320" i="41" s="1"/>
  <c r="G320" i="58"/>
  <c r="G310" i="58"/>
  <c r="G310" i="37"/>
  <c r="G310" i="41" s="1"/>
  <c r="G299" i="37"/>
  <c r="G299" i="41" s="1"/>
  <c r="G299" i="58"/>
  <c r="G291" i="58"/>
  <c r="G291" i="37"/>
  <c r="G291" i="41" s="1"/>
  <c r="G283" i="37"/>
  <c r="G283" i="41" s="1"/>
  <c r="G283" i="58"/>
  <c r="G275" i="37"/>
  <c r="G275" i="41" s="1"/>
  <c r="G275" i="58"/>
  <c r="G267" i="58"/>
  <c r="G267" i="37"/>
  <c r="G267" i="41" s="1"/>
  <c r="G259" i="37"/>
  <c r="G259" i="41" s="1"/>
  <c r="G259" i="58"/>
  <c r="G251" i="37"/>
  <c r="G251" i="41" s="1"/>
  <c r="G251" i="58"/>
  <c r="G243" i="37"/>
  <c r="G243" i="41" s="1"/>
  <c r="G243" i="58"/>
  <c r="G235" i="58"/>
  <c r="G235" i="37"/>
  <c r="G235" i="41" s="1"/>
  <c r="G227" i="58"/>
  <c r="G227" i="37"/>
  <c r="G227" i="41" s="1"/>
  <c r="G216" i="58"/>
  <c r="G216" i="37"/>
  <c r="G216" i="41" s="1"/>
  <c r="G206" i="58"/>
  <c r="G206" i="37"/>
  <c r="G206" i="41" s="1"/>
  <c r="G197" i="58"/>
  <c r="G197" i="37"/>
  <c r="G197" i="41" s="1"/>
  <c r="G189" i="58"/>
  <c r="G189" i="37"/>
  <c r="G189" i="41" s="1"/>
  <c r="G181" i="58"/>
  <c r="G181" i="37"/>
  <c r="G181" i="41" s="1"/>
  <c r="G173" i="58"/>
  <c r="G173" i="37"/>
  <c r="G173" i="41" s="1"/>
  <c r="G159" i="58"/>
  <c r="G159" i="37"/>
  <c r="G159" i="41" s="1"/>
  <c r="G151" i="37"/>
  <c r="G151" i="41" s="1"/>
  <c r="G151" i="58"/>
  <c r="G143" i="37"/>
  <c r="G143" i="41" s="1"/>
  <c r="G143" i="58"/>
  <c r="G132" i="58"/>
  <c r="G132" i="37"/>
  <c r="G132" i="41" s="1"/>
  <c r="G122" i="58"/>
  <c r="G122" i="37"/>
  <c r="G122" i="41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J61" i="37"/>
  <c r="J61" i="58"/>
  <c r="J37" i="58"/>
  <c r="I49" i="37"/>
  <c r="I65" i="58"/>
  <c r="I65" i="37"/>
  <c r="I53" i="58"/>
  <c r="I29" i="58"/>
  <c r="I29" i="37"/>
  <c r="I17" i="58"/>
  <c r="J59" i="37"/>
  <c r="J54" i="58"/>
  <c r="G7" i="37"/>
  <c r="G7" i="41" s="1"/>
  <c r="G7" i="58"/>
  <c r="G102" i="37"/>
  <c r="G102" i="41" s="1"/>
  <c r="G102" i="58"/>
  <c r="G417" i="58"/>
  <c r="G417" i="37"/>
  <c r="G417" i="41" s="1"/>
  <c r="G394" i="58"/>
  <c r="G394" i="37"/>
  <c r="G394" i="41" s="1"/>
  <c r="G346" i="58"/>
  <c r="G346" i="37"/>
  <c r="G346" i="41" s="1"/>
  <c r="G303" i="58"/>
  <c r="G303" i="37"/>
  <c r="G303" i="41" s="1"/>
  <c r="G254" i="37"/>
  <c r="G254" i="41" s="1"/>
  <c r="G254" i="58"/>
  <c r="G192" i="58"/>
  <c r="G192" i="37"/>
  <c r="G192" i="41" s="1"/>
  <c r="G126" i="58"/>
  <c r="G126" i="37"/>
  <c r="G126" i="41" s="1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J46" i="37"/>
  <c r="J46" i="58"/>
  <c r="I58" i="37"/>
  <c r="I58" i="58"/>
  <c r="H58" i="37"/>
  <c r="H58" i="58"/>
  <c r="H22" i="58"/>
  <c r="J51" i="37"/>
  <c r="J51" i="5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401" i="41" s="1"/>
  <c r="G369" i="37"/>
  <c r="G369" i="41" s="1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8" i="41" s="1"/>
  <c r="G390" i="58"/>
  <c r="G390" i="37"/>
  <c r="G390" i="41" s="1"/>
  <c r="G382" i="37"/>
  <c r="G382" i="41" s="1"/>
  <c r="G382" i="58"/>
  <c r="G374" i="37"/>
  <c r="G374" i="41" s="1"/>
  <c r="G374" i="58"/>
  <c r="G366" i="58"/>
  <c r="G366" i="37"/>
  <c r="G366" i="41" s="1"/>
  <c r="G358" i="37"/>
  <c r="G358" i="41" s="1"/>
  <c r="G358" i="58"/>
  <c r="G350" i="58"/>
  <c r="G350" i="37"/>
  <c r="G350" i="41" s="1"/>
  <c r="G340" i="37"/>
  <c r="G340" i="41" s="1"/>
  <c r="G340" i="58"/>
  <c r="G330" i="58"/>
  <c r="G330" i="37"/>
  <c r="G330" i="41" s="1"/>
  <c r="G319" i="58"/>
  <c r="G319" i="37"/>
  <c r="G319" i="41" s="1"/>
  <c r="G308" i="58"/>
  <c r="G308" i="37"/>
  <c r="G308" i="41" s="1"/>
  <c r="G298" i="58"/>
  <c r="G298" i="37"/>
  <c r="G298" i="41" s="1"/>
  <c r="G290" i="58"/>
  <c r="G290" i="37"/>
  <c r="G290" i="41" s="1"/>
  <c r="G282" i="58"/>
  <c r="G282" i="37"/>
  <c r="G282" i="41" s="1"/>
  <c r="G274" i="58"/>
  <c r="G274" i="37"/>
  <c r="G274" i="41" s="1"/>
  <c r="G266" i="37"/>
  <c r="G266" i="41" s="1"/>
  <c r="G266" i="58"/>
  <c r="G258" i="37"/>
  <c r="G258" i="41" s="1"/>
  <c r="G258" i="58"/>
  <c r="G250" i="37"/>
  <c r="G250" i="41" s="1"/>
  <c r="G250" i="58"/>
  <c r="G242" i="37"/>
  <c r="G242" i="41" s="1"/>
  <c r="G242" i="58"/>
  <c r="G234" i="58"/>
  <c r="G234" i="37"/>
  <c r="G234" i="41" s="1"/>
  <c r="G226" i="37"/>
  <c r="G226" i="41" s="1"/>
  <c r="G226" i="58"/>
  <c r="G215" i="58"/>
  <c r="G215" i="37"/>
  <c r="G215" i="41" s="1"/>
  <c r="G204" i="58"/>
  <c r="G204" i="37"/>
  <c r="G204" i="41" s="1"/>
  <c r="G196" i="37"/>
  <c r="G196" i="41" s="1"/>
  <c r="G196" i="58"/>
  <c r="G188" i="58"/>
  <c r="G188" i="37"/>
  <c r="G188" i="41" s="1"/>
  <c r="G180" i="37"/>
  <c r="G180" i="41" s="1"/>
  <c r="G180" i="58"/>
  <c r="G172" i="58"/>
  <c r="G172" i="37"/>
  <c r="G172" i="41" s="1"/>
  <c r="G158" i="58"/>
  <c r="G158" i="37"/>
  <c r="G158" i="41" s="1"/>
  <c r="G150" i="58"/>
  <c r="G150" i="37"/>
  <c r="G150" i="41" s="1"/>
  <c r="G142" i="58"/>
  <c r="G142" i="37"/>
  <c r="G142" i="41" s="1"/>
  <c r="G131" i="37"/>
  <c r="G131" i="41" s="1"/>
  <c r="G131" i="58"/>
  <c r="G120" i="58"/>
  <c r="G120" i="37"/>
  <c r="G120" i="41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I72" i="58" s="1"/>
  <c r="G72" i="37"/>
  <c r="G72" i="41" s="1"/>
  <c r="G68" i="58"/>
  <c r="I68" i="58" s="1"/>
  <c r="G68" i="37"/>
  <c r="G68" i="41" s="1"/>
  <c r="G64" i="58"/>
  <c r="H64" i="58" s="1"/>
  <c r="G64" i="37"/>
  <c r="G64" i="41" s="1"/>
  <c r="G60" i="37"/>
  <c r="G60" i="41" s="1"/>
  <c r="G60" i="58"/>
  <c r="H60" i="58" s="1"/>
  <c r="G56" i="37"/>
  <c r="G56" i="41" s="1"/>
  <c r="G56" i="58"/>
  <c r="I56" i="58" s="1"/>
  <c r="G52" i="37"/>
  <c r="G52" i="41" s="1"/>
  <c r="G52" i="58"/>
  <c r="I52" i="58" s="1"/>
  <c r="G48" i="37"/>
  <c r="G48" i="41" s="1"/>
  <c r="G48" i="58"/>
  <c r="H48" i="58" s="1"/>
  <c r="G44" i="58"/>
  <c r="I44" i="58" s="1"/>
  <c r="G44" i="37"/>
  <c r="G44" i="41" s="1"/>
  <c r="G40" i="37"/>
  <c r="G40" i="41" s="1"/>
  <c r="G40" i="58"/>
  <c r="I40" i="58" s="1"/>
  <c r="G36" i="37"/>
  <c r="G36" i="41" s="1"/>
  <c r="G36" i="58"/>
  <c r="I36" i="58" s="1"/>
  <c r="G32" i="58"/>
  <c r="I32" i="58" s="1"/>
  <c r="G32" i="37"/>
  <c r="G32" i="41" s="1"/>
  <c r="G28" i="58"/>
  <c r="I28" i="58" s="1"/>
  <c r="G28" i="37"/>
  <c r="G28" i="41" s="1"/>
  <c r="G24" i="58"/>
  <c r="H24" i="58" s="1"/>
  <c r="G24" i="37"/>
  <c r="G24" i="41" s="1"/>
  <c r="G20" i="37"/>
  <c r="G20" i="41" s="1"/>
  <c r="G20" i="58"/>
  <c r="H20" i="58" s="1"/>
  <c r="G16" i="37"/>
  <c r="G16" i="41" s="1"/>
  <c r="G16" i="58"/>
  <c r="H16" i="58" s="1"/>
  <c r="G12" i="58"/>
  <c r="G12" i="37"/>
  <c r="E470" i="58"/>
  <c r="E470" i="37"/>
  <c r="E470" i="41" s="1"/>
  <c r="E225" i="58"/>
  <c r="E225" i="37"/>
  <c r="E225" i="41" s="1"/>
  <c r="H8" i="37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J58" i="37"/>
  <c r="J58" i="58"/>
  <c r="I70" i="58"/>
  <c r="I22" i="58"/>
  <c r="I63" i="58"/>
  <c r="I63" i="37"/>
  <c r="I51" i="37"/>
  <c r="I51" i="58"/>
  <c r="I39" i="37"/>
  <c r="I39" i="58"/>
  <c r="I27" i="37"/>
  <c r="I15" i="58"/>
  <c r="I15" i="37"/>
  <c r="H66" i="58"/>
  <c r="H54" i="58"/>
  <c r="H54" i="37"/>
  <c r="H42" i="37"/>
  <c r="H30" i="37"/>
  <c r="H18" i="37"/>
  <c r="H18" i="58"/>
  <c r="J65" i="58"/>
  <c r="J65" i="37"/>
  <c r="J47" i="37"/>
  <c r="J47" i="58"/>
  <c r="J42" i="37"/>
  <c r="J26" i="58"/>
  <c r="J21" i="37"/>
  <c r="J21" i="58"/>
  <c r="J18" i="58"/>
  <c r="J18" i="37"/>
  <c r="J15" i="37"/>
  <c r="J15" i="58"/>
  <c r="I53" i="37" l="1"/>
  <c r="H35" i="37"/>
  <c r="H22" i="37"/>
  <c r="J34" i="58"/>
  <c r="I35" i="37"/>
  <c r="J19" i="58"/>
  <c r="J43" i="37"/>
  <c r="H21" i="37"/>
  <c r="J24" i="58"/>
  <c r="H40" i="58"/>
  <c r="J26" i="37"/>
  <c r="J26" i="41" s="1"/>
  <c r="G12" i="39"/>
  <c r="H45" i="37"/>
  <c r="I66" i="58"/>
  <c r="J34" i="37"/>
  <c r="H69" i="58"/>
  <c r="H40" i="37"/>
  <c r="J73" i="37"/>
  <c r="J67" i="58"/>
  <c r="J67" i="41" s="1"/>
  <c r="I70" i="37"/>
  <c r="G13" i="39"/>
  <c r="G16" i="39"/>
  <c r="H64" i="37"/>
  <c r="H64" i="41" s="1"/>
  <c r="H73" i="58"/>
  <c r="H33" i="37"/>
  <c r="H31" i="58"/>
  <c r="H31" i="41" s="1"/>
  <c r="I46" i="58"/>
  <c r="I25" i="37"/>
  <c r="J38" i="37"/>
  <c r="J54" i="37"/>
  <c r="J23" i="37"/>
  <c r="I45" i="37"/>
  <c r="J22" i="37"/>
  <c r="I17" i="37"/>
  <c r="I31" i="58"/>
  <c r="I31" i="41" s="1"/>
  <c r="I22" i="37"/>
  <c r="I22" i="41" s="1"/>
  <c r="H28" i="37"/>
  <c r="I30" i="37"/>
  <c r="I34" i="37"/>
  <c r="H27" i="37"/>
  <c r="H27" i="41" s="1"/>
  <c r="J38" i="58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H35" i="41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J37" i="37"/>
  <c r="J37" i="41" s="1"/>
  <c r="I72" i="37"/>
  <c r="I72" i="41" s="1"/>
  <c r="J33" i="37"/>
  <c r="J33" i="58"/>
  <c r="H33" i="58"/>
  <c r="J73" i="58"/>
  <c r="J73" i="41" s="1"/>
  <c r="H72" i="37"/>
  <c r="I49" i="41"/>
  <c r="H446" i="41"/>
  <c r="H21" i="41"/>
  <c r="H28" i="58"/>
  <c r="H32" i="37"/>
  <c r="H60" i="37"/>
  <c r="H60" i="41" s="1"/>
  <c r="I61" i="37"/>
  <c r="I61" i="41" s="1"/>
  <c r="J20" i="58"/>
  <c r="H44" i="37"/>
  <c r="J23" i="58"/>
  <c r="H44" i="58"/>
  <c r="H57" i="58"/>
  <c r="H57" i="41" s="1"/>
  <c r="I45" i="58"/>
  <c r="I45" i="41" s="1"/>
  <c r="J70" i="58"/>
  <c r="J70" i="41" s="1"/>
  <c r="J39" i="58"/>
  <c r="J39" i="41" s="1"/>
  <c r="H62" i="37"/>
  <c r="I16" i="37"/>
  <c r="J30" i="37"/>
  <c r="I25" i="58"/>
  <c r="I18" i="37"/>
  <c r="I18" i="41" s="1"/>
  <c r="J40" i="58"/>
  <c r="I55" i="58"/>
  <c r="I55" i="41" s="1"/>
  <c r="H62" i="58"/>
  <c r="I71" i="37"/>
  <c r="I71" i="41" s="1"/>
  <c r="J52" i="58"/>
  <c r="J35" i="37"/>
  <c r="I30" i="58"/>
  <c r="I69" i="37"/>
  <c r="I69" i="41" s="1"/>
  <c r="J62" i="37"/>
  <c r="H71" i="37"/>
  <c r="H71" i="41" s="1"/>
  <c r="H17" i="37"/>
  <c r="H17" i="41" s="1"/>
  <c r="J24" i="37"/>
  <c r="J24" i="41" s="1"/>
  <c r="I41" i="37"/>
  <c r="J62" i="58"/>
  <c r="I20" i="58"/>
  <c r="I23" i="58"/>
  <c r="I23" i="41" s="1"/>
  <c r="J71" i="41"/>
  <c r="H162" i="41"/>
  <c r="H67" i="41"/>
  <c r="J65" i="41"/>
  <c r="I63" i="41"/>
  <c r="H18" i="41"/>
  <c r="J440" i="41"/>
  <c r="H22" i="41"/>
  <c r="H19" i="41"/>
  <c r="H39" i="41"/>
  <c r="H63" i="41"/>
  <c r="I15" i="41"/>
  <c r="I39" i="41"/>
  <c r="H441" i="41"/>
  <c r="J15" i="41"/>
  <c r="J61" i="41"/>
  <c r="I446" i="41"/>
  <c r="I35" i="41"/>
  <c r="I436" i="41"/>
  <c r="H58" i="41"/>
  <c r="J63" i="41"/>
  <c r="I47" i="41"/>
  <c r="H45" i="41"/>
  <c r="H23" i="41"/>
  <c r="H51" i="41"/>
  <c r="H450" i="41"/>
  <c r="H55" i="41"/>
  <c r="H47" i="41"/>
  <c r="J47" i="41"/>
  <c r="J58" i="41"/>
  <c r="I58" i="41"/>
  <c r="J54" i="41"/>
  <c r="I29" i="41"/>
  <c r="J436" i="41"/>
  <c r="J51" i="41"/>
  <c r="J447" i="41"/>
  <c r="I163" i="41"/>
  <c r="J450" i="41"/>
  <c r="H440" i="41"/>
  <c r="H46" i="41"/>
  <c r="I313" i="58"/>
  <c r="I313" i="37"/>
  <c r="G10" i="66"/>
  <c r="H429" i="37"/>
  <c r="G112" i="66"/>
  <c r="J427" i="37"/>
  <c r="J428" i="37"/>
  <c r="G124" i="66"/>
  <c r="N124" i="66" s="1"/>
  <c r="I425" i="58"/>
  <c r="G239" i="66"/>
  <c r="I363" i="58"/>
  <c r="I363" i="37"/>
  <c r="I395" i="37"/>
  <c r="I395" i="58"/>
  <c r="J141" i="37"/>
  <c r="J141" i="58"/>
  <c r="I230" i="37"/>
  <c r="I230" i="58"/>
  <c r="H30" i="41"/>
  <c r="H16" i="37"/>
  <c r="H16" i="41" s="1"/>
  <c r="H420" i="37"/>
  <c r="G24" i="66"/>
  <c r="C34" i="63"/>
  <c r="G231" i="66"/>
  <c r="I424" i="58"/>
  <c r="J36" i="37"/>
  <c r="H20" i="37"/>
  <c r="H20" i="41" s="1"/>
  <c r="H68" i="37"/>
  <c r="G187" i="66"/>
  <c r="N187" i="66" s="1"/>
  <c r="H431" i="58"/>
  <c r="I455" i="41"/>
  <c r="E358" i="38"/>
  <c r="K59" i="66" s="1"/>
  <c r="J48" i="58"/>
  <c r="I52" i="37"/>
  <c r="I52" i="41" s="1"/>
  <c r="G223" i="66"/>
  <c r="I426" i="58"/>
  <c r="G165" i="66"/>
  <c r="N165" i="66" s="1"/>
  <c r="H432" i="58"/>
  <c r="I21" i="58"/>
  <c r="G183" i="66"/>
  <c r="H424" i="58"/>
  <c r="I46" i="37"/>
  <c r="I46" i="41" s="1"/>
  <c r="G46" i="41"/>
  <c r="J60" i="37"/>
  <c r="H59" i="41"/>
  <c r="I68" i="37"/>
  <c r="I68" i="41" s="1"/>
  <c r="G29" i="66"/>
  <c r="H423" i="37"/>
  <c r="J72" i="58"/>
  <c r="H26" i="37"/>
  <c r="H26" i="41" s="1"/>
  <c r="I37" i="37"/>
  <c r="H430" i="37"/>
  <c r="G17" i="66"/>
  <c r="E386" i="38"/>
  <c r="J422" i="58"/>
  <c r="G281" i="66"/>
  <c r="J14" i="37"/>
  <c r="J14" i="41" s="1"/>
  <c r="J41" i="37"/>
  <c r="I48" i="58"/>
  <c r="H49" i="58"/>
  <c r="I64" i="58"/>
  <c r="J53" i="37"/>
  <c r="J53" i="41" s="1"/>
  <c r="H53" i="58"/>
  <c r="I38" i="58"/>
  <c r="J55" i="58"/>
  <c r="G163" i="66"/>
  <c r="H419" i="58"/>
  <c r="G279" i="66"/>
  <c r="J424" i="58"/>
  <c r="I361" i="58"/>
  <c r="I361" i="37"/>
  <c r="I162" i="58"/>
  <c r="I162" i="37"/>
  <c r="H404" i="37"/>
  <c r="H404" i="58"/>
  <c r="F174" i="66" s="1"/>
  <c r="N174" i="66" s="1"/>
  <c r="G175" i="66"/>
  <c r="N175" i="66" s="1"/>
  <c r="H426" i="58"/>
  <c r="I50" i="37"/>
  <c r="J208" i="37"/>
  <c r="J208" i="58"/>
  <c r="J341" i="58"/>
  <c r="J341" i="37"/>
  <c r="I235" i="58"/>
  <c r="I235" i="37"/>
  <c r="J162" i="58"/>
  <c r="J162" i="37"/>
  <c r="H251" i="58"/>
  <c r="H251" i="37"/>
  <c r="J21" i="41"/>
  <c r="H42" i="41"/>
  <c r="I27" i="58"/>
  <c r="I27" i="41" s="1"/>
  <c r="H420" i="58"/>
  <c r="G168" i="66"/>
  <c r="H8" i="41"/>
  <c r="C7" i="63"/>
  <c r="J36" i="58"/>
  <c r="H32" i="58"/>
  <c r="I17" i="41"/>
  <c r="I65" i="41"/>
  <c r="G43" i="66"/>
  <c r="N43" i="66" s="1"/>
  <c r="H431" i="37"/>
  <c r="J56" i="37"/>
  <c r="J48" i="37"/>
  <c r="I66" i="37"/>
  <c r="H43" i="41"/>
  <c r="J16" i="37"/>
  <c r="G220" i="66"/>
  <c r="I428" i="58"/>
  <c r="G259" i="66"/>
  <c r="J419" i="58"/>
  <c r="J22" i="41"/>
  <c r="G100" i="66"/>
  <c r="J421" i="37"/>
  <c r="J60" i="58"/>
  <c r="H163" i="41"/>
  <c r="J43" i="58"/>
  <c r="J43" i="41" s="1"/>
  <c r="G264" i="66"/>
  <c r="J420" i="58"/>
  <c r="I447" i="41"/>
  <c r="H36" i="37"/>
  <c r="J45" i="37"/>
  <c r="J45" i="41" s="1"/>
  <c r="H38" i="37"/>
  <c r="H38" i="41" s="1"/>
  <c r="I37" i="58"/>
  <c r="H430" i="58"/>
  <c r="G161" i="66"/>
  <c r="E389" i="38"/>
  <c r="G47" i="66"/>
  <c r="N47" i="66" s="1"/>
  <c r="H425" i="37"/>
  <c r="E391" i="38"/>
  <c r="J430" i="58"/>
  <c r="G257" i="66"/>
  <c r="J17" i="37"/>
  <c r="J57" i="37"/>
  <c r="I60" i="37"/>
  <c r="H61" i="58"/>
  <c r="J28" i="37"/>
  <c r="H418" i="58"/>
  <c r="G169" i="66"/>
  <c r="G125" i="66"/>
  <c r="J423" i="37"/>
  <c r="J69" i="58"/>
  <c r="H53" i="37"/>
  <c r="I38" i="37"/>
  <c r="I19" i="37"/>
  <c r="I19" i="41" s="1"/>
  <c r="J55" i="37"/>
  <c r="G19" i="66"/>
  <c r="H419" i="37"/>
  <c r="G135" i="66"/>
  <c r="J424" i="37"/>
  <c r="J181" i="37"/>
  <c r="J181" i="58"/>
  <c r="J292" i="58"/>
  <c r="J292" i="37"/>
  <c r="I157" i="37"/>
  <c r="I157" i="58"/>
  <c r="I283" i="58"/>
  <c r="I283" i="37"/>
  <c r="H175" i="37"/>
  <c r="H175" i="58"/>
  <c r="J276" i="37"/>
  <c r="J276" i="58"/>
  <c r="H152" i="58"/>
  <c r="H152" i="37"/>
  <c r="H54" i="41"/>
  <c r="I421" i="37"/>
  <c r="G52" i="66"/>
  <c r="H428" i="37"/>
  <c r="G28" i="66"/>
  <c r="N28" i="66" s="1"/>
  <c r="J38" i="41"/>
  <c r="G154" i="66"/>
  <c r="H429" i="58"/>
  <c r="H73" i="37"/>
  <c r="H73" i="41" s="1"/>
  <c r="J56" i="58"/>
  <c r="J50" i="58"/>
  <c r="J16" i="58"/>
  <c r="G76" i="66"/>
  <c r="I428" i="37"/>
  <c r="G115" i="66"/>
  <c r="J419" i="37"/>
  <c r="J421" i="58"/>
  <c r="G244" i="66"/>
  <c r="G120" i="66"/>
  <c r="J420" i="37"/>
  <c r="H36" i="58"/>
  <c r="H50" i="37"/>
  <c r="H50" i="41" s="1"/>
  <c r="H425" i="58"/>
  <c r="G191" i="66"/>
  <c r="N191" i="66" s="1"/>
  <c r="G113" i="66"/>
  <c r="E388" i="38"/>
  <c r="J430" i="37"/>
  <c r="J17" i="58"/>
  <c r="J57" i="58"/>
  <c r="I60" i="58"/>
  <c r="H61" i="37"/>
  <c r="J28" i="58"/>
  <c r="H418" i="37"/>
  <c r="G25" i="66"/>
  <c r="J423" i="58"/>
  <c r="G269" i="66"/>
  <c r="J69" i="37"/>
  <c r="H65" i="37"/>
  <c r="H65" i="41" s="1"/>
  <c r="I50" i="58"/>
  <c r="I43" i="37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37"/>
  <c r="I357" i="58"/>
  <c r="H40" i="41"/>
  <c r="G77" i="66"/>
  <c r="I423" i="37"/>
  <c r="H24" i="37"/>
  <c r="H24" i="41" s="1"/>
  <c r="J46" i="41"/>
  <c r="I419" i="58"/>
  <c r="G211" i="66"/>
  <c r="E359" i="38"/>
  <c r="K57" i="66" s="1"/>
  <c r="N57" i="66" s="1"/>
  <c r="I456" i="41"/>
  <c r="J455" i="58"/>
  <c r="E382" i="38" s="1"/>
  <c r="K251" i="66" s="1"/>
  <c r="N251" i="66" s="1"/>
  <c r="J453" i="37"/>
  <c r="J453" i="58"/>
  <c r="E380" i="38" s="1"/>
  <c r="K285" i="66" s="1"/>
  <c r="N285" i="66" s="1"/>
  <c r="J455" i="37"/>
  <c r="J454" i="58"/>
  <c r="E381" i="38" s="1"/>
  <c r="K267" i="66" s="1"/>
  <c r="N267" i="66" s="1"/>
  <c r="J454" i="37"/>
  <c r="J456" i="58"/>
  <c r="E383" i="38" s="1"/>
  <c r="K249" i="66" s="1"/>
  <c r="N249" i="66" s="1"/>
  <c r="J456" i="37"/>
  <c r="J40" i="37"/>
  <c r="G69" i="66"/>
  <c r="I432" i="37"/>
  <c r="G256" i="66"/>
  <c r="J427" i="58"/>
  <c r="I20" i="37"/>
  <c r="G268" i="66"/>
  <c r="N268" i="66" s="1"/>
  <c r="J428" i="58"/>
  <c r="H72" i="58"/>
  <c r="J68" i="58"/>
  <c r="I59" i="58"/>
  <c r="I59" i="41" s="1"/>
  <c r="J25" i="37"/>
  <c r="J25" i="41" s="1"/>
  <c r="J441" i="41"/>
  <c r="J20" i="37"/>
  <c r="I24" i="58"/>
  <c r="H25" i="58"/>
  <c r="I16" i="58"/>
  <c r="J52" i="37"/>
  <c r="G31" i="66"/>
  <c r="N31" i="66" s="1"/>
  <c r="H426" i="37"/>
  <c r="G283" i="66"/>
  <c r="N283" i="66" s="1"/>
  <c r="J431" i="58"/>
  <c r="G11" i="41"/>
  <c r="J11" i="37"/>
  <c r="H11" i="37"/>
  <c r="I11" i="37"/>
  <c r="J30" i="58"/>
  <c r="I14" i="37"/>
  <c r="I62" i="37"/>
  <c r="I62" i="41" s="1"/>
  <c r="G91" i="66"/>
  <c r="I431" i="37"/>
  <c r="H438" i="41"/>
  <c r="J451" i="41"/>
  <c r="I213" i="58"/>
  <c r="I213" i="37"/>
  <c r="I379" i="37"/>
  <c r="I379" i="58"/>
  <c r="H66" i="37"/>
  <c r="H66" i="41" s="1"/>
  <c r="I51" i="41"/>
  <c r="H52" i="37"/>
  <c r="I70" i="41"/>
  <c r="I423" i="58"/>
  <c r="G221" i="66"/>
  <c r="G72" i="66"/>
  <c r="I420" i="37"/>
  <c r="H56" i="37"/>
  <c r="G67" i="66"/>
  <c r="I419" i="37"/>
  <c r="E357" i="38"/>
  <c r="K75" i="66" s="1"/>
  <c r="N75" i="66" s="1"/>
  <c r="I454" i="41"/>
  <c r="H70" i="37"/>
  <c r="H70" i="41" s="1"/>
  <c r="G70" i="41"/>
  <c r="J27" i="58"/>
  <c r="J27" i="41" s="1"/>
  <c r="J66" i="37"/>
  <c r="J66" i="41" s="1"/>
  <c r="I28" i="37"/>
  <c r="I28" i="41" s="1"/>
  <c r="J64" i="58"/>
  <c r="H422" i="58"/>
  <c r="G185" i="66"/>
  <c r="G13" i="41"/>
  <c r="I13" i="37"/>
  <c r="H13" i="37"/>
  <c r="J13" i="37"/>
  <c r="H48" i="37"/>
  <c r="H48" i="41" s="1"/>
  <c r="G233" i="66"/>
  <c r="I422" i="58"/>
  <c r="I32" i="37"/>
  <c r="I32" i="41" s="1"/>
  <c r="C16" i="63"/>
  <c r="I8" i="41"/>
  <c r="I33" i="37"/>
  <c r="I33" i="41" s="1"/>
  <c r="J68" i="37"/>
  <c r="E387" i="38"/>
  <c r="G65" i="66"/>
  <c r="I430" i="37"/>
  <c r="I24" i="37"/>
  <c r="H25" i="37"/>
  <c r="I427" i="37"/>
  <c r="G64" i="66"/>
  <c r="H15" i="37"/>
  <c r="H15" i="41" s="1"/>
  <c r="G15" i="41"/>
  <c r="H29" i="37"/>
  <c r="H29" i="41" s="1"/>
  <c r="I14" i="58"/>
  <c r="I67" i="37"/>
  <c r="I67" i="41" s="1"/>
  <c r="G235" i="66"/>
  <c r="I431" i="58"/>
  <c r="H428" i="58"/>
  <c r="G172" i="66"/>
  <c r="N172" i="66" s="1"/>
  <c r="I453" i="41"/>
  <c r="E356" i="38"/>
  <c r="K93" i="66" s="1"/>
  <c r="J50" i="37"/>
  <c r="I43" i="58"/>
  <c r="J235" i="58"/>
  <c r="J235" i="37"/>
  <c r="H290" i="37"/>
  <c r="H290" i="58"/>
  <c r="J8" i="58"/>
  <c r="J8" i="37"/>
  <c r="H52" i="58"/>
  <c r="G143" i="66"/>
  <c r="J425" i="37"/>
  <c r="G12" i="41"/>
  <c r="H12" i="37"/>
  <c r="J12" i="37"/>
  <c r="I12" i="37"/>
  <c r="G216" i="66"/>
  <c r="I420" i="58"/>
  <c r="J59" i="58"/>
  <c r="J59" i="41" s="1"/>
  <c r="H56" i="58"/>
  <c r="I41" i="58"/>
  <c r="G148" i="66"/>
  <c r="H421" i="58"/>
  <c r="G127" i="66"/>
  <c r="J426" i="37"/>
  <c r="J32" i="37"/>
  <c r="I42" i="58"/>
  <c r="I42" i="41" s="1"/>
  <c r="J64" i="37"/>
  <c r="G41" i="66"/>
  <c r="H422" i="37"/>
  <c r="I13" i="58"/>
  <c r="J13" i="58"/>
  <c r="H13" i="58"/>
  <c r="G89" i="66"/>
  <c r="I422" i="37"/>
  <c r="J44" i="58"/>
  <c r="I44" i="37"/>
  <c r="I44" i="41" s="1"/>
  <c r="E259" i="38"/>
  <c r="G214" i="66" s="1"/>
  <c r="D18" i="34"/>
  <c r="E214" i="38"/>
  <c r="J438" i="41"/>
  <c r="C43" i="63"/>
  <c r="J29" i="58"/>
  <c r="H14" i="37"/>
  <c r="J49" i="37"/>
  <c r="G209" i="66"/>
  <c r="I430" i="58"/>
  <c r="E390" i="38"/>
  <c r="H451" i="41"/>
  <c r="I36" i="37"/>
  <c r="I36" i="41" s="1"/>
  <c r="H37" i="37"/>
  <c r="H37" i="41" s="1"/>
  <c r="I40" i="37"/>
  <c r="I40" i="41" s="1"/>
  <c r="G208" i="66"/>
  <c r="I427" i="58"/>
  <c r="H436" i="41"/>
  <c r="J35" i="58"/>
  <c r="I26" i="37"/>
  <c r="J31" i="37"/>
  <c r="J31" i="41" s="1"/>
  <c r="G196" i="66"/>
  <c r="I421" i="58"/>
  <c r="G213" i="66"/>
  <c r="I432" i="58"/>
  <c r="I57" i="37"/>
  <c r="I57" i="41" s="1"/>
  <c r="G57" i="41"/>
  <c r="I73" i="37"/>
  <c r="I73" i="41" s="1"/>
  <c r="I418" i="37"/>
  <c r="J230" i="37"/>
  <c r="J230" i="58"/>
  <c r="J266" i="37"/>
  <c r="J266" i="58"/>
  <c r="I208" i="58"/>
  <c r="I208" i="37"/>
  <c r="I298" i="37"/>
  <c r="I298" i="58"/>
  <c r="I256" i="58"/>
  <c r="I256" i="37"/>
  <c r="J18" i="41"/>
  <c r="J42" i="58"/>
  <c r="J42" i="41" s="1"/>
  <c r="I441" i="41"/>
  <c r="G287" i="66"/>
  <c r="N287" i="66" s="1"/>
  <c r="J425" i="58"/>
  <c r="J12" i="58"/>
  <c r="H12" i="58"/>
  <c r="I12" i="58"/>
  <c r="G87" i="66"/>
  <c r="I424" i="37"/>
  <c r="H68" i="58"/>
  <c r="I53" i="41"/>
  <c r="H421" i="37"/>
  <c r="G4" i="66"/>
  <c r="G271" i="66"/>
  <c r="N271" i="66" s="1"/>
  <c r="J426" i="58"/>
  <c r="J32" i="58"/>
  <c r="H69" i="37"/>
  <c r="H69" i="41" s="1"/>
  <c r="I54" i="37"/>
  <c r="I54" i="41" s="1"/>
  <c r="G79" i="66"/>
  <c r="I426" i="37"/>
  <c r="G21" i="66"/>
  <c r="N21" i="66" s="1"/>
  <c r="H432" i="37"/>
  <c r="J446" i="41"/>
  <c r="I21" i="37"/>
  <c r="I34" i="58"/>
  <c r="H424" i="37"/>
  <c r="G39" i="66"/>
  <c r="J44" i="37"/>
  <c r="I56" i="37"/>
  <c r="I56" i="41" s="1"/>
  <c r="J19" i="41"/>
  <c r="G173" i="66"/>
  <c r="H423" i="58"/>
  <c r="J72" i="37"/>
  <c r="H34" i="37"/>
  <c r="H34" i="41" s="1"/>
  <c r="J29" i="37"/>
  <c r="H14" i="58"/>
  <c r="J49" i="58"/>
  <c r="G137" i="66"/>
  <c r="J422" i="37"/>
  <c r="J41" i="58"/>
  <c r="I48" i="37"/>
  <c r="H49" i="37"/>
  <c r="I64" i="37"/>
  <c r="I438" i="41"/>
  <c r="H447" i="41"/>
  <c r="I450" i="41"/>
  <c r="H41" i="37"/>
  <c r="H41" i="41" s="1"/>
  <c r="I26" i="58"/>
  <c r="J163" i="41"/>
  <c r="I440" i="41"/>
  <c r="I451" i="41"/>
  <c r="J34" i="41" l="1"/>
  <c r="I25" i="41"/>
  <c r="I66" i="41"/>
  <c r="I30" i="41"/>
  <c r="J23" i="41"/>
  <c r="G27" i="39"/>
  <c r="H33" i="41"/>
  <c r="N59" i="66"/>
  <c r="H28" i="41"/>
  <c r="H6" i="6"/>
  <c r="G28" i="39"/>
  <c r="O201" i="66"/>
  <c r="N93" i="66"/>
  <c r="H7" i="6"/>
  <c r="M65" i="66"/>
  <c r="M209" i="66"/>
  <c r="M169" i="66"/>
  <c r="M25" i="66"/>
  <c r="G70" i="66"/>
  <c r="Q153" i="66"/>
  <c r="I424" i="41"/>
  <c r="J55" i="41"/>
  <c r="O203" i="66"/>
  <c r="Q203" i="66" s="1"/>
  <c r="R203" i="66" s="1"/>
  <c r="T203" i="66" s="1"/>
  <c r="G73" i="66"/>
  <c r="I418" i="58"/>
  <c r="G217" i="66"/>
  <c r="J419" i="41"/>
  <c r="Q155" i="66"/>
  <c r="Q171" i="66"/>
  <c r="Q27" i="66"/>
  <c r="Q11" i="66"/>
  <c r="Q9" i="66"/>
  <c r="Q45" i="66"/>
  <c r="I64" i="41"/>
  <c r="J33" i="41"/>
  <c r="H72" i="41"/>
  <c r="I20" i="41"/>
  <c r="J50" i="41"/>
  <c r="H61" i="41"/>
  <c r="H62" i="41"/>
  <c r="J62" i="41"/>
  <c r="H424" i="41"/>
  <c r="H418" i="41"/>
  <c r="J72" i="41"/>
  <c r="H32" i="41"/>
  <c r="J40" i="41"/>
  <c r="I16" i="41"/>
  <c r="I428" i="41"/>
  <c r="I426" i="41"/>
  <c r="H49" i="41"/>
  <c r="I363" i="41"/>
  <c r="J30" i="41"/>
  <c r="J20" i="41"/>
  <c r="I21" i="41"/>
  <c r="J52" i="41"/>
  <c r="I425" i="41"/>
  <c r="H44" i="41"/>
  <c r="I41" i="41"/>
  <c r="J35" i="41"/>
  <c r="J141" i="41"/>
  <c r="H432" i="41"/>
  <c r="O191" i="66"/>
  <c r="Q191" i="66" s="1"/>
  <c r="I48" i="41"/>
  <c r="H68" i="41"/>
  <c r="H419" i="41"/>
  <c r="H422" i="41"/>
  <c r="J235" i="41"/>
  <c r="J420" i="41"/>
  <c r="I420" i="41"/>
  <c r="H175" i="41"/>
  <c r="J181" i="41"/>
  <c r="I213" i="41"/>
  <c r="J431" i="41"/>
  <c r="J29" i="41"/>
  <c r="I26" i="41"/>
  <c r="I422" i="41"/>
  <c r="J432" i="41"/>
  <c r="J64" i="41"/>
  <c r="H290" i="41"/>
  <c r="H431" i="41"/>
  <c r="J424" i="41"/>
  <c r="I313" i="41"/>
  <c r="H152" i="41"/>
  <c r="I361" i="41"/>
  <c r="I208" i="41"/>
  <c r="I38" i="41"/>
  <c r="H423" i="41"/>
  <c r="H25" i="41"/>
  <c r="I24" i="41"/>
  <c r="J292" i="41"/>
  <c r="I235" i="41"/>
  <c r="J428" i="41"/>
  <c r="I427" i="41"/>
  <c r="I43" i="41"/>
  <c r="J230" i="41"/>
  <c r="I423" i="41"/>
  <c r="J422" i="41"/>
  <c r="H14" i="41"/>
  <c r="J68" i="41"/>
  <c r="J69" i="41"/>
  <c r="I283" i="41"/>
  <c r="H53" i="41"/>
  <c r="I60" i="41"/>
  <c r="H251" i="41"/>
  <c r="J36" i="41"/>
  <c r="H285" i="37"/>
  <c r="H285" i="58"/>
  <c r="H365" i="37"/>
  <c r="H365" i="58"/>
  <c r="J327" i="58"/>
  <c r="J327" i="37"/>
  <c r="I356" i="58"/>
  <c r="I356" i="37"/>
  <c r="I243" i="37"/>
  <c r="I243" i="58"/>
  <c r="I140" i="58"/>
  <c r="I140" i="37"/>
  <c r="I137" i="37"/>
  <c r="I137" i="58"/>
  <c r="H387" i="58"/>
  <c r="H387" i="37"/>
  <c r="H319" i="37"/>
  <c r="H319" i="58"/>
  <c r="H236" i="37"/>
  <c r="H236" i="58"/>
  <c r="J172" i="37"/>
  <c r="J172" i="58"/>
  <c r="I310" i="58"/>
  <c r="I310" i="37"/>
  <c r="H375" i="58"/>
  <c r="H375" i="37"/>
  <c r="I287" i="37"/>
  <c r="I287" i="58"/>
  <c r="I152" i="37"/>
  <c r="I152" i="58"/>
  <c r="I207" i="58"/>
  <c r="I207" i="37"/>
  <c r="H232" i="37"/>
  <c r="H232" i="58"/>
  <c r="I380" i="37"/>
  <c r="I380" i="58"/>
  <c r="H253" i="37"/>
  <c r="H253" i="58"/>
  <c r="I227" i="37"/>
  <c r="I227" i="58"/>
  <c r="H280" i="58"/>
  <c r="H280" i="37"/>
  <c r="H346" i="37"/>
  <c r="H346" i="58"/>
  <c r="J335" i="58"/>
  <c r="J335" i="37"/>
  <c r="H371" i="37"/>
  <c r="H371" i="58"/>
  <c r="I228" i="37"/>
  <c r="I228" i="58"/>
  <c r="H208" i="37"/>
  <c r="H208" i="58"/>
  <c r="I144" i="37"/>
  <c r="I144" i="58"/>
  <c r="J140" i="37"/>
  <c r="J140" i="58"/>
  <c r="I337" i="37"/>
  <c r="I337" i="58"/>
  <c r="I294" i="37"/>
  <c r="I294" i="58"/>
  <c r="J137" i="58"/>
  <c r="J137" i="37"/>
  <c r="J344" i="58"/>
  <c r="J344" i="37"/>
  <c r="H348" i="58"/>
  <c r="H348" i="37"/>
  <c r="J174" i="37"/>
  <c r="J174" i="58"/>
  <c r="J328" i="37"/>
  <c r="J328" i="58"/>
  <c r="H369" i="37"/>
  <c r="H369" i="58"/>
  <c r="H123" i="58"/>
  <c r="H123" i="37"/>
  <c r="I400" i="37"/>
  <c r="I400" i="58"/>
  <c r="H262" i="58"/>
  <c r="H262" i="37"/>
  <c r="H149" i="37"/>
  <c r="H149" i="58"/>
  <c r="H264" i="58"/>
  <c r="H264" i="37"/>
  <c r="J151" i="58"/>
  <c r="J151" i="37"/>
  <c r="H197" i="37"/>
  <c r="H197" i="58"/>
  <c r="H353" i="58"/>
  <c r="H353" i="37"/>
  <c r="J155" i="58"/>
  <c r="J155" i="37"/>
  <c r="I277" i="58"/>
  <c r="I277" i="37"/>
  <c r="I145" i="58"/>
  <c r="I145" i="37"/>
  <c r="I175" i="37"/>
  <c r="I175" i="58"/>
  <c r="J206" i="37"/>
  <c r="J206" i="58"/>
  <c r="H314" i="58"/>
  <c r="H314" i="37"/>
  <c r="I203" i="37"/>
  <c r="I203" i="58"/>
  <c r="I141" i="58"/>
  <c r="I141" i="37"/>
  <c r="J266" i="41"/>
  <c r="I379" i="41"/>
  <c r="I14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J16" i="41"/>
  <c r="O175" i="66"/>
  <c r="I34" i="41"/>
  <c r="Z203" i="66"/>
  <c r="Z59" i="66"/>
  <c r="Y203" i="66"/>
  <c r="Y59" i="66"/>
  <c r="O59" i="66"/>
  <c r="I395" i="41"/>
  <c r="J427" i="41"/>
  <c r="H239" i="58"/>
  <c r="H239" i="37"/>
  <c r="H170" i="58"/>
  <c r="H170" i="37"/>
  <c r="J164" i="58"/>
  <c r="J164" i="37"/>
  <c r="H367" i="58"/>
  <c r="H367" i="37"/>
  <c r="I155" i="58"/>
  <c r="I155" i="37"/>
  <c r="I326" i="37"/>
  <c r="I326" i="58"/>
  <c r="J144" i="58"/>
  <c r="J144" i="37"/>
  <c r="J267" i="58"/>
  <c r="J267" i="37"/>
  <c r="J305" i="37"/>
  <c r="J305" i="58"/>
  <c r="J384" i="37"/>
  <c r="J384" i="58"/>
  <c r="J189" i="37"/>
  <c r="J189" i="58"/>
  <c r="J228" i="58"/>
  <c r="J228" i="37"/>
  <c r="H129" i="37"/>
  <c r="H129" i="58"/>
  <c r="J146" i="58"/>
  <c r="J146" i="37"/>
  <c r="H315" i="37"/>
  <c r="H315" i="58"/>
  <c r="H209" i="37"/>
  <c r="H209" i="58"/>
  <c r="H254" i="37"/>
  <c r="H254" i="58"/>
  <c r="I211" i="58"/>
  <c r="I211" i="37"/>
  <c r="H161" i="58"/>
  <c r="H161" i="37"/>
  <c r="J319" i="37"/>
  <c r="J319" i="58"/>
  <c r="J282" i="58"/>
  <c r="J282" i="37"/>
  <c r="O75" i="66"/>
  <c r="Z219" i="66"/>
  <c r="Y219" i="66"/>
  <c r="Y75" i="66"/>
  <c r="Z75" i="66"/>
  <c r="Z43" i="66"/>
  <c r="Y43" i="66"/>
  <c r="Y187" i="66"/>
  <c r="Z187" i="66"/>
  <c r="I226" i="37"/>
  <c r="I226" i="58"/>
  <c r="H138" i="37"/>
  <c r="H138" i="58"/>
  <c r="J184" i="58"/>
  <c r="J184" i="37"/>
  <c r="I164" i="58"/>
  <c r="I164" i="37"/>
  <c r="J122" i="37"/>
  <c r="J122" i="58"/>
  <c r="H133" i="37"/>
  <c r="H133" i="58"/>
  <c r="I331" i="58"/>
  <c r="I331" i="37"/>
  <c r="J154" i="37"/>
  <c r="J154" i="58"/>
  <c r="H176" i="58"/>
  <c r="H176" i="37"/>
  <c r="I335" i="37"/>
  <c r="I335" i="58"/>
  <c r="H198" i="37"/>
  <c r="H198" i="58"/>
  <c r="I384" i="37"/>
  <c r="I384" i="58"/>
  <c r="I340" i="58"/>
  <c r="I340" i="37"/>
  <c r="J224" i="37"/>
  <c r="J224" i="58"/>
  <c r="H291" i="37"/>
  <c r="H291" i="58"/>
  <c r="H132" i="37"/>
  <c r="H132" i="58"/>
  <c r="H224" i="37"/>
  <c r="H224" i="58"/>
  <c r="J291" i="58"/>
  <c r="J291" i="37"/>
  <c r="J345" i="58"/>
  <c r="J345" i="37"/>
  <c r="I153" i="37"/>
  <c r="I153" i="58"/>
  <c r="I321" i="37"/>
  <c r="I321" i="58"/>
  <c r="I305" i="58"/>
  <c r="I305" i="37"/>
  <c r="J288" i="37"/>
  <c r="J288" i="58"/>
  <c r="I217" i="37"/>
  <c r="I217" i="58"/>
  <c r="I231" i="58"/>
  <c r="I231" i="37"/>
  <c r="J186" i="58"/>
  <c r="J186" i="37"/>
  <c r="I151" i="37"/>
  <c r="I151" i="58"/>
  <c r="J207" i="37"/>
  <c r="J207" i="58"/>
  <c r="H258" i="58"/>
  <c r="H258" i="37"/>
  <c r="I233" i="58"/>
  <c r="I233" i="37"/>
  <c r="J349" i="58"/>
  <c r="J349" i="37"/>
  <c r="H300" i="37"/>
  <c r="H300" i="58"/>
  <c r="J367" i="58"/>
  <c r="J367" i="37"/>
  <c r="I170" i="37"/>
  <c r="I170" i="58"/>
  <c r="H339" i="58"/>
  <c r="H339" i="37"/>
  <c r="J275" i="58"/>
  <c r="J275" i="37"/>
  <c r="J199" i="37"/>
  <c r="J199" i="58"/>
  <c r="H223" i="58"/>
  <c r="H223" i="37"/>
  <c r="I229" i="37"/>
  <c r="I229" i="58"/>
  <c r="J306" i="37"/>
  <c r="J306" i="58"/>
  <c r="H345" i="37"/>
  <c r="H345" i="58"/>
  <c r="J368" i="58"/>
  <c r="J368" i="37"/>
  <c r="J169" i="37"/>
  <c r="J169" i="58"/>
  <c r="H120" i="58"/>
  <c r="H120" i="37"/>
  <c r="J307" i="58"/>
  <c r="J307" i="37"/>
  <c r="J226" i="58"/>
  <c r="J226" i="37"/>
  <c r="I257" i="37"/>
  <c r="I257" i="58"/>
  <c r="J363" i="58"/>
  <c r="J363" i="37"/>
  <c r="H395" i="37"/>
  <c r="H395" i="58"/>
  <c r="J147" i="58"/>
  <c r="J147" i="37"/>
  <c r="J152" i="37"/>
  <c r="J152" i="58"/>
  <c r="J256" i="58"/>
  <c r="J256" i="37"/>
  <c r="I386" i="37"/>
  <c r="I386" i="58"/>
  <c r="J382" i="37"/>
  <c r="J382" i="58"/>
  <c r="J236" i="58"/>
  <c r="J236" i="37"/>
  <c r="J196" i="37"/>
  <c r="J196" i="58"/>
  <c r="H384" i="37"/>
  <c r="H384" i="58"/>
  <c r="H305" i="58"/>
  <c r="H305" i="37"/>
  <c r="J271" i="37"/>
  <c r="J271" i="58"/>
  <c r="I346" i="58"/>
  <c r="I346" i="37"/>
  <c r="J374" i="37"/>
  <c r="J374" i="58"/>
  <c r="J391" i="37"/>
  <c r="J391" i="58"/>
  <c r="H167" i="37"/>
  <c r="H167" i="58"/>
  <c r="H222" i="58"/>
  <c r="H222" i="37"/>
  <c r="I330" i="37"/>
  <c r="I330" i="58"/>
  <c r="H202" i="37"/>
  <c r="H202" i="58"/>
  <c r="J126" i="37"/>
  <c r="J126" i="58"/>
  <c r="J211" i="37"/>
  <c r="J211" i="58"/>
  <c r="H195" i="37"/>
  <c r="H195" i="58"/>
  <c r="H137" i="37"/>
  <c r="H137" i="58"/>
  <c r="J272" i="37"/>
  <c r="J272" i="58"/>
  <c r="J339" i="37"/>
  <c r="J339" i="58"/>
  <c r="J123" i="37"/>
  <c r="J123" i="58"/>
  <c r="H214" i="58"/>
  <c r="H214" i="37"/>
  <c r="H134" i="37"/>
  <c r="H134" i="58"/>
  <c r="H282" i="37"/>
  <c r="H282" i="58"/>
  <c r="H145" i="37"/>
  <c r="H145" i="58"/>
  <c r="I149" i="58"/>
  <c r="I149" i="37"/>
  <c r="H242" i="37"/>
  <c r="H242" i="58"/>
  <c r="H392" i="58"/>
  <c r="H392" i="37"/>
  <c r="H245" i="37"/>
  <c r="H245" i="58"/>
  <c r="H397" i="37"/>
  <c r="H397" i="58"/>
  <c r="J351" i="58"/>
  <c r="J351" i="37"/>
  <c r="I369" i="58"/>
  <c r="I369" i="37"/>
  <c r="I186" i="37"/>
  <c r="I186" i="58"/>
  <c r="H189" i="58"/>
  <c r="H189" i="37"/>
  <c r="I328" i="37"/>
  <c r="I328" i="58"/>
  <c r="I129" i="37"/>
  <c r="I129" i="58"/>
  <c r="J183" i="58"/>
  <c r="J183" i="37"/>
  <c r="J375" i="37"/>
  <c r="J375" i="58"/>
  <c r="I381" i="37"/>
  <c r="I381" i="58"/>
  <c r="J360" i="58"/>
  <c r="J360" i="37"/>
  <c r="I324" i="37"/>
  <c r="I324" i="58"/>
  <c r="H166" i="37"/>
  <c r="H166" i="58"/>
  <c r="J221" i="37"/>
  <c r="J221" i="58"/>
  <c r="I279" i="37"/>
  <c r="I279" i="58"/>
  <c r="J304" i="37"/>
  <c r="J304" i="58"/>
  <c r="J124" i="37"/>
  <c r="J124" i="58"/>
  <c r="I124" i="58"/>
  <c r="I124" i="37"/>
  <c r="J317" i="37"/>
  <c r="J317" i="58"/>
  <c r="I291" i="37"/>
  <c r="I291" i="58"/>
  <c r="H288" i="37"/>
  <c r="H288" i="58"/>
  <c r="I261" i="58"/>
  <c r="I261" i="37"/>
  <c r="J354" i="37"/>
  <c r="J354" i="58"/>
  <c r="J133" i="37"/>
  <c r="J133" i="58"/>
  <c r="I121" i="37"/>
  <c r="I121" i="58"/>
  <c r="J258" i="58"/>
  <c r="J258" i="37"/>
  <c r="I216" i="37"/>
  <c r="I216" i="58"/>
  <c r="H180" i="37"/>
  <c r="H180" i="58"/>
  <c r="I387" i="37"/>
  <c r="I387" i="58"/>
  <c r="J380" i="37"/>
  <c r="J380" i="58"/>
  <c r="J218" i="37"/>
  <c r="J218" i="58"/>
  <c r="I338" i="37"/>
  <c r="I338" i="58"/>
  <c r="J392" i="37"/>
  <c r="J392" i="58"/>
  <c r="H271" i="37"/>
  <c r="H271" i="58"/>
  <c r="I188" i="37"/>
  <c r="I188" i="58"/>
  <c r="J203" i="37"/>
  <c r="J203" i="58"/>
  <c r="I238" i="37"/>
  <c r="I238" i="58"/>
  <c r="I353" i="58"/>
  <c r="I353" i="37"/>
  <c r="H382" i="58"/>
  <c r="H382" i="37"/>
  <c r="H295" i="37"/>
  <c r="H295" i="58"/>
  <c r="I202" i="37"/>
  <c r="I202" i="58"/>
  <c r="H349" i="37"/>
  <c r="H349" i="58"/>
  <c r="I382" i="37"/>
  <c r="I382" i="58"/>
  <c r="H226" i="37"/>
  <c r="H226" i="58"/>
  <c r="H155" i="37"/>
  <c r="H155" i="58"/>
  <c r="J161" i="58"/>
  <c r="J161" i="37"/>
  <c r="I179" i="37"/>
  <c r="I179" i="58"/>
  <c r="H142" i="58"/>
  <c r="H142" i="37"/>
  <c r="H328" i="37"/>
  <c r="H328" i="58"/>
  <c r="H306" i="37"/>
  <c r="H306" i="58"/>
  <c r="J200" i="37"/>
  <c r="J200" i="58"/>
  <c r="J289" i="37"/>
  <c r="J289" i="58"/>
  <c r="I210" i="58"/>
  <c r="I210" i="37"/>
  <c r="J227" i="37"/>
  <c r="J227" i="58"/>
  <c r="H204" i="37"/>
  <c r="H204" i="58"/>
  <c r="H199" i="58"/>
  <c r="H199" i="37"/>
  <c r="I359" i="58"/>
  <c r="I359" i="37"/>
  <c r="H307" i="37"/>
  <c r="H307" i="58"/>
  <c r="H275" i="37"/>
  <c r="H275" i="58"/>
  <c r="H196" i="58"/>
  <c r="H196" i="37"/>
  <c r="H122" i="58"/>
  <c r="H122" i="37"/>
  <c r="H343" i="37"/>
  <c r="H343" i="58"/>
  <c r="H390" i="58"/>
  <c r="H390" i="37"/>
  <c r="J326" i="58"/>
  <c r="J326" i="37"/>
  <c r="I251" i="58"/>
  <c r="I251" i="37"/>
  <c r="J213" i="37"/>
  <c r="J213" i="58"/>
  <c r="J385" i="37"/>
  <c r="J385" i="58"/>
  <c r="J225" i="37"/>
  <c r="J225" i="58"/>
  <c r="I375" i="37"/>
  <c r="I375" i="58"/>
  <c r="J401" i="37"/>
  <c r="J401" i="58"/>
  <c r="H287" i="58"/>
  <c r="H287" i="37"/>
  <c r="I256" i="41"/>
  <c r="M208" i="66"/>
  <c r="I468" i="58"/>
  <c r="F209" i="66" s="1"/>
  <c r="N209" i="66" s="1"/>
  <c r="I469" i="58"/>
  <c r="F202" i="66" s="1"/>
  <c r="I470" i="58"/>
  <c r="J32" i="41"/>
  <c r="J425" i="41"/>
  <c r="J13" i="41"/>
  <c r="C26" i="63"/>
  <c r="Z175" i="66"/>
  <c r="Z31" i="66"/>
  <c r="Y31" i="66"/>
  <c r="O31" i="66"/>
  <c r="Y175" i="66"/>
  <c r="Z57" i="66"/>
  <c r="Z201" i="66"/>
  <c r="Y57" i="66"/>
  <c r="O57" i="66"/>
  <c r="Y201" i="66"/>
  <c r="I418" i="41"/>
  <c r="H428" i="41"/>
  <c r="J28" i="41"/>
  <c r="H425" i="41"/>
  <c r="H36" i="41"/>
  <c r="J421" i="41"/>
  <c r="M16" i="66"/>
  <c r="H469" i="37"/>
  <c r="H470" i="37"/>
  <c r="H468" i="37"/>
  <c r="H173" i="58"/>
  <c r="H173" i="37"/>
  <c r="H130" i="37"/>
  <c r="H130" i="58"/>
  <c r="J149" i="58"/>
  <c r="J149" i="37"/>
  <c r="J365" i="58"/>
  <c r="J365" i="37"/>
  <c r="H237" i="37"/>
  <c r="H237" i="58"/>
  <c r="I396" i="37"/>
  <c r="I396" i="58"/>
  <c r="I166" i="37"/>
  <c r="I166" i="58"/>
  <c r="I273" i="37"/>
  <c r="I273" i="58"/>
  <c r="J259" i="37"/>
  <c r="J259" i="58"/>
  <c r="H376" i="37"/>
  <c r="H376" i="58"/>
  <c r="J260" i="37"/>
  <c r="J260" i="58"/>
  <c r="H292" i="37"/>
  <c r="H292" i="58"/>
  <c r="I289" i="58"/>
  <c r="I289" i="37"/>
  <c r="H327" i="37"/>
  <c r="H327" i="58"/>
  <c r="I286" i="37"/>
  <c r="I286" i="58"/>
  <c r="H140" i="37"/>
  <c r="H140" i="58"/>
  <c r="H400" i="58"/>
  <c r="H400" i="37"/>
  <c r="H370" i="58"/>
  <c r="H370" i="37"/>
  <c r="I355" i="37"/>
  <c r="I355" i="58"/>
  <c r="J241" i="58"/>
  <c r="J241" i="37"/>
  <c r="J299" i="37"/>
  <c r="J299" i="58"/>
  <c r="J378" i="37"/>
  <c r="J378" i="58"/>
  <c r="H165" i="37"/>
  <c r="H165" i="58"/>
  <c r="I374" i="37"/>
  <c r="I374" i="58"/>
  <c r="H334" i="58"/>
  <c r="H334" i="37"/>
  <c r="H284" i="37"/>
  <c r="H284" i="58"/>
  <c r="H188" i="58"/>
  <c r="H188" i="37"/>
  <c r="H396" i="37"/>
  <c r="H396" i="58"/>
  <c r="I259" i="37"/>
  <c r="I259" i="58"/>
  <c r="J356" i="37"/>
  <c r="J356" i="58"/>
  <c r="I268" i="37"/>
  <c r="I268" i="58"/>
  <c r="I199" i="58"/>
  <c r="I199" i="37"/>
  <c r="I319" i="58"/>
  <c r="I319" i="37"/>
  <c r="J240" i="58"/>
  <c r="J240" i="37"/>
  <c r="J298" i="58"/>
  <c r="J298" i="37"/>
  <c r="I376" i="37"/>
  <c r="I376" i="58"/>
  <c r="J388" i="37"/>
  <c r="J388" i="58"/>
  <c r="J355" i="37"/>
  <c r="J355" i="58"/>
  <c r="H299" i="58"/>
  <c r="H299" i="37"/>
  <c r="H200" i="37"/>
  <c r="H200" i="58"/>
  <c r="H362" i="37"/>
  <c r="H362" i="58"/>
  <c r="I343" i="58"/>
  <c r="I343" i="37"/>
  <c r="J386" i="58"/>
  <c r="J386" i="37"/>
  <c r="I311" i="37"/>
  <c r="I311" i="58"/>
  <c r="I271" i="58"/>
  <c r="I271" i="37"/>
  <c r="H298" i="58"/>
  <c r="H298" i="37"/>
  <c r="H286" i="37"/>
  <c r="H286" i="58"/>
  <c r="J202" i="37"/>
  <c r="J202" i="58"/>
  <c r="I349" i="58"/>
  <c r="I349" i="37"/>
  <c r="I339" i="58"/>
  <c r="I339" i="37"/>
  <c r="H267" i="58"/>
  <c r="H267" i="37"/>
  <c r="H192" i="58"/>
  <c r="H192" i="37"/>
  <c r="J297" i="58"/>
  <c r="J297" i="37"/>
  <c r="I354" i="58"/>
  <c r="I354" i="37"/>
  <c r="H393" i="37"/>
  <c r="H393" i="58"/>
  <c r="H159" i="37"/>
  <c r="H159" i="58"/>
  <c r="I270" i="37"/>
  <c r="I270" i="58"/>
  <c r="H252" i="58"/>
  <c r="H252" i="37"/>
  <c r="J156" i="58"/>
  <c r="J156" i="37"/>
  <c r="J348" i="37"/>
  <c r="J348" i="58"/>
  <c r="I366" i="37"/>
  <c r="I366" i="58"/>
  <c r="J321" i="37"/>
  <c r="J321" i="58"/>
  <c r="I267" i="37"/>
  <c r="I267" i="58"/>
  <c r="J399" i="37"/>
  <c r="J399" i="58"/>
  <c r="J166" i="37"/>
  <c r="J166" i="58"/>
  <c r="I237" i="58"/>
  <c r="I237" i="37"/>
  <c r="J249" i="58"/>
  <c r="J249" i="37"/>
  <c r="I393" i="37"/>
  <c r="I393" i="58"/>
  <c r="H340" i="37"/>
  <c r="H340" i="58"/>
  <c r="J261" i="58"/>
  <c r="J261" i="37"/>
  <c r="I234" i="58"/>
  <c r="I234" i="37"/>
  <c r="H270" i="58"/>
  <c r="H270" i="37"/>
  <c r="I204" i="58"/>
  <c r="I204" i="37"/>
  <c r="J329" i="37"/>
  <c r="J329" i="58"/>
  <c r="J121" i="58"/>
  <c r="J121" i="37"/>
  <c r="H321" i="58"/>
  <c r="H321" i="37"/>
  <c r="J201" i="58"/>
  <c r="J201" i="37"/>
  <c r="I201" i="58"/>
  <c r="I201" i="37"/>
  <c r="J393" i="58"/>
  <c r="J393" i="37"/>
  <c r="I316" i="37"/>
  <c r="I316" i="58"/>
  <c r="I371" i="58"/>
  <c r="I371" i="37"/>
  <c r="H356" i="37"/>
  <c r="H356" i="58"/>
  <c r="J361" i="58"/>
  <c r="J361" i="37"/>
  <c r="H179" i="58"/>
  <c r="H179" i="37"/>
  <c r="H332" i="58"/>
  <c r="H332" i="37"/>
  <c r="J145" i="58"/>
  <c r="J145" i="37"/>
  <c r="I178" i="58"/>
  <c r="I178" i="37"/>
  <c r="J222" i="37"/>
  <c r="J222" i="58"/>
  <c r="J283" i="58"/>
  <c r="J283" i="37"/>
  <c r="H234" i="58"/>
  <c r="H234" i="37"/>
  <c r="H121" i="58"/>
  <c r="H121" i="37"/>
  <c r="J287" i="37"/>
  <c r="J287" i="58"/>
  <c r="J138" i="58"/>
  <c r="J138" i="37"/>
  <c r="J362" i="58"/>
  <c r="J362" i="37"/>
  <c r="H283" i="37"/>
  <c r="H283" i="58"/>
  <c r="H230" i="37"/>
  <c r="H230" i="58"/>
  <c r="J394" i="58"/>
  <c r="J394" i="37"/>
  <c r="J178" i="58"/>
  <c r="J178" i="37"/>
  <c r="I184" i="58"/>
  <c r="I184" i="37"/>
  <c r="H178" i="58"/>
  <c r="H178" i="37"/>
  <c r="H331" i="37"/>
  <c r="H331" i="58"/>
  <c r="H377" i="58"/>
  <c r="H377" i="37"/>
  <c r="I193" i="58"/>
  <c r="I193" i="37"/>
  <c r="J182" i="37"/>
  <c r="J182" i="58"/>
  <c r="H311" i="58"/>
  <c r="H311" i="37"/>
  <c r="H203" i="37"/>
  <c r="H203" i="58"/>
  <c r="I244" i="37"/>
  <c r="I244" i="58"/>
  <c r="J274" i="37"/>
  <c r="J274" i="58"/>
  <c r="I350" i="37"/>
  <c r="I350" i="58"/>
  <c r="J158" i="37"/>
  <c r="J158" i="58"/>
  <c r="H235" i="58"/>
  <c r="H235" i="37"/>
  <c r="H191" i="58"/>
  <c r="H191" i="37"/>
  <c r="H309" i="58"/>
  <c r="H309" i="37"/>
  <c r="J397" i="58"/>
  <c r="J397" i="37"/>
  <c r="H228" i="58"/>
  <c r="H228" i="37"/>
  <c r="I296" i="37"/>
  <c r="I296" i="58"/>
  <c r="I325" i="37"/>
  <c r="I325" i="58"/>
  <c r="J357" i="37"/>
  <c r="J357" i="58"/>
  <c r="J379" i="37"/>
  <c r="J379" i="58"/>
  <c r="I292" i="37"/>
  <c r="I292" i="58"/>
  <c r="J197" i="37"/>
  <c r="J197" i="58"/>
  <c r="O219" i="66"/>
  <c r="H12" i="41"/>
  <c r="E229" i="38"/>
  <c r="E274" i="38"/>
  <c r="E18" i="34"/>
  <c r="C35" i="63"/>
  <c r="Q201" i="66"/>
  <c r="R201" i="66" s="1"/>
  <c r="T201" i="66" s="1"/>
  <c r="N143" i="66"/>
  <c r="C8" i="63"/>
  <c r="H13" i="41"/>
  <c r="I419" i="41"/>
  <c r="I11" i="41"/>
  <c r="I402" i="37"/>
  <c r="I403" i="37"/>
  <c r="F97" i="66" s="1"/>
  <c r="E363" i="38"/>
  <c r="K123" i="66" s="1"/>
  <c r="N123" i="66" s="1"/>
  <c r="O267" i="66" s="1"/>
  <c r="J454" i="41"/>
  <c r="H403" i="58"/>
  <c r="E11" i="53" s="1"/>
  <c r="F11" i="53" s="1"/>
  <c r="H5" i="53" s="1"/>
  <c r="H402" i="58"/>
  <c r="F194" i="66" s="1"/>
  <c r="N194" i="66" s="1"/>
  <c r="Y191" i="66"/>
  <c r="Z47" i="66"/>
  <c r="O47" i="66"/>
  <c r="Z191" i="66"/>
  <c r="Y47" i="66"/>
  <c r="J341" i="41"/>
  <c r="H429" i="41"/>
  <c r="J290" i="37"/>
  <c r="J290" i="58"/>
  <c r="H391" i="58"/>
  <c r="H391" i="37"/>
  <c r="J239" i="58"/>
  <c r="J239" i="37"/>
  <c r="I284" i="37"/>
  <c r="I284" i="58"/>
  <c r="J316" i="37"/>
  <c r="J316" i="58"/>
  <c r="H243" i="37"/>
  <c r="H243" i="58"/>
  <c r="J165" i="58"/>
  <c r="J165" i="37"/>
  <c r="J340" i="58"/>
  <c r="J340" i="37"/>
  <c r="I223" i="37"/>
  <c r="I223" i="58"/>
  <c r="I138" i="37"/>
  <c r="I138" i="58"/>
  <c r="I130" i="37"/>
  <c r="I130" i="58"/>
  <c r="H350" i="37"/>
  <c r="H350" i="58"/>
  <c r="H354" i="37"/>
  <c r="H354" i="58"/>
  <c r="I272" i="37"/>
  <c r="I272" i="58"/>
  <c r="I365" i="58"/>
  <c r="I365" i="37"/>
  <c r="J170" i="37"/>
  <c r="J170" i="58"/>
  <c r="H181" i="37"/>
  <c r="H181" i="58"/>
  <c r="I278" i="58"/>
  <c r="I278" i="37"/>
  <c r="J284" i="37"/>
  <c r="J284" i="58"/>
  <c r="I302" i="58"/>
  <c r="I302" i="37"/>
  <c r="I281" i="58"/>
  <c r="I281" i="37"/>
  <c r="H357" i="58"/>
  <c r="H357" i="37"/>
  <c r="I389" i="58"/>
  <c r="I389" i="37"/>
  <c r="J286" i="37"/>
  <c r="J286" i="58"/>
  <c r="J322" i="58"/>
  <c r="J322" i="37"/>
  <c r="H380" i="58"/>
  <c r="H380" i="37"/>
  <c r="I191" i="37"/>
  <c r="I191" i="58"/>
  <c r="J359" i="58"/>
  <c r="J359" i="37"/>
  <c r="H351" i="58"/>
  <c r="H351" i="37"/>
  <c r="I341" i="58"/>
  <c r="I341" i="37"/>
  <c r="J337" i="37"/>
  <c r="J337" i="58"/>
  <c r="J369" i="58"/>
  <c r="J369" i="37"/>
  <c r="J128" i="58"/>
  <c r="J128" i="37"/>
  <c r="J279" i="58"/>
  <c r="J279" i="37"/>
  <c r="J387" i="58"/>
  <c r="J387" i="37"/>
  <c r="I180" i="37"/>
  <c r="I180" i="58"/>
  <c r="I348" i="37"/>
  <c r="I348" i="58"/>
  <c r="I220" i="37"/>
  <c r="I220" i="58"/>
  <c r="I177" i="58"/>
  <c r="I177" i="37"/>
  <c r="J300" i="58"/>
  <c r="J300" i="37"/>
  <c r="H313" i="37"/>
  <c r="H313" i="58"/>
  <c r="I189" i="37"/>
  <c r="I189" i="58"/>
  <c r="J314" i="58"/>
  <c r="J314" i="37"/>
  <c r="I352" i="37"/>
  <c r="I352" i="58"/>
  <c r="H227" i="37"/>
  <c r="H227" i="58"/>
  <c r="J330" i="37"/>
  <c r="J330" i="58"/>
  <c r="I142" i="58"/>
  <c r="I142" i="37"/>
  <c r="H238" i="37"/>
  <c r="H238" i="58"/>
  <c r="I247" i="58"/>
  <c r="I247" i="37"/>
  <c r="I368" i="58"/>
  <c r="I368" i="37"/>
  <c r="H278" i="58"/>
  <c r="H278" i="37"/>
  <c r="J179" i="58"/>
  <c r="J179" i="37"/>
  <c r="H215" i="58"/>
  <c r="H215" i="37"/>
  <c r="J173" i="37"/>
  <c r="J173" i="58"/>
  <c r="H158" i="58"/>
  <c r="H158" i="37"/>
  <c r="H385" i="37"/>
  <c r="H385" i="58"/>
  <c r="J214" i="37"/>
  <c r="J214" i="58"/>
  <c r="J334" i="37"/>
  <c r="J334" i="58"/>
  <c r="H342" i="37"/>
  <c r="H342" i="58"/>
  <c r="I269" i="37"/>
  <c r="I269" i="58"/>
  <c r="H389" i="58"/>
  <c r="H389" i="37"/>
  <c r="I187" i="37"/>
  <c r="I187" i="58"/>
  <c r="J313" i="37"/>
  <c r="J313" i="58"/>
  <c r="I147" i="58"/>
  <c r="I147" i="37"/>
  <c r="I373" i="58"/>
  <c r="I373" i="37"/>
  <c r="J187" i="58"/>
  <c r="J187" i="37"/>
  <c r="J253" i="37"/>
  <c r="J253" i="58"/>
  <c r="I347" i="58"/>
  <c r="I347" i="37"/>
  <c r="I266" i="58"/>
  <c r="I266" i="37"/>
  <c r="Z165" i="66"/>
  <c r="Z21" i="66"/>
  <c r="Y165" i="66"/>
  <c r="Y21" i="66"/>
  <c r="G58" i="66"/>
  <c r="I429" i="37"/>
  <c r="C53" i="63"/>
  <c r="J426" i="41"/>
  <c r="I13" i="41"/>
  <c r="C17" i="63"/>
  <c r="H52" i="41"/>
  <c r="H11" i="41"/>
  <c r="H403" i="37"/>
  <c r="E5" i="53" s="1"/>
  <c r="F5" i="53" s="1"/>
  <c r="H402" i="37"/>
  <c r="I432" i="41"/>
  <c r="I402" i="58"/>
  <c r="F242" i="66" s="1"/>
  <c r="N242" i="66" s="1"/>
  <c r="I403" i="58"/>
  <c r="F241" i="66" s="1"/>
  <c r="H427" i="41"/>
  <c r="I421" i="41"/>
  <c r="M160" i="66"/>
  <c r="H468" i="58"/>
  <c r="F161" i="66" s="1"/>
  <c r="N161" i="66" s="1"/>
  <c r="H470" i="58"/>
  <c r="H469" i="58"/>
  <c r="F154" i="66" s="1"/>
  <c r="N154" i="66" s="1"/>
  <c r="J48" i="41"/>
  <c r="H430" i="41"/>
  <c r="J60" i="41"/>
  <c r="I185" i="37"/>
  <c r="I185" i="58"/>
  <c r="H231" i="37"/>
  <c r="H231" i="58"/>
  <c r="H347" i="58"/>
  <c r="H347" i="37"/>
  <c r="I159" i="58"/>
  <c r="I159" i="37"/>
  <c r="H316" i="37"/>
  <c r="H316" i="58"/>
  <c r="I320" i="37"/>
  <c r="I320" i="58"/>
  <c r="J190" i="37"/>
  <c r="J190" i="58"/>
  <c r="I367" i="58"/>
  <c r="I367" i="37"/>
  <c r="I196" i="37"/>
  <c r="I196" i="58"/>
  <c r="I274" i="37"/>
  <c r="I274" i="58"/>
  <c r="H240" i="58"/>
  <c r="H240" i="37"/>
  <c r="I225" i="37"/>
  <c r="I225" i="58"/>
  <c r="J343" i="58"/>
  <c r="J343" i="37"/>
  <c r="H225" i="37"/>
  <c r="H225" i="58"/>
  <c r="J229" i="37"/>
  <c r="J229" i="58"/>
  <c r="J265" i="58"/>
  <c r="J265" i="37"/>
  <c r="H374" i="58"/>
  <c r="H374" i="37"/>
  <c r="H388" i="37"/>
  <c r="H388" i="58"/>
  <c r="J370" i="58"/>
  <c r="J370" i="37"/>
  <c r="I214" i="37"/>
  <c r="I214" i="58"/>
  <c r="H312" i="37"/>
  <c r="H312" i="58"/>
  <c r="I322" i="37"/>
  <c r="I322" i="58"/>
  <c r="J338" i="37"/>
  <c r="J338" i="58"/>
  <c r="H128" i="37"/>
  <c r="H128" i="58"/>
  <c r="J295" i="58"/>
  <c r="J295" i="37"/>
  <c r="H304" i="37"/>
  <c r="H304" i="58"/>
  <c r="J255" i="37"/>
  <c r="J255" i="58"/>
  <c r="H360" i="58"/>
  <c r="H360" i="37"/>
  <c r="I255" i="37"/>
  <c r="I255" i="58"/>
  <c r="J294" i="37"/>
  <c r="J294" i="58"/>
  <c r="I351" i="58"/>
  <c r="I351" i="37"/>
  <c r="I252" i="37"/>
  <c r="I252" i="58"/>
  <c r="J153" i="58"/>
  <c r="J153" i="37"/>
  <c r="J234" i="58"/>
  <c r="J234" i="37"/>
  <c r="H297" i="58"/>
  <c r="H297" i="37"/>
  <c r="J204" i="58"/>
  <c r="J204" i="37"/>
  <c r="J396" i="58"/>
  <c r="J396" i="37"/>
  <c r="I372" i="58"/>
  <c r="I372" i="37"/>
  <c r="J132" i="37"/>
  <c r="J132" i="58"/>
  <c r="J366" i="37"/>
  <c r="J366" i="58"/>
  <c r="I301" i="37"/>
  <c r="I301" i="58"/>
  <c r="I362" i="58"/>
  <c r="I362" i="37"/>
  <c r="H363" i="37"/>
  <c r="H363" i="58"/>
  <c r="J233" i="37"/>
  <c r="J233" i="58"/>
  <c r="H352" i="58"/>
  <c r="H352" i="37"/>
  <c r="H250" i="58"/>
  <c r="H250" i="37"/>
  <c r="H157" i="37"/>
  <c r="H157" i="58"/>
  <c r="H366" i="58"/>
  <c r="H366" i="37"/>
  <c r="I232" i="58"/>
  <c r="I232" i="37"/>
  <c r="I398" i="37"/>
  <c r="I398" i="58"/>
  <c r="H147" i="37"/>
  <c r="H147" i="58"/>
  <c r="J262" i="58"/>
  <c r="J262" i="37"/>
  <c r="H256" i="58"/>
  <c r="H256" i="37"/>
  <c r="I306" i="58"/>
  <c r="I306" i="37"/>
  <c r="J364" i="58"/>
  <c r="J364" i="37"/>
  <c r="H229" i="37"/>
  <c r="H229" i="58"/>
  <c r="J278" i="37"/>
  <c r="J278" i="58"/>
  <c r="J257" i="58"/>
  <c r="J257" i="37"/>
  <c r="I334" i="37"/>
  <c r="I334" i="58"/>
  <c r="J347" i="58"/>
  <c r="J347" i="37"/>
  <c r="J377" i="37"/>
  <c r="J377" i="58"/>
  <c r="H325" i="58"/>
  <c r="H325" i="37"/>
  <c r="H219" i="37"/>
  <c r="H219" i="58"/>
  <c r="H269" i="37"/>
  <c r="H269" i="58"/>
  <c r="J318" i="37"/>
  <c r="J318" i="58"/>
  <c r="H326" i="37"/>
  <c r="H326" i="58"/>
  <c r="H276" i="58"/>
  <c r="H276" i="37"/>
  <c r="H177" i="37"/>
  <c r="H177" i="58"/>
  <c r="H146" i="37"/>
  <c r="H146" i="58"/>
  <c r="J244" i="58"/>
  <c r="J244" i="37"/>
  <c r="I293" i="37"/>
  <c r="I293" i="58"/>
  <c r="J280" i="58"/>
  <c r="J280" i="37"/>
  <c r="J311" i="58"/>
  <c r="J311" i="37"/>
  <c r="H399" i="58"/>
  <c r="H399" i="37"/>
  <c r="H144" i="37"/>
  <c r="H144" i="58"/>
  <c r="H296" i="37"/>
  <c r="H296" i="58"/>
  <c r="I134" i="58"/>
  <c r="I134" i="37"/>
  <c r="J398" i="58"/>
  <c r="J398" i="37"/>
  <c r="H359" i="58"/>
  <c r="H359" i="37"/>
  <c r="H217" i="37"/>
  <c r="H217" i="58"/>
  <c r="H379" i="58"/>
  <c r="H379" i="37"/>
  <c r="I161" i="37"/>
  <c r="I161" i="58"/>
  <c r="J176" i="37"/>
  <c r="J176" i="58"/>
  <c r="I182" i="58"/>
  <c r="I182" i="37"/>
  <c r="I299" i="58"/>
  <c r="I299" i="37"/>
  <c r="H168" i="58"/>
  <c r="H168" i="37"/>
  <c r="H330" i="37"/>
  <c r="H330" i="58"/>
  <c r="J212" i="37"/>
  <c r="J212" i="58"/>
  <c r="I329" i="37"/>
  <c r="I329" i="58"/>
  <c r="H344" i="37"/>
  <c r="H344" i="58"/>
  <c r="J324" i="58"/>
  <c r="J324" i="37"/>
  <c r="I212" i="37"/>
  <c r="I212" i="58"/>
  <c r="J390" i="58"/>
  <c r="J390" i="37"/>
  <c r="I312" i="37"/>
  <c r="I312" i="58"/>
  <c r="J252" i="37"/>
  <c r="J252" i="58"/>
  <c r="I224" i="37"/>
  <c r="I224" i="58"/>
  <c r="J264" i="58"/>
  <c r="J264" i="37"/>
  <c r="I209" i="58"/>
  <c r="I209" i="37"/>
  <c r="J372" i="37"/>
  <c r="J372" i="58"/>
  <c r="J125" i="37"/>
  <c r="J125" i="58"/>
  <c r="I125" i="58"/>
  <c r="I125" i="37"/>
  <c r="J220" i="58"/>
  <c r="J220" i="37"/>
  <c r="I264" i="37"/>
  <c r="I264" i="58"/>
  <c r="H212" i="37"/>
  <c r="H212" i="58"/>
  <c r="J177" i="58"/>
  <c r="J177" i="37"/>
  <c r="I205" i="58"/>
  <c r="I205" i="37"/>
  <c r="J217" i="37"/>
  <c r="J217" i="58"/>
  <c r="I150" i="37"/>
  <c r="I150" i="58"/>
  <c r="J273" i="58"/>
  <c r="J273" i="37"/>
  <c r="I344" i="58"/>
  <c r="I344" i="37"/>
  <c r="H171" i="58"/>
  <c r="H171" i="37"/>
  <c r="J120" i="37"/>
  <c r="J120" i="58"/>
  <c r="I174" i="37"/>
  <c r="I174" i="58"/>
  <c r="J312" i="58"/>
  <c r="J312" i="37"/>
  <c r="I258" i="58"/>
  <c r="I258" i="37"/>
  <c r="I176" i="37"/>
  <c r="I176" i="58"/>
  <c r="H281" i="37"/>
  <c r="H281" i="58"/>
  <c r="J323" i="37"/>
  <c r="J323" i="58"/>
  <c r="H244" i="37"/>
  <c r="H244" i="58"/>
  <c r="H182" i="37"/>
  <c r="H182" i="58"/>
  <c r="I388" i="58"/>
  <c r="I388" i="37"/>
  <c r="H364" i="58"/>
  <c r="H364" i="37"/>
  <c r="I397" i="37"/>
  <c r="I397" i="58"/>
  <c r="J130" i="58"/>
  <c r="J130" i="37"/>
  <c r="H257" i="58"/>
  <c r="H257" i="37"/>
  <c r="I200" i="58"/>
  <c r="I200" i="37"/>
  <c r="J232" i="58"/>
  <c r="J232" i="37"/>
  <c r="I280" i="37"/>
  <c r="I280" i="58"/>
  <c r="J296" i="58"/>
  <c r="J296" i="37"/>
  <c r="H205" i="58"/>
  <c r="H205" i="37"/>
  <c r="H394" i="37"/>
  <c r="H394" i="58"/>
  <c r="J315" i="58"/>
  <c r="J315" i="37"/>
  <c r="H194" i="37"/>
  <c r="H194" i="58"/>
  <c r="J376" i="37"/>
  <c r="J376" i="58"/>
  <c r="H274" i="58"/>
  <c r="H274" i="37"/>
  <c r="H220" i="58"/>
  <c r="H220" i="37"/>
  <c r="I260" i="58"/>
  <c r="I260" i="37"/>
  <c r="I154" i="58"/>
  <c r="I154" i="37"/>
  <c r="I197" i="37"/>
  <c r="I197" i="58"/>
  <c r="H169" i="58"/>
  <c r="H169" i="37"/>
  <c r="H322" i="37"/>
  <c r="H322" i="58"/>
  <c r="I148" i="58"/>
  <c r="I148" i="37"/>
  <c r="J302" i="58"/>
  <c r="J302" i="37"/>
  <c r="I239" i="37"/>
  <c r="I239" i="58"/>
  <c r="I160" i="37"/>
  <c r="I160" i="58"/>
  <c r="H141" i="58"/>
  <c r="H141" i="37"/>
  <c r="H337" i="37"/>
  <c r="H337" i="58"/>
  <c r="H401" i="37"/>
  <c r="H401" i="58"/>
  <c r="I265" i="37"/>
  <c r="I265" i="58"/>
  <c r="H341" i="37"/>
  <c r="H341" i="58"/>
  <c r="I303" i="58"/>
  <c r="I303" i="37"/>
  <c r="H148" i="37"/>
  <c r="H148" i="58"/>
  <c r="I385" i="37"/>
  <c r="I385" i="58"/>
  <c r="J219" i="58"/>
  <c r="J219" i="37"/>
  <c r="I181" i="58"/>
  <c r="I181" i="37"/>
  <c r="I307" i="58"/>
  <c r="I307" i="37"/>
  <c r="J175" i="37"/>
  <c r="J175" i="58"/>
  <c r="I276" i="37"/>
  <c r="I276" i="58"/>
  <c r="J44" i="41"/>
  <c r="I298" i="41"/>
  <c r="J49" i="41"/>
  <c r="C44" i="63"/>
  <c r="N127" i="66"/>
  <c r="J8" i="41"/>
  <c r="C25" i="63"/>
  <c r="Y237" i="66"/>
  <c r="Z237" i="66"/>
  <c r="Y93" i="66"/>
  <c r="Z93" i="66"/>
  <c r="O93" i="66"/>
  <c r="J11" i="41"/>
  <c r="J402" i="37"/>
  <c r="J403" i="37"/>
  <c r="F145" i="66" s="1"/>
  <c r="E364" i="38"/>
  <c r="K107" i="66" s="1"/>
  <c r="N107" i="66" s="1"/>
  <c r="J455" i="41"/>
  <c r="J403" i="58"/>
  <c r="F289" i="66" s="1"/>
  <c r="J402" i="58"/>
  <c r="F290" i="66" s="1"/>
  <c r="N290" i="66" s="1"/>
  <c r="J430" i="41"/>
  <c r="J57" i="41"/>
  <c r="J56" i="41"/>
  <c r="H404" i="41"/>
  <c r="F30" i="66"/>
  <c r="N30" i="66" s="1"/>
  <c r="I37" i="41"/>
  <c r="I230" i="41"/>
  <c r="I391" i="37"/>
  <c r="I391" i="58"/>
  <c r="J263" i="58"/>
  <c r="J263" i="37"/>
  <c r="H383" i="58"/>
  <c r="H383" i="37"/>
  <c r="H333" i="58"/>
  <c r="H333" i="37"/>
  <c r="I128" i="37"/>
  <c r="I128" i="58"/>
  <c r="I309" i="58"/>
  <c r="I309" i="37"/>
  <c r="H255" i="58"/>
  <c r="H255" i="37"/>
  <c r="J127" i="37"/>
  <c r="J127" i="58"/>
  <c r="I394" i="58"/>
  <c r="I394" i="37"/>
  <c r="J383" i="37"/>
  <c r="J383" i="58"/>
  <c r="H213" i="58"/>
  <c r="H213" i="37"/>
  <c r="I194" i="58"/>
  <c r="I194" i="37"/>
  <c r="H221" i="37"/>
  <c r="H221" i="58"/>
  <c r="I245" i="37"/>
  <c r="I245" i="58"/>
  <c r="H381" i="58"/>
  <c r="H381" i="37"/>
  <c r="I318" i="58"/>
  <c r="I318" i="37"/>
  <c r="I222" i="37"/>
  <c r="I222" i="58"/>
  <c r="J167" i="37"/>
  <c r="J167" i="58"/>
  <c r="H338" i="58"/>
  <c r="H338" i="37"/>
  <c r="H335" i="58"/>
  <c r="H335" i="37"/>
  <c r="H398" i="37"/>
  <c r="H398" i="58"/>
  <c r="J134" i="37"/>
  <c r="J134" i="58"/>
  <c r="I323" i="37"/>
  <c r="I323" i="58"/>
  <c r="I327" i="37"/>
  <c r="I327" i="58"/>
  <c r="I370" i="58"/>
  <c r="I370" i="37"/>
  <c r="J194" i="37"/>
  <c r="J194" i="58"/>
  <c r="J254" i="58"/>
  <c r="J254" i="37"/>
  <c r="H136" i="37"/>
  <c r="H136" i="58"/>
  <c r="H336" i="58"/>
  <c r="H336" i="37"/>
  <c r="I198" i="58"/>
  <c r="I198" i="37"/>
  <c r="I297" i="58"/>
  <c r="I297" i="37"/>
  <c r="I183" i="58"/>
  <c r="I183" i="37"/>
  <c r="J333" i="58"/>
  <c r="J333" i="37"/>
  <c r="H372" i="37"/>
  <c r="H372" i="58"/>
  <c r="I249" i="58"/>
  <c r="I249" i="37"/>
  <c r="J150" i="58"/>
  <c r="J150" i="37"/>
  <c r="I345" i="37"/>
  <c r="I345" i="58"/>
  <c r="I332" i="58"/>
  <c r="I332" i="37"/>
  <c r="I317" i="58"/>
  <c r="I317" i="37"/>
  <c r="J285" i="37"/>
  <c r="J285" i="58"/>
  <c r="I364" i="58"/>
  <c r="I364" i="37"/>
  <c r="H279" i="58"/>
  <c r="H279" i="37"/>
  <c r="I377" i="58"/>
  <c r="I377" i="37"/>
  <c r="H386" i="37"/>
  <c r="H386" i="58"/>
  <c r="H323" i="58"/>
  <c r="H323" i="37"/>
  <c r="I248" i="58"/>
  <c r="I248" i="37"/>
  <c r="H368" i="58"/>
  <c r="H368" i="37"/>
  <c r="H218" i="58"/>
  <c r="H218" i="37"/>
  <c r="I295" i="37"/>
  <c r="I295" i="58"/>
  <c r="H358" i="58"/>
  <c r="H358" i="37"/>
  <c r="H263" i="37"/>
  <c r="H263" i="58"/>
  <c r="J342" i="58"/>
  <c r="J342" i="37"/>
  <c r="J193" i="58"/>
  <c r="J193" i="37"/>
  <c r="J142" i="37"/>
  <c r="J142" i="58"/>
  <c r="H207" i="37"/>
  <c r="H207" i="58"/>
  <c r="H124" i="37"/>
  <c r="H124" i="58"/>
  <c r="J188" i="58"/>
  <c r="J188" i="37"/>
  <c r="I206" i="37"/>
  <c r="I206" i="58"/>
  <c r="J223" i="37"/>
  <c r="J223" i="58"/>
  <c r="J242" i="58"/>
  <c r="J242" i="37"/>
  <c r="H185" i="37"/>
  <c r="H185" i="58"/>
  <c r="H190" i="58"/>
  <c r="H190" i="37"/>
  <c r="I173" i="58"/>
  <c r="I173" i="37"/>
  <c r="I242" i="37"/>
  <c r="I242" i="58"/>
  <c r="J371" i="58"/>
  <c r="J371" i="37"/>
  <c r="J270" i="37"/>
  <c r="J270" i="58"/>
  <c r="I401" i="37"/>
  <c r="I401" i="58"/>
  <c r="J303" i="58"/>
  <c r="J303" i="37"/>
  <c r="J325" i="58"/>
  <c r="J325" i="37"/>
  <c r="I262" i="58"/>
  <c r="I262" i="37"/>
  <c r="I308" i="58"/>
  <c r="I308" i="37"/>
  <c r="H164" i="37"/>
  <c r="H164" i="58"/>
  <c r="G202" i="66"/>
  <c r="I429" i="58"/>
  <c r="I12" i="41"/>
  <c r="C52" i="63"/>
  <c r="H56" i="41"/>
  <c r="I431" i="41"/>
  <c r="M112" i="66"/>
  <c r="J468" i="37"/>
  <c r="J469" i="37"/>
  <c r="J470" i="37"/>
  <c r="J423" i="41"/>
  <c r="J17" i="41"/>
  <c r="J208" i="41"/>
  <c r="I404" i="37"/>
  <c r="I404" i="58"/>
  <c r="F222" i="66" s="1"/>
  <c r="N222" i="66" s="1"/>
  <c r="J41" i="41"/>
  <c r="H420" i="41"/>
  <c r="H318" i="37"/>
  <c r="H318" i="58"/>
  <c r="H153" i="37"/>
  <c r="H153" i="58"/>
  <c r="I146" i="58"/>
  <c r="I146" i="37"/>
  <c r="H193" i="58"/>
  <c r="H193" i="37"/>
  <c r="I399" i="58"/>
  <c r="I399" i="37"/>
  <c r="J168" i="58"/>
  <c r="J168" i="37"/>
  <c r="I360" i="58"/>
  <c r="I360" i="37"/>
  <c r="I246" i="58"/>
  <c r="I246" i="37"/>
  <c r="H259" i="58"/>
  <c r="H259" i="37"/>
  <c r="H172" i="37"/>
  <c r="H172" i="58"/>
  <c r="I263" i="58"/>
  <c r="I263" i="37"/>
  <c r="J350" i="37"/>
  <c r="J350" i="58"/>
  <c r="H241" i="37"/>
  <c r="H241" i="58"/>
  <c r="J246" i="58"/>
  <c r="J246" i="37"/>
  <c r="J331" i="37"/>
  <c r="J331" i="58"/>
  <c r="I253" i="58"/>
  <c r="I253" i="37"/>
  <c r="I172" i="58"/>
  <c r="I172" i="37"/>
  <c r="H329" i="37"/>
  <c r="H329" i="58"/>
  <c r="I241" i="37"/>
  <c r="I241" i="58"/>
  <c r="H206" i="58"/>
  <c r="H206" i="37"/>
  <c r="H210" i="58"/>
  <c r="H210" i="37"/>
  <c r="J358" i="58"/>
  <c r="J358" i="37"/>
  <c r="H246" i="37"/>
  <c r="H246" i="58"/>
  <c r="H302" i="37"/>
  <c r="H302" i="58"/>
  <c r="J148" i="58"/>
  <c r="J148" i="37"/>
  <c r="H268" i="58"/>
  <c r="H268" i="37"/>
  <c r="H125" i="58"/>
  <c r="H125" i="37"/>
  <c r="I123" i="58"/>
  <c r="I123" i="37"/>
  <c r="H273" i="37"/>
  <c r="H273" i="58"/>
  <c r="J171" i="37"/>
  <c r="J171" i="58"/>
  <c r="I300" i="58"/>
  <c r="I300" i="37"/>
  <c r="J198" i="58"/>
  <c r="J198" i="37"/>
  <c r="J336" i="37"/>
  <c r="J336" i="58"/>
  <c r="J209" i="37"/>
  <c r="J209" i="58"/>
  <c r="J237" i="58"/>
  <c r="J237" i="37"/>
  <c r="I195" i="37"/>
  <c r="I195" i="58"/>
  <c r="I378" i="58"/>
  <c r="I378" i="37"/>
  <c r="J205" i="37"/>
  <c r="J205" i="58"/>
  <c r="H156" i="37"/>
  <c r="H156" i="58"/>
  <c r="I192" i="37"/>
  <c r="I192" i="58"/>
  <c r="I136" i="37"/>
  <c r="I136" i="58"/>
  <c r="J231" i="58"/>
  <c r="J231" i="37"/>
  <c r="J301" i="37"/>
  <c r="J301" i="58"/>
  <c r="I133" i="37"/>
  <c r="I133" i="58"/>
  <c r="I132" i="37"/>
  <c r="I132" i="58"/>
  <c r="J245" i="58"/>
  <c r="J245" i="37"/>
  <c r="I314" i="58"/>
  <c r="I314" i="37"/>
  <c r="H308" i="37"/>
  <c r="H308" i="58"/>
  <c r="J353" i="58"/>
  <c r="J353" i="37"/>
  <c r="J389" i="58"/>
  <c r="J389" i="37"/>
  <c r="J160" i="58"/>
  <c r="J160" i="37"/>
  <c r="J251" i="37"/>
  <c r="J251" i="58"/>
  <c r="H233" i="58"/>
  <c r="H233" i="37"/>
  <c r="I275" i="37"/>
  <c r="I275" i="58"/>
  <c r="I383" i="37"/>
  <c r="I383" i="58"/>
  <c r="J215" i="37"/>
  <c r="J215" i="58"/>
  <c r="I236" i="58"/>
  <c r="I236" i="37"/>
  <c r="J238" i="58"/>
  <c r="J238" i="37"/>
  <c r="J269" i="58"/>
  <c r="J269" i="37"/>
  <c r="H174" i="58"/>
  <c r="H174" i="37"/>
  <c r="H160" i="37"/>
  <c r="H160" i="58"/>
  <c r="J395" i="58"/>
  <c r="J395" i="37"/>
  <c r="J250" i="37"/>
  <c r="J250" i="58"/>
  <c r="J210" i="37"/>
  <c r="J210" i="58"/>
  <c r="I167" i="37"/>
  <c r="I167" i="58"/>
  <c r="H317" i="58"/>
  <c r="H317" i="37"/>
  <c r="H320" i="58"/>
  <c r="H320" i="37"/>
  <c r="I358" i="37"/>
  <c r="I358" i="58"/>
  <c r="I250" i="37"/>
  <c r="I250" i="58"/>
  <c r="I254" i="58"/>
  <c r="I254" i="37"/>
  <c r="H310" i="58"/>
  <c r="H310" i="37"/>
  <c r="H183" i="37"/>
  <c r="H183" i="58"/>
  <c r="I342" i="58"/>
  <c r="I342" i="37"/>
  <c r="H248" i="37"/>
  <c r="H248" i="58"/>
  <c r="I122" i="58"/>
  <c r="I122" i="37"/>
  <c r="J346" i="37"/>
  <c r="J346" i="58"/>
  <c r="J281" i="58"/>
  <c r="J281" i="37"/>
  <c r="H301" i="37"/>
  <c r="H301" i="58"/>
  <c r="H211" i="58"/>
  <c r="H211" i="37"/>
  <c r="J352" i="58"/>
  <c r="J352" i="37"/>
  <c r="J191" i="37"/>
  <c r="J191" i="58"/>
  <c r="H373" i="37"/>
  <c r="H373" i="58"/>
  <c r="I315" i="58"/>
  <c r="I315" i="37"/>
  <c r="H272" i="58"/>
  <c r="H272" i="37"/>
  <c r="H277" i="58"/>
  <c r="H277" i="37"/>
  <c r="J159" i="37"/>
  <c r="J159" i="58"/>
  <c r="I285" i="37"/>
  <c r="I285" i="58"/>
  <c r="H261" i="58"/>
  <c r="H261" i="37"/>
  <c r="J129" i="58"/>
  <c r="J129" i="37"/>
  <c r="I171" i="58"/>
  <c r="I171" i="37"/>
  <c r="J309" i="58"/>
  <c r="J309" i="37"/>
  <c r="I282" i="58"/>
  <c r="I282" i="37"/>
  <c r="J195" i="37"/>
  <c r="J195" i="58"/>
  <c r="I156" i="37"/>
  <c r="I156" i="58"/>
  <c r="J180" i="37"/>
  <c r="J180" i="58"/>
  <c r="I168" i="37"/>
  <c r="I168" i="58"/>
  <c r="J320" i="37"/>
  <c r="J320" i="58"/>
  <c r="I336" i="58"/>
  <c r="I336" i="37"/>
  <c r="H324" i="37"/>
  <c r="H324" i="58"/>
  <c r="J192" i="37"/>
  <c r="J192" i="58"/>
  <c r="I221" i="37"/>
  <c r="I221" i="58"/>
  <c r="J332" i="37"/>
  <c r="J332" i="58"/>
  <c r="J136" i="58"/>
  <c r="J136" i="37"/>
  <c r="I165" i="58"/>
  <c r="I165" i="37"/>
  <c r="I333" i="37"/>
  <c r="I333" i="58"/>
  <c r="H378" i="37"/>
  <c r="H378" i="58"/>
  <c r="J216" i="37"/>
  <c r="J216" i="58"/>
  <c r="I304" i="58"/>
  <c r="I304" i="37"/>
  <c r="J381" i="37"/>
  <c r="J381" i="58"/>
  <c r="I288" i="58"/>
  <c r="I288" i="37"/>
  <c r="I120" i="58"/>
  <c r="I120" i="37"/>
  <c r="J243" i="58"/>
  <c r="J243" i="37"/>
  <c r="I143" i="58"/>
  <c r="I143" i="37"/>
  <c r="I218" i="58"/>
  <c r="I218" i="37"/>
  <c r="H126" i="58"/>
  <c r="H126" i="37"/>
  <c r="J268" i="58"/>
  <c r="J268" i="37"/>
  <c r="H150" i="58"/>
  <c r="H150" i="37"/>
  <c r="H303" i="37"/>
  <c r="H303" i="58"/>
  <c r="I190" i="37"/>
  <c r="I190" i="58"/>
  <c r="H289" i="37"/>
  <c r="H289" i="58"/>
  <c r="I158" i="37"/>
  <c r="I158" i="58"/>
  <c r="H216" i="37"/>
  <c r="H216" i="58"/>
  <c r="H355" i="58"/>
  <c r="H355" i="37"/>
  <c r="H247" i="58"/>
  <c r="H247" i="37"/>
  <c r="J248" i="58"/>
  <c r="J248" i="37"/>
  <c r="I169" i="37"/>
  <c r="I169" i="58"/>
  <c r="J185" i="58"/>
  <c r="J185" i="37"/>
  <c r="H249" i="58"/>
  <c r="H249" i="37"/>
  <c r="I215" i="58"/>
  <c r="I215" i="37"/>
  <c r="J247" i="58"/>
  <c r="J247" i="37"/>
  <c r="J293" i="58"/>
  <c r="J293" i="37"/>
  <c r="J310" i="37"/>
  <c r="J310" i="58"/>
  <c r="H186" i="58"/>
  <c r="H186" i="37"/>
  <c r="H361" i="37"/>
  <c r="H361" i="58"/>
  <c r="I290" i="58"/>
  <c r="I290" i="37"/>
  <c r="H265" i="37"/>
  <c r="H265" i="58"/>
  <c r="H151" i="58"/>
  <c r="H151" i="37"/>
  <c r="H266" i="37"/>
  <c r="H266" i="58"/>
  <c r="H201" i="37"/>
  <c r="H201" i="58"/>
  <c r="H154" i="37"/>
  <c r="H154" i="58"/>
  <c r="J277" i="37"/>
  <c r="J277" i="58"/>
  <c r="H260" i="58"/>
  <c r="H260" i="37"/>
  <c r="H293" i="37"/>
  <c r="H293" i="58"/>
  <c r="H184" i="58"/>
  <c r="H184" i="37"/>
  <c r="J400" i="37"/>
  <c r="J400" i="58"/>
  <c r="H187" i="58"/>
  <c r="H187" i="37"/>
  <c r="I126" i="58"/>
  <c r="I126" i="37"/>
  <c r="I392" i="58"/>
  <c r="I392" i="37"/>
  <c r="I240" i="37"/>
  <c r="I240" i="58"/>
  <c r="I219" i="37"/>
  <c r="I219" i="58"/>
  <c r="J373" i="37"/>
  <c r="J373" i="58"/>
  <c r="H294" i="58"/>
  <c r="H294" i="37"/>
  <c r="J157" i="37"/>
  <c r="J157" i="58"/>
  <c r="I390" i="37"/>
  <c r="I390" i="58"/>
  <c r="J308" i="58"/>
  <c r="J308" i="37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I157" i="41"/>
  <c r="J162" i="41"/>
  <c r="I50" i="41"/>
  <c r="I162" i="41"/>
  <c r="Y268" i="66"/>
  <c r="Y124" i="66"/>
  <c r="Z268" i="66"/>
  <c r="Z124" i="66"/>
  <c r="O237" i="66" l="1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F193" i="66"/>
  <c r="J206" i="41"/>
  <c r="I337" i="41"/>
  <c r="J246" i="41"/>
  <c r="D36" i="57"/>
  <c r="F110" i="66"/>
  <c r="N110" i="66" s="1"/>
  <c r="I127" i="58"/>
  <c r="I127" i="37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G5" i="53"/>
  <c r="H11" i="53"/>
  <c r="G11" i="53" s="1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Q57" i="66"/>
  <c r="R57" i="66" s="1"/>
  <c r="T57" i="66" s="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I402" i="41"/>
  <c r="F98" i="66"/>
  <c r="N98" i="66" s="1"/>
  <c r="J135" i="58"/>
  <c r="C49" i="63" s="1"/>
  <c r="J135" i="37"/>
  <c r="C22" i="63" s="1"/>
  <c r="I135" i="37"/>
  <c r="C13" i="63" s="1"/>
  <c r="I135" i="58"/>
  <c r="C40" i="63" s="1"/>
  <c r="H139" i="37"/>
  <c r="H139" i="58"/>
  <c r="H135" i="58"/>
  <c r="C31" i="63" s="1"/>
  <c r="H135" i="37"/>
  <c r="H143" i="37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E17" i="53"/>
  <c r="F17" i="53" s="1"/>
  <c r="H23" i="53" s="1"/>
  <c r="I403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Q219" i="66"/>
  <c r="R219" i="66" s="1"/>
  <c r="T219" i="66" s="1"/>
  <c r="F208" i="66"/>
  <c r="D57" i="57"/>
  <c r="Q75" i="66"/>
  <c r="R75" i="66" s="1"/>
  <c r="T75" i="66" s="1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37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E23" i="53"/>
  <c r="F23" i="53" s="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J139" i="37"/>
  <c r="C23" i="63" s="1"/>
  <c r="I219" i="41"/>
  <c r="I131" i="37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H402" i="41"/>
  <c r="F50" i="66"/>
  <c r="N50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I404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E29" i="53"/>
  <c r="F29" i="53" s="1"/>
  <c r="H35" i="53" s="1"/>
  <c r="J40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F49" i="66"/>
  <c r="H403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37"/>
  <c r="H127" i="58"/>
  <c r="F104" i="66"/>
  <c r="E44" i="39"/>
  <c r="E127" i="38" s="1"/>
  <c r="J470" i="41"/>
  <c r="E17" i="39" s="1"/>
  <c r="I390" i="41"/>
  <c r="J131" i="37"/>
  <c r="J131" i="58"/>
  <c r="H131" i="37"/>
  <c r="H131" i="58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I139" i="37"/>
  <c r="J143" i="37"/>
  <c r="J143" i="58"/>
  <c r="H294" i="41"/>
  <c r="I392" i="41"/>
  <c r="H184" i="41"/>
  <c r="H249" i="41"/>
  <c r="H247" i="41"/>
  <c r="J268" i="41"/>
  <c r="J243" i="41"/>
  <c r="I304" i="41"/>
  <c r="I165" i="41"/>
  <c r="F216" i="66"/>
  <c r="N216" i="66" s="1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J402" i="41"/>
  <c r="F146" i="66"/>
  <c r="N146" i="66" s="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E35" i="53"/>
  <c r="F35" i="53" s="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216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316" i="38" s="1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Y242" i="66"/>
  <c r="Y98" i="66"/>
  <c r="Z98" i="66"/>
  <c r="Z242" i="66"/>
  <c r="Q143" i="66"/>
  <c r="R143" i="66" s="1"/>
  <c r="T143" i="66" s="1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49" i="58"/>
  <c r="H127" i="41"/>
  <c r="C5" i="63"/>
  <c r="Z202" i="66"/>
  <c r="Z58" i="66"/>
  <c r="Y202" i="66"/>
  <c r="Y58" i="66"/>
  <c r="Z225" i="66"/>
  <c r="Z81" i="66"/>
  <c r="Y225" i="66"/>
  <c r="Y81" i="66"/>
  <c r="E287" i="38"/>
  <c r="E281" i="38"/>
  <c r="Y263" i="66"/>
  <c r="Z263" i="66"/>
  <c r="Z119" i="66"/>
  <c r="Y119" i="66"/>
  <c r="C48" i="39"/>
  <c r="E95" i="38" s="1"/>
  <c r="E398" i="38"/>
  <c r="H28" i="53"/>
  <c r="G28" i="53" s="1"/>
  <c r="G34" i="53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Y290" i="66"/>
  <c r="Z146" i="66"/>
  <c r="Z290" i="66"/>
  <c r="Y146" i="66"/>
  <c r="I442" i="37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F17" i="39" s="1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Z4" i="66"/>
  <c r="Y4" i="66"/>
  <c r="Y148" i="66"/>
  <c r="Z148" i="66"/>
  <c r="N134" i="66"/>
  <c r="Z50" i="66"/>
  <c r="Z194" i="66"/>
  <c r="Y194" i="66"/>
  <c r="Y50" i="66"/>
  <c r="I131" i="41"/>
  <c r="N9" i="41" s="1"/>
  <c r="C15" i="63"/>
  <c r="Z273" i="66"/>
  <c r="Y273" i="66"/>
  <c r="Y129" i="66"/>
  <c r="Z129" i="66"/>
  <c r="E399" i="38"/>
  <c r="I135" i="41"/>
  <c r="L47" i="39"/>
  <c r="E162" i="38" s="1"/>
  <c r="M47" i="39"/>
  <c r="E179" i="38" s="1"/>
  <c r="F87" i="66"/>
  <c r="N87" i="66" s="1"/>
  <c r="I471" i="41"/>
  <c r="E400" i="38"/>
  <c r="J429" i="41"/>
  <c r="Z72" i="66"/>
  <c r="Y72" i="66"/>
  <c r="H449" i="37"/>
  <c r="J8" i="66"/>
  <c r="N278" i="66"/>
  <c r="H29" i="53"/>
  <c r="G29" i="53" s="1"/>
  <c r="G35" i="53"/>
  <c r="Q285" i="66"/>
  <c r="R285" i="66" s="1"/>
  <c r="T285" i="66" s="1"/>
  <c r="J471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E9" i="53"/>
  <c r="F9" i="53" s="1"/>
  <c r="F184" i="66"/>
  <c r="I442" i="58"/>
  <c r="C32" i="63"/>
  <c r="Y66" i="66"/>
  <c r="Z66" i="66"/>
  <c r="Z210" i="66"/>
  <c r="Y210" i="66"/>
  <c r="Q105" i="66"/>
  <c r="R105" i="66" s="1"/>
  <c r="T105" i="66" s="1"/>
  <c r="E27" i="53"/>
  <c r="F27" i="53" s="1"/>
  <c r="H33" i="53" s="1"/>
  <c r="J472" i="41"/>
  <c r="F136" i="66"/>
  <c r="Q141" i="66"/>
  <c r="R141" i="66" s="1"/>
  <c r="T141" i="66" s="1"/>
  <c r="J139" i="41"/>
  <c r="O8" i="41" s="1"/>
  <c r="H17" i="53"/>
  <c r="G17" i="53" s="1"/>
  <c r="G23" i="53"/>
  <c r="Z24" i="66"/>
  <c r="Y24" i="66"/>
  <c r="Y168" i="66"/>
  <c r="Z168" i="66"/>
  <c r="E299" i="38"/>
  <c r="M193" i="66" s="1"/>
  <c r="E293" i="38"/>
  <c r="H472" i="41"/>
  <c r="E3" i="53"/>
  <c r="F3" i="53" s="1"/>
  <c r="H9" i="53" s="1"/>
  <c r="F40" i="66"/>
  <c r="C14" i="63"/>
  <c r="I127" i="41"/>
  <c r="Z216" i="66" l="1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E322" i="38"/>
  <c r="M226" i="66" s="1"/>
  <c r="M9" i="4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E315" i="38" s="1"/>
  <c r="Y182" i="66"/>
  <c r="H473" i="58"/>
  <c r="C37" i="63" s="1"/>
  <c r="H433" i="37"/>
  <c r="J473" i="58"/>
  <c r="I474" i="58"/>
  <c r="F228" i="66" s="1"/>
  <c r="I434" i="58"/>
  <c r="N8" i="41"/>
  <c r="J67" i="66"/>
  <c r="J112" i="66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I442" i="41"/>
  <c r="E286" i="38"/>
  <c r="E280" i="38"/>
  <c r="N29" i="66"/>
  <c r="R29" i="66"/>
  <c r="P29" i="66"/>
  <c r="S29" i="66"/>
  <c r="J25" i="66"/>
  <c r="H434" i="37"/>
  <c r="N152" i="66"/>
  <c r="R152" i="66"/>
  <c r="S152" i="66"/>
  <c r="P152" i="66"/>
  <c r="P16" i="66"/>
  <c r="R16" i="66"/>
  <c r="S16" i="66"/>
  <c r="F275" i="66"/>
  <c r="E414" i="38"/>
  <c r="J433" i="58"/>
  <c r="J259" i="66"/>
  <c r="D32" i="53"/>
  <c r="F32" i="53" s="1"/>
  <c r="H26" i="53" s="1"/>
  <c r="N221" i="66"/>
  <c r="P221" i="66"/>
  <c r="S221" i="66"/>
  <c r="J64" i="66"/>
  <c r="F22" i="39" s="1"/>
  <c r="I435" i="37"/>
  <c r="Y135" i="66"/>
  <c r="Y279" i="66"/>
  <c r="Z135" i="66"/>
  <c r="Z279" i="66"/>
  <c r="E341" i="38"/>
  <c r="E347" i="38"/>
  <c r="M289" i="66" s="1"/>
  <c r="Z87" i="66"/>
  <c r="Y231" i="66"/>
  <c r="Y87" i="66"/>
  <c r="Z231" i="66"/>
  <c r="N56" i="66"/>
  <c r="P56" i="66"/>
  <c r="S56" i="66"/>
  <c r="J89" i="66"/>
  <c r="F24" i="39" s="1"/>
  <c r="I443" i="37"/>
  <c r="N77" i="66"/>
  <c r="P77" i="66"/>
  <c r="S77" i="66"/>
  <c r="E292" i="38"/>
  <c r="E298" i="38"/>
  <c r="M178" i="66" s="1"/>
  <c r="K17" i="39"/>
  <c r="E304" i="38"/>
  <c r="E310" i="38"/>
  <c r="F227" i="66"/>
  <c r="E412" i="38"/>
  <c r="L193" i="66"/>
  <c r="E335" i="38"/>
  <c r="E329" i="38"/>
  <c r="J433" i="37"/>
  <c r="D26" i="53"/>
  <c r="F26" i="53" s="1"/>
  <c r="J115" i="66"/>
  <c r="I434" i="37"/>
  <c r="J73" i="66"/>
  <c r="F21" i="39" s="1"/>
  <c r="M8" i="41"/>
  <c r="J442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33" i="58"/>
  <c r="I433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74" i="37"/>
  <c r="J475" i="37"/>
  <c r="J473" i="37"/>
  <c r="J449" i="41"/>
  <c r="Q17" i="39"/>
  <c r="P29" i="39"/>
  <c r="Q29" i="39" s="1"/>
  <c r="E340" i="38"/>
  <c r="E346" i="38"/>
  <c r="M274" i="66" s="1"/>
  <c r="P256" i="66"/>
  <c r="S256" i="66"/>
  <c r="Z183" i="66"/>
  <c r="Y39" i="66"/>
  <c r="Y183" i="66"/>
  <c r="Z39" i="66"/>
  <c r="S208" i="66"/>
  <c r="P208" i="66"/>
  <c r="E317" i="38"/>
  <c r="E323" i="38"/>
  <c r="M241" i="66" s="1"/>
  <c r="E311" i="38"/>
  <c r="E305" i="38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E334" i="38"/>
  <c r="E328" i="38"/>
  <c r="L49" i="66"/>
  <c r="N160" i="66"/>
  <c r="O160" i="66" s="1"/>
  <c r="R160" i="66"/>
  <c r="S160" i="66"/>
  <c r="P160" i="66"/>
  <c r="N208" i="66"/>
  <c r="P265" i="66"/>
  <c r="S265" i="66"/>
  <c r="S233" i="66"/>
  <c r="P233" i="66"/>
  <c r="P248" i="66"/>
  <c r="S248" i="66"/>
  <c r="N281" i="66"/>
  <c r="O281" i="66" s="1"/>
  <c r="S281" i="66"/>
  <c r="P281" i="66"/>
  <c r="I475" i="37"/>
  <c r="I474" i="37"/>
  <c r="I473" i="37"/>
  <c r="L226" i="66"/>
  <c r="H475" i="37"/>
  <c r="H473" i="37"/>
  <c r="H474" i="37"/>
  <c r="M49" i="66"/>
  <c r="B20" i="8"/>
  <c r="N233" i="66"/>
  <c r="D8" i="53"/>
  <c r="F8" i="53" s="1"/>
  <c r="H2" i="53" s="1"/>
  <c r="H433" i="58"/>
  <c r="J163" i="66"/>
  <c r="G33" i="53"/>
  <c r="H27" i="53"/>
  <c r="G27" i="53" s="1"/>
  <c r="J434" i="41"/>
  <c r="S137" i="66"/>
  <c r="P137" i="66"/>
  <c r="H433" i="41" l="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T265" i="66" s="1"/>
  <c r="G21" i="39"/>
  <c r="N125" i="66"/>
  <c r="Z125" i="66" s="1"/>
  <c r="G23" i="39"/>
  <c r="J474" i="41"/>
  <c r="G2" i="53"/>
  <c r="E284" i="38" s="1"/>
  <c r="S125" i="66"/>
  <c r="P125" i="66"/>
  <c r="R173" i="66"/>
  <c r="J443" i="41"/>
  <c r="H475" i="41"/>
  <c r="E410" i="38"/>
  <c r="L179" i="66" s="1"/>
  <c r="G14" i="53"/>
  <c r="E308" i="38" s="1"/>
  <c r="E415" i="38"/>
  <c r="L276" i="66" s="1"/>
  <c r="P276" i="66" s="1"/>
  <c r="P269" i="66"/>
  <c r="S269" i="66"/>
  <c r="H435" i="41"/>
  <c r="P173" i="66"/>
  <c r="S173" i="66"/>
  <c r="P121" i="66"/>
  <c r="E413" i="38"/>
  <c r="S121" i="66"/>
  <c r="C38" i="63"/>
  <c r="C29" i="63"/>
  <c r="E321" i="38"/>
  <c r="M232" i="66" s="1"/>
  <c r="S112" i="66"/>
  <c r="P112" i="66"/>
  <c r="P41" i="66"/>
  <c r="O173" i="66"/>
  <c r="N112" i="66"/>
  <c r="O256" i="66" s="1"/>
  <c r="Q256" i="66" s="1"/>
  <c r="R256" i="66" s="1"/>
  <c r="T256" i="66" s="1"/>
  <c r="I443" i="41"/>
  <c r="C55" i="63"/>
  <c r="C47" i="63"/>
  <c r="T185" i="66"/>
  <c r="I434" i="41"/>
  <c r="R41" i="66"/>
  <c r="Z41" i="66"/>
  <c r="S41" i="66"/>
  <c r="Y185" i="66"/>
  <c r="Y41" i="66"/>
  <c r="O41" i="66"/>
  <c r="Z185" i="66"/>
  <c r="O200" i="66"/>
  <c r="I435" i="41"/>
  <c r="H434" i="41"/>
  <c r="Q185" i="66"/>
  <c r="T16" i="66"/>
  <c r="O137" i="66"/>
  <c r="T152" i="66"/>
  <c r="T169" i="66"/>
  <c r="Y137" i="66"/>
  <c r="G20" i="53"/>
  <c r="E320" i="38" s="1"/>
  <c r="M211" i="66" s="1"/>
  <c r="Z160" i="66"/>
  <c r="Y281" i="66"/>
  <c r="Q160" i="66"/>
  <c r="C19" i="8"/>
  <c r="M82" i="66"/>
  <c r="C19" i="63"/>
  <c r="I473" i="41"/>
  <c r="N3" i="41" s="1"/>
  <c r="C11" i="63"/>
  <c r="T160" i="66"/>
  <c r="E297" i="38"/>
  <c r="M184" i="66" s="1"/>
  <c r="E291" i="38"/>
  <c r="C28" i="63"/>
  <c r="J473" i="41"/>
  <c r="C20" i="63"/>
  <c r="Z281" i="66"/>
  <c r="T8" i="66"/>
  <c r="S73" i="66"/>
  <c r="P73" i="66"/>
  <c r="N73" i="66"/>
  <c r="O221" i="66"/>
  <c r="L275" i="66"/>
  <c r="P275" i="66" s="1"/>
  <c r="E407" i="38"/>
  <c r="F84" i="66"/>
  <c r="I474" i="41"/>
  <c r="L97" i="66"/>
  <c r="O16" i="66"/>
  <c r="F131" i="66"/>
  <c r="E408" i="38"/>
  <c r="J475" i="41"/>
  <c r="L145" i="66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M97" i="66"/>
  <c r="C20" i="8"/>
  <c r="Y16" i="66"/>
  <c r="F132" i="66"/>
  <c r="E409" i="38"/>
  <c r="Z8" i="66"/>
  <c r="Z152" i="66"/>
  <c r="Y8" i="66"/>
  <c r="O8" i="66"/>
  <c r="Y152" i="66"/>
  <c r="D20" i="8"/>
  <c r="M145" i="66"/>
  <c r="S259" i="66"/>
  <c r="G8" i="53"/>
  <c r="E405" i="38"/>
  <c r="F36" i="66"/>
  <c r="H474" i="41"/>
  <c r="N89" i="66"/>
  <c r="S89" i="66"/>
  <c r="P89" i="66"/>
  <c r="E339" i="38"/>
  <c r="E345" i="38"/>
  <c r="M280" i="66" s="1"/>
  <c r="Z16" i="66"/>
  <c r="L274" i="66"/>
  <c r="E303" i="38"/>
  <c r="E309" i="38"/>
  <c r="O248" i="66"/>
  <c r="S115" i="66"/>
  <c r="P193" i="66"/>
  <c r="R193" i="66"/>
  <c r="T193" i="66" s="1"/>
  <c r="N193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L241" i="66"/>
  <c r="Y160" i="66"/>
  <c r="H32" i="53"/>
  <c r="G32" i="53" s="1"/>
  <c r="G26" i="53"/>
  <c r="L178" i="66"/>
  <c r="M34" i="66"/>
  <c r="B19" i="8"/>
  <c r="S211" i="66"/>
  <c r="L232" i="66"/>
  <c r="C10" i="63"/>
  <c r="H473" i="41"/>
  <c r="C2" i="63"/>
  <c r="P226" i="66"/>
  <c r="N226" i="66"/>
  <c r="Q281" i="66"/>
  <c r="R281" i="66" s="1"/>
  <c r="T281" i="66" s="1"/>
  <c r="M130" i="66"/>
  <c r="D19" i="8"/>
  <c r="L180" i="66"/>
  <c r="N180" i="66" s="1"/>
  <c r="J29" i="39"/>
  <c r="J433" i="41"/>
  <c r="L289" i="66"/>
  <c r="P25" i="66"/>
  <c r="R25" i="66"/>
  <c r="S25" i="66"/>
  <c r="N25" i="66"/>
  <c r="E327" i="38"/>
  <c r="E333" i="38"/>
  <c r="P49" i="66"/>
  <c r="R49" i="66"/>
  <c r="T49" i="66" s="1"/>
  <c r="N49" i="66"/>
  <c r="E404" i="38"/>
  <c r="F35" i="66"/>
  <c r="L130" i="66"/>
  <c r="L29" i="39"/>
  <c r="E279" i="38"/>
  <c r="E285" i="38"/>
  <c r="Z137" i="66"/>
  <c r="Z56" i="66"/>
  <c r="Z200" i="66"/>
  <c r="O56" i="66"/>
  <c r="Y56" i="66"/>
  <c r="Y200" i="66"/>
  <c r="E302" i="38" l="1"/>
  <c r="Y125" i="66"/>
  <c r="Z121" i="66"/>
  <c r="O121" i="66"/>
  <c r="Q121" i="66" s="1"/>
  <c r="R121" i="66" s="1"/>
  <c r="T121" i="66" s="1"/>
  <c r="Y121" i="66"/>
  <c r="Z265" i="66"/>
  <c r="Y265" i="66"/>
  <c r="E278" i="38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E314" i="38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O193" i="66"/>
  <c r="R179" i="66"/>
  <c r="T179" i="66" s="1"/>
  <c r="P179" i="66"/>
  <c r="V179" i="66" s="1"/>
  <c r="X179" i="66" s="1"/>
  <c r="P145" i="66"/>
  <c r="N145" i="66"/>
  <c r="L19" i="66"/>
  <c r="M88" i="66"/>
  <c r="C18" i="8"/>
  <c r="Z49" i="66"/>
  <c r="Z193" i="66"/>
  <c r="Y49" i="66"/>
  <c r="O49" i="66"/>
  <c r="Y193" i="66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M19" i="66"/>
  <c r="R34" i="66"/>
  <c r="T34" i="66" s="1"/>
  <c r="P34" i="66"/>
  <c r="N34" i="66"/>
  <c r="M40" i="66"/>
  <c r="B18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P241" i="66"/>
  <c r="N241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P97" i="66"/>
  <c r="N97" i="66"/>
  <c r="Q56" i="66"/>
  <c r="R56" i="66" s="1"/>
  <c r="T56" i="66" s="1"/>
  <c r="N179" i="66"/>
  <c r="E326" i="38"/>
  <c r="E332" i="38"/>
  <c r="L83" i="66"/>
  <c r="P83" i="66" s="1"/>
  <c r="M67" i="66"/>
  <c r="F20" i="39" s="1"/>
  <c r="C17" i="8"/>
  <c r="P130" i="66"/>
  <c r="N130" i="66"/>
  <c r="M136" i="66"/>
  <c r="D18" i="8"/>
  <c r="P180" i="66"/>
  <c r="V180" i="66" s="1"/>
  <c r="X180" i="66" s="1"/>
  <c r="R180" i="66"/>
  <c r="T180" i="66" s="1"/>
  <c r="E338" i="38"/>
  <c r="E344" i="38"/>
  <c r="M259" i="66" s="1"/>
  <c r="O89" i="66"/>
  <c r="Z89" i="66"/>
  <c r="Y89" i="66"/>
  <c r="Y233" i="66"/>
  <c r="Z233" i="66"/>
  <c r="L184" i="66"/>
  <c r="L67" i="66"/>
  <c r="L136" i="66"/>
  <c r="P289" i="66"/>
  <c r="N289" i="66"/>
  <c r="P274" i="66"/>
  <c r="N274" i="66"/>
  <c r="E296" i="38"/>
  <c r="M163" i="66" s="1"/>
  <c r="E290" i="38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N228" i="66" l="1"/>
  <c r="Q217" i="66"/>
  <c r="R217" i="66" s="1"/>
  <c r="T217" i="66" s="1"/>
  <c r="O274" i="66"/>
  <c r="Q274" i="66" s="1"/>
  <c r="R274" i="66" s="1"/>
  <c r="T274" i="66" s="1"/>
  <c r="L211" i="66"/>
  <c r="P211" i="66" s="1"/>
  <c r="O289" i="66"/>
  <c r="O178" i="66"/>
  <c r="Q193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O241" i="66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Y145" i="66"/>
  <c r="Y289" i="66"/>
  <c r="O145" i="66"/>
  <c r="Z145" i="66"/>
  <c r="Z289" i="66"/>
  <c r="M115" i="66"/>
  <c r="G20" i="39" s="1"/>
  <c r="D17" i="8"/>
  <c r="O97" i="66"/>
  <c r="Z97" i="66"/>
  <c r="Y241" i="66"/>
  <c r="Y97" i="66"/>
  <c r="Z241" i="66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7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Q49" i="66"/>
  <c r="N19" i="66"/>
  <c r="P19" i="66"/>
  <c r="R19" i="66"/>
  <c r="T19" i="66" s="1"/>
  <c r="O228" i="66" l="1"/>
  <c r="V228" i="66" s="1"/>
  <c r="X228" i="66" s="1"/>
  <c r="N211" i="66"/>
  <c r="O211" i="66" s="1"/>
  <c r="Q289" i="66"/>
  <c r="R289" i="66" s="1"/>
  <c r="T289" i="66" s="1"/>
  <c r="Q178" i="66"/>
  <c r="O184" i="66"/>
  <c r="Q184" i="66" s="1"/>
  <c r="O280" i="66"/>
  <c r="P115" i="66"/>
  <c r="N115" i="66"/>
  <c r="Q97" i="66"/>
  <c r="R97" i="66" s="1"/>
  <c r="T97" i="66" s="1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Q241" i="66"/>
  <c r="R241" i="66" s="1"/>
  <c r="T241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45" i="66"/>
  <c r="R145" i="66" s="1"/>
  <c r="T145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O67" i="66"/>
  <c r="Y67" i="66"/>
  <c r="Z211" i="66"/>
  <c r="Q228" i="66" l="1"/>
  <c r="R228" i="66" s="1"/>
  <c r="T228" i="66" s="1"/>
  <c r="U228" i="66"/>
  <c r="U184" i="66"/>
  <c r="Q211" i="66"/>
  <c r="R211" i="66" s="1"/>
  <c r="T211" i="66" s="1"/>
  <c r="Y19" i="66"/>
  <c r="O259" i="66"/>
  <c r="Q163" i="66"/>
  <c r="Q67" i="66"/>
  <c r="R67" i="66" s="1"/>
  <c r="T67" i="66" s="1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J6" i="37"/>
  <c r="H6" i="58"/>
  <c r="H6" i="37"/>
  <c r="I6" i="58"/>
  <c r="I6" i="37"/>
  <c r="I6" i="41" l="1"/>
  <c r="D46" i="39" s="1"/>
  <c r="E108" i="38" s="1"/>
  <c r="F70" i="66"/>
  <c r="F214" i="66"/>
  <c r="L46" i="39"/>
  <c r="E159" i="38" s="1"/>
  <c r="H6" i="41"/>
  <c r="C46" i="39" s="1"/>
  <c r="E91" i="38" s="1"/>
  <c r="F22" i="66"/>
  <c r="F262" i="66"/>
  <c r="M46" i="39"/>
  <c r="E176" i="38" s="1"/>
  <c r="F166" i="66"/>
  <c r="J6" i="41"/>
  <c r="E46" i="39" s="1"/>
  <c r="E125" i="38" s="1"/>
  <c r="F118" i="66"/>
  <c r="F19" i="39" l="1"/>
  <c r="K46" i="39"/>
  <c r="E142" i="38" s="1"/>
  <c r="J166" i="66" s="1"/>
  <c r="N166" i="66" s="1"/>
  <c r="J118" i="66"/>
  <c r="N118" i="66" s="1"/>
  <c r="J445" i="37"/>
  <c r="J22" i="66"/>
  <c r="N22" i="66" s="1"/>
  <c r="H445" i="37"/>
  <c r="J214" i="66"/>
  <c r="I445" i="58"/>
  <c r="J70" i="66"/>
  <c r="N70" i="66" s="1"/>
  <c r="I445" i="37"/>
  <c r="J262" i="66"/>
  <c r="J445" i="58"/>
  <c r="G19" i="39" l="1"/>
  <c r="H445" i="58"/>
  <c r="H445" i="41" s="1"/>
  <c r="I445" i="41"/>
  <c r="I461" i="58"/>
  <c r="I461" i="37"/>
  <c r="P214" i="66"/>
  <c r="S214" i="66"/>
  <c r="P262" i="66"/>
  <c r="S262" i="66"/>
  <c r="H460" i="37"/>
  <c r="H460" i="58"/>
  <c r="I460" i="58"/>
  <c r="I460" i="37"/>
  <c r="J5" i="58"/>
  <c r="J5" i="37"/>
  <c r="H5" i="37"/>
  <c r="H5" i="58"/>
  <c r="N262" i="66"/>
  <c r="O262" i="66" s="1"/>
  <c r="R166" i="66"/>
  <c r="S166" i="66"/>
  <c r="P166" i="66"/>
  <c r="S22" i="66"/>
  <c r="R22" i="66"/>
  <c r="P22" i="66"/>
  <c r="I5" i="37"/>
  <c r="I5" i="58"/>
  <c r="N214" i="66"/>
  <c r="O214" i="66" s="1"/>
  <c r="P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J460" i="41" l="1"/>
  <c r="I460" i="41"/>
  <c r="T166" i="66"/>
  <c r="I461" i="41"/>
  <c r="H460" i="41"/>
  <c r="Q262" i="66"/>
  <c r="R262" i="66" s="1"/>
  <c r="T262" i="66" s="1"/>
  <c r="Q214" i="66"/>
  <c r="R214" i="66" s="1"/>
  <c r="T214" i="66" s="1"/>
  <c r="H459" i="37"/>
  <c r="H459" i="58"/>
  <c r="I462" i="37"/>
  <c r="I462" i="58"/>
  <c r="Y262" i="66"/>
  <c r="Z118" i="66"/>
  <c r="I459" i="37"/>
  <c r="I459" i="58"/>
  <c r="J462" i="37"/>
  <c r="J462" i="58"/>
  <c r="J5" i="41"/>
  <c r="M52" i="39" s="1"/>
  <c r="E184" i="38" s="1"/>
  <c r="F116" i="66"/>
  <c r="E30" i="53"/>
  <c r="O118" i="66"/>
  <c r="H461" i="37"/>
  <c r="H461" i="58"/>
  <c r="E36" i="53"/>
  <c r="F260" i="66"/>
  <c r="Z262" i="66"/>
  <c r="Q22" i="66"/>
  <c r="Y118" i="66"/>
  <c r="H462" i="37"/>
  <c r="H462" i="58"/>
  <c r="J461" i="37"/>
  <c r="J461" i="58"/>
  <c r="T22" i="66"/>
  <c r="J459" i="37"/>
  <c r="J459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E52" i="39" l="1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Q118" i="66"/>
  <c r="R118" i="66" s="1"/>
  <c r="T118" i="66" s="1"/>
  <c r="H459" i="41"/>
  <c r="H462" i="41"/>
  <c r="Q70" i="66"/>
  <c r="R70" i="66" s="1"/>
  <c r="T70" i="66" s="1"/>
  <c r="D36" i="53"/>
  <c r="F36" i="53" s="1"/>
  <c r="H30" i="53" s="1"/>
  <c r="J260" i="66"/>
  <c r="J448" i="58"/>
  <c r="D24" i="53"/>
  <c r="F24" i="53" s="1"/>
  <c r="H18" i="53" s="1"/>
  <c r="J212" i="66"/>
  <c r="I448" i="58"/>
  <c r="J462" i="41"/>
  <c r="J461" i="41"/>
  <c r="I459" i="41"/>
  <c r="I462" i="41"/>
  <c r="J448" i="37" l="1"/>
  <c r="J448" i="41" s="1"/>
  <c r="J116" i="66"/>
  <c r="I448" i="37"/>
  <c r="I448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48" i="37"/>
  <c r="H448" i="41" s="1"/>
  <c r="S260" i="66"/>
  <c r="S116" i="66" l="1"/>
  <c r="G18" i="53"/>
  <c r="E312" i="38" s="1"/>
  <c r="S20" i="66"/>
  <c r="H12" i="53"/>
  <c r="G12" i="53" s="1"/>
  <c r="G6" i="53"/>
  <c r="E342" i="38"/>
  <c r="E348" i="38"/>
  <c r="M260" i="66" s="1"/>
  <c r="E336" i="38"/>
  <c r="E330" i="38"/>
  <c r="E324" i="38"/>
  <c r="M212" i="66" s="1"/>
  <c r="E318" i="38"/>
  <c r="E306" i="38" l="1"/>
  <c r="I463" i="37" s="1"/>
  <c r="L260" i="66"/>
  <c r="J463" i="58"/>
  <c r="L212" i="66"/>
  <c r="I463" i="58"/>
  <c r="E282" i="38"/>
  <c r="E288" i="38"/>
  <c r="E294" i="38"/>
  <c r="E300" i="38"/>
  <c r="M164" i="66" s="1"/>
  <c r="M68" i="66"/>
  <c r="F25" i="39" s="1"/>
  <c r="C21" i="8"/>
  <c r="L116" i="66"/>
  <c r="J463" i="37"/>
  <c r="M116" i="66"/>
  <c r="G25" i="39" s="1"/>
  <c r="D21" i="8"/>
  <c r="L68" i="66" l="1"/>
  <c r="P68" i="66" s="1"/>
  <c r="J463" i="41"/>
  <c r="M20" i="66"/>
  <c r="B21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H463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V193" i="66"/>
  <c r="V49" i="66"/>
  <c r="U193" i="66"/>
  <c r="U49" i="66"/>
  <c r="V289" i="66"/>
  <c r="U241" i="66"/>
  <c r="V97" i="66"/>
  <c r="V241" i="66"/>
  <c r="U97" i="66"/>
  <c r="V145" i="66"/>
  <c r="U289" i="66"/>
  <c r="U145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X200" i="66" s="1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X260" i="66" s="1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X211" i="66" s="1"/>
  <c r="U163" i="66"/>
  <c r="U67" i="66"/>
  <c r="V67" i="66"/>
  <c r="V259" i="66"/>
  <c r="V115" i="66"/>
  <c r="U259" i="66"/>
  <c r="U115" i="66"/>
  <c r="U19" i="66"/>
  <c r="X68" i="66" l="1"/>
  <c r="X123" i="66"/>
  <c r="X284" i="66"/>
  <c r="X236" i="66"/>
  <c r="X285" i="66"/>
  <c r="X226" i="66"/>
  <c r="X22" i="66"/>
  <c r="X196" i="66"/>
  <c r="X265" i="66"/>
  <c r="X231" i="66"/>
  <c r="X89" i="66"/>
  <c r="X39" i="66"/>
  <c r="X255" i="66"/>
  <c r="X241" i="66"/>
  <c r="X287" i="66"/>
  <c r="X217" i="66"/>
  <c r="X31" i="66"/>
  <c r="X29" i="66"/>
  <c r="X104" i="66"/>
  <c r="X105" i="66"/>
  <c r="X107" i="66"/>
  <c r="X160" i="66"/>
  <c r="X127" i="66"/>
  <c r="X278" i="66"/>
  <c r="X289" i="66"/>
  <c r="X125" i="66"/>
  <c r="X27" i="66"/>
  <c r="X118" i="66"/>
  <c r="X120" i="66"/>
  <c r="X52" i="66"/>
  <c r="X82" i="66"/>
  <c r="X256" i="66"/>
  <c r="X271" i="66"/>
  <c r="X230" i="66"/>
  <c r="X49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93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145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X97" i="66"/>
  <c r="J4" i="37" l="1"/>
  <c r="J4" i="58"/>
  <c r="I4" i="37"/>
  <c r="I4" i="58"/>
  <c r="H4" i="37" l="1"/>
  <c r="H4" i="58"/>
  <c r="N4" i="58"/>
  <c r="F197" i="66"/>
  <c r="E25" i="53"/>
  <c r="L45" i="39"/>
  <c r="E19" i="53"/>
  <c r="I4" i="41"/>
  <c r="D45" i="39" s="1"/>
  <c r="F53" i="66"/>
  <c r="F245" i="66"/>
  <c r="E37" i="53"/>
  <c r="O4" i="58"/>
  <c r="M45" i="39"/>
  <c r="F101" i="66"/>
  <c r="J4" i="41"/>
  <c r="E45" i="39" s="1"/>
  <c r="E31" i="53"/>
  <c r="E107" i="38" l="1"/>
  <c r="D59" i="39"/>
  <c r="D60" i="39" s="1"/>
  <c r="D56" i="39"/>
  <c r="L59" i="39"/>
  <c r="L60" i="39" s="1"/>
  <c r="L56" i="39"/>
  <c r="E158" i="38"/>
  <c r="E59" i="39"/>
  <c r="E60" i="39" s="1"/>
  <c r="E124" i="38"/>
  <c r="E56" i="39"/>
  <c r="E13" i="53"/>
  <c r="F149" i="66"/>
  <c r="M4" i="58"/>
  <c r="M56" i="39"/>
  <c r="M59" i="39"/>
  <c r="M60" i="39" s="1"/>
  <c r="E175" i="38"/>
  <c r="F5" i="66"/>
  <c r="E7" i="53"/>
  <c r="H4" i="41"/>
  <c r="K45" i="39" s="1"/>
  <c r="C45" i="39"/>
  <c r="E58" i="39" l="1"/>
  <c r="E57" i="39"/>
  <c r="K59" i="39"/>
  <c r="K60" i="39" s="1"/>
  <c r="K56" i="39"/>
  <c r="E141" i="38"/>
  <c r="J197" i="66"/>
  <c r="I452" i="58"/>
  <c r="D25" i="53"/>
  <c r="F25" i="53" s="1"/>
  <c r="I444" i="58"/>
  <c r="D37" i="53"/>
  <c r="F37" i="53" s="1"/>
  <c r="J444" i="58"/>
  <c r="J245" i="66"/>
  <c r="J452" i="58"/>
  <c r="L58" i="39"/>
  <c r="L57" i="39"/>
  <c r="D31" i="53"/>
  <c r="F31" i="53" s="1"/>
  <c r="H37" i="53" s="1"/>
  <c r="J101" i="66"/>
  <c r="J452" i="37"/>
  <c r="J444" i="37"/>
  <c r="M58" i="39"/>
  <c r="M57" i="39"/>
  <c r="D57" i="39"/>
  <c r="D58" i="39"/>
  <c r="E90" i="38"/>
  <c r="C59" i="39"/>
  <c r="C60" i="39" s="1"/>
  <c r="C56" i="39"/>
  <c r="I452" i="37"/>
  <c r="D19" i="53"/>
  <c r="F19" i="53" s="1"/>
  <c r="H25" i="53" s="1"/>
  <c r="J53" i="66"/>
  <c r="I444" i="37"/>
  <c r="H444" i="37" l="1"/>
  <c r="D7" i="53"/>
  <c r="F7" i="53" s="1"/>
  <c r="H452" i="37"/>
  <c r="J5" i="66"/>
  <c r="W245" i="66"/>
  <c r="S245" i="66"/>
  <c r="G37" i="53"/>
  <c r="H31" i="53"/>
  <c r="G31" i="53" s="1"/>
  <c r="F246" i="66"/>
  <c r="J467" i="58"/>
  <c r="F198" i="66"/>
  <c r="I467" i="58"/>
  <c r="H19" i="53"/>
  <c r="G19" i="53" s="1"/>
  <c r="G25" i="53"/>
  <c r="I457" i="58"/>
  <c r="F199" i="66"/>
  <c r="W53" i="66"/>
  <c r="S53" i="66"/>
  <c r="W197" i="66"/>
  <c r="S197" i="66"/>
  <c r="H452" i="58"/>
  <c r="D13" i="53"/>
  <c r="F13" i="53" s="1"/>
  <c r="H7" i="53" s="1"/>
  <c r="J149" i="66"/>
  <c r="H444" i="58"/>
  <c r="I444" i="41"/>
  <c r="F54" i="66"/>
  <c r="I467" i="37"/>
  <c r="I457" i="37"/>
  <c r="I452" i="41"/>
  <c r="F55" i="66"/>
  <c r="K57" i="39"/>
  <c r="K58" i="39"/>
  <c r="C57" i="39"/>
  <c r="C58" i="39"/>
  <c r="F103" i="66"/>
  <c r="J457" i="37"/>
  <c r="J452" i="41"/>
  <c r="W101" i="66"/>
  <c r="S101" i="66"/>
  <c r="J444" i="41"/>
  <c r="F102" i="66"/>
  <c r="J467" i="37"/>
  <c r="J467" i="41" s="1"/>
  <c r="O3" i="41" s="1"/>
  <c r="F247" i="66"/>
  <c r="J457" i="58"/>
  <c r="L102" i="66" l="1"/>
  <c r="P102" i="66" s="1"/>
  <c r="E337" i="38"/>
  <c r="E331" i="38"/>
  <c r="J457" i="41"/>
  <c r="J458" i="37"/>
  <c r="E366" i="38"/>
  <c r="K103" i="66" s="1"/>
  <c r="N103" i="66" s="1"/>
  <c r="J458" i="58"/>
  <c r="E385" i="38" s="1"/>
  <c r="K266" i="66" s="1"/>
  <c r="N266" i="66" s="1"/>
  <c r="E384" i="38"/>
  <c r="K247" i="66" s="1"/>
  <c r="N247" i="66" s="1"/>
  <c r="L246" i="66"/>
  <c r="P246" i="66" s="1"/>
  <c r="N246" i="66"/>
  <c r="I467" i="41"/>
  <c r="E349" i="38"/>
  <c r="M245" i="66" s="1"/>
  <c r="E343" i="38"/>
  <c r="L198" i="66"/>
  <c r="P198" i="66" s="1"/>
  <c r="E360" i="38"/>
  <c r="K55" i="66" s="1"/>
  <c r="N55" i="66" s="1"/>
  <c r="I457" i="41"/>
  <c r="I458" i="37"/>
  <c r="L54" i="66"/>
  <c r="P54" i="66" s="1"/>
  <c r="N54" i="66"/>
  <c r="F150" i="66"/>
  <c r="H467" i="58"/>
  <c r="S149" i="66"/>
  <c r="W149" i="66"/>
  <c r="E378" i="38"/>
  <c r="K199" i="66" s="1"/>
  <c r="N199" i="66" s="1"/>
  <c r="I458" i="58"/>
  <c r="E379" i="38" s="1"/>
  <c r="K218" i="66" s="1"/>
  <c r="N218" i="66" s="1"/>
  <c r="E319" i="38"/>
  <c r="E325" i="38"/>
  <c r="M197" i="66" s="1"/>
  <c r="S5" i="66"/>
  <c r="W5" i="66"/>
  <c r="F151" i="66"/>
  <c r="H457" i="58"/>
  <c r="E313" i="38"/>
  <c r="E307" i="38"/>
  <c r="H452" i="41"/>
  <c r="H457" i="37"/>
  <c r="F7" i="66"/>
  <c r="G7" i="53"/>
  <c r="H13" i="53"/>
  <c r="G13" i="53" s="1"/>
  <c r="H467" i="37"/>
  <c r="H444" i="41"/>
  <c r="F6" i="66"/>
  <c r="O246" i="66" l="1"/>
  <c r="Q246" i="66" s="1"/>
  <c r="N102" i="66"/>
  <c r="N198" i="66"/>
  <c r="H467" i="41"/>
  <c r="M3" i="41" s="1"/>
  <c r="L6" i="66"/>
  <c r="P6" i="66" s="1"/>
  <c r="V6" i="66" s="1"/>
  <c r="X6" i="66" s="1"/>
  <c r="E301" i="38"/>
  <c r="M149" i="66" s="1"/>
  <c r="E295" i="38"/>
  <c r="L150" i="66"/>
  <c r="P150" i="66" s="1"/>
  <c r="V150" i="66" s="1"/>
  <c r="X150" i="66" s="1"/>
  <c r="Z103" i="66"/>
  <c r="Y247" i="66"/>
  <c r="Z247" i="66"/>
  <c r="Y103" i="66"/>
  <c r="E289" i="38"/>
  <c r="E283" i="38"/>
  <c r="O198" i="66"/>
  <c r="O54" i="66"/>
  <c r="Z198" i="66"/>
  <c r="Y198" i="66"/>
  <c r="Z54" i="66"/>
  <c r="Y54" i="66"/>
  <c r="J458" i="41"/>
  <c r="E367" i="38"/>
  <c r="K122" i="66" s="1"/>
  <c r="N122" i="66" s="1"/>
  <c r="Y55" i="66"/>
  <c r="Z199" i="66"/>
  <c r="Z55" i="66"/>
  <c r="Y199" i="66"/>
  <c r="L53" i="66"/>
  <c r="I464" i="37"/>
  <c r="M53" i="66"/>
  <c r="F18" i="39" s="1"/>
  <c r="C22" i="8"/>
  <c r="J464" i="37"/>
  <c r="L101" i="66"/>
  <c r="E372" i="38"/>
  <c r="K151" i="66" s="1"/>
  <c r="N151" i="66" s="1"/>
  <c r="H458" i="58"/>
  <c r="E373" i="38" s="1"/>
  <c r="K170" i="66" s="1"/>
  <c r="N170" i="66" s="1"/>
  <c r="D22" i="8"/>
  <c r="M101" i="66"/>
  <c r="G18" i="39" s="1"/>
  <c r="H457" i="41"/>
  <c r="H458" i="37"/>
  <c r="E354" i="38"/>
  <c r="K7" i="66" s="1"/>
  <c r="N7" i="66" s="1"/>
  <c r="L197" i="66"/>
  <c r="I464" i="58"/>
  <c r="J464" i="58"/>
  <c r="L245" i="66"/>
  <c r="O102" i="66"/>
  <c r="Z102" i="66"/>
  <c r="Y102" i="66"/>
  <c r="Y246" i="66"/>
  <c r="Z246" i="66"/>
  <c r="I458" i="41"/>
  <c r="E361" i="38"/>
  <c r="K74" i="66" s="1"/>
  <c r="N74" i="66" s="1"/>
  <c r="V246" i="66" l="1"/>
  <c r="X246" i="66" s="1"/>
  <c r="U246" i="66"/>
  <c r="N6" i="66"/>
  <c r="U102" i="66"/>
  <c r="Q102" i="66"/>
  <c r="V102" i="66"/>
  <c r="X102" i="66" s="1"/>
  <c r="N101" i="66"/>
  <c r="P101" i="66"/>
  <c r="N150" i="66"/>
  <c r="O150" i="66" s="1"/>
  <c r="P245" i="66"/>
  <c r="N245" i="66"/>
  <c r="O245" i="66" s="1"/>
  <c r="J464" i="41"/>
  <c r="Z266" i="66"/>
  <c r="Y122" i="66"/>
  <c r="Y266" i="66"/>
  <c r="Z122" i="66"/>
  <c r="H464" i="58"/>
  <c r="L149" i="66"/>
  <c r="N197" i="66"/>
  <c r="P197" i="66"/>
  <c r="I464" i="41"/>
  <c r="Q54" i="66"/>
  <c r="V54" i="66"/>
  <c r="X54" i="66" s="1"/>
  <c r="U54" i="66"/>
  <c r="Z151" i="66"/>
  <c r="Y151" i="66"/>
  <c r="Z7" i="66"/>
  <c r="Y7" i="66"/>
  <c r="N53" i="66"/>
  <c r="P53" i="66"/>
  <c r="V198" i="66"/>
  <c r="X198" i="66" s="1"/>
  <c r="U198" i="66"/>
  <c r="Q198" i="66"/>
  <c r="H458" i="41"/>
  <c r="E355" i="38"/>
  <c r="K26" i="66" s="1"/>
  <c r="N26" i="66" s="1"/>
  <c r="L5" i="66"/>
  <c r="H464" i="37"/>
  <c r="H464" i="41" s="1"/>
  <c r="Z74" i="66"/>
  <c r="Z218" i="66"/>
  <c r="Y218" i="66"/>
  <c r="Y74" i="66"/>
  <c r="B22" i="8"/>
  <c r="M5" i="66"/>
  <c r="Y6" i="66"/>
  <c r="O6" i="66"/>
  <c r="Z6" i="66"/>
  <c r="Z150" i="66"/>
  <c r="Y150" i="66"/>
  <c r="P5" i="66" l="1"/>
  <c r="V5" i="66" s="1"/>
  <c r="X5" i="66" s="1"/>
  <c r="R5" i="66"/>
  <c r="T5" i="66" s="1"/>
  <c r="N5" i="66"/>
  <c r="V245" i="66"/>
  <c r="X245" i="66" s="1"/>
  <c r="Q245" i="66"/>
  <c r="R245" i="66" s="1"/>
  <c r="T245" i="66" s="1"/>
  <c r="U245" i="66"/>
  <c r="Y170" i="66"/>
  <c r="Z170" i="66"/>
  <c r="Y26" i="66"/>
  <c r="Z26" i="66"/>
  <c r="Q150" i="66"/>
  <c r="U150" i="66"/>
  <c r="U6" i="66"/>
  <c r="Q6" i="66"/>
  <c r="O197" i="66"/>
  <c r="Z101" i="66"/>
  <c r="O101" i="66"/>
  <c r="Y245" i="66"/>
  <c r="Y101" i="66"/>
  <c r="Z245" i="66"/>
  <c r="R149" i="66"/>
  <c r="T149" i="66" s="1"/>
  <c r="P149" i="66"/>
  <c r="V149" i="66" s="1"/>
  <c r="X149" i="66" s="1"/>
  <c r="N149" i="66"/>
  <c r="O149" i="66" s="1"/>
  <c r="Z197" i="66"/>
  <c r="Y53" i="66"/>
  <c r="O53" i="66"/>
  <c r="Y197" i="66"/>
  <c r="Z53" i="66"/>
  <c r="U149" i="66" l="1"/>
  <c r="Q149" i="66"/>
  <c r="U101" i="66"/>
  <c r="Q101" i="66"/>
  <c r="R101" i="66" s="1"/>
  <c r="T101" i="66" s="1"/>
  <c r="V101" i="66"/>
  <c r="X101" i="66" s="1"/>
  <c r="V197" i="66"/>
  <c r="X197" i="66" s="1"/>
  <c r="Q197" i="66"/>
  <c r="R197" i="66" s="1"/>
  <c r="T197" i="66" s="1"/>
  <c r="U197" i="66"/>
  <c r="O5" i="66"/>
  <c r="Z149" i="66"/>
  <c r="Y5" i="66"/>
  <c r="Y149" i="66"/>
  <c r="Z5" i="66"/>
  <c r="U53" i="66"/>
  <c r="Q53" i="66"/>
  <c r="R53" i="66" s="1"/>
  <c r="T53" i="66" s="1"/>
  <c r="V53" i="66"/>
  <c r="X53" i="66" s="1"/>
  <c r="Q5" i="66" l="1"/>
  <c r="U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<sst xmlns="http://schemas.openxmlformats.org/spreadsheetml/2006/main" count="4029" uniqueCount="339">
  <si>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</si>
  <si>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</si>
  <si>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</si>
  <si>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</si>
  <si>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</si>
  <si>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</si>
  <si>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</si>
  <si>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</si>
  <si>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</si>
  <si>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</si>
  <si>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</si>
  <si>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</si>
  <si>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</si>
  <si>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</si>
  <si>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</si>
  <si>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</si>
  <si>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</si>
  <si>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</si>
  <si>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</si>
  <si>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</si>
  <si>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</si>
  <si>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</si>
  <si>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</si>
  <si>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</si>
  <si>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</si>
  <si>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</si>
  <si>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</si>
  <si>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</si>
  <si>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</si>
  <si>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</si>
  <si>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</si>
  <si>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</si>
  <si>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</si>
  <si>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</si>
  <si>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</si>
  <si>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</si>
  <si>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</si>
  <si>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</si>
  <si>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</si>
  <si>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</si>
  <si>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</si>
  <si>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</si>
  <si>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</si>
  <si>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</si>
  <si>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</si>
  <si>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</si>
  <si>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</si>
  <si>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</si>
  <si>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</si>
  <si>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</si>
  <si>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</si>
  <si>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</si>
  <si>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</si>
  <si>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</si>
  <si>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</si>
  <si>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</si>
  <si>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</si>
  <si>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</si>
  <si>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</si>
  <si>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</si>
  <si>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</si>
  <si>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</si>
  <si>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</si>
  <si>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</si>
  <si>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</si>
  <si>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</si>
  <si>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</si>
  <si>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</si>
  <si>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</si>
  <si>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</si>
  <si>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</si>
  <si>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</si>
  <si>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</si>
  <si>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</si>
  <si>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</si>
  <si>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</si>
  <si>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</si>
  <si>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</si>
  <si>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</si>
  <si>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</si>
  <si>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</si>
  <si>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</si>
  <si>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</si>
  <si>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</si>
  <si>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</si>
  <si>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</si>
  <si>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</si>
  <si>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</si>
  <si>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</si>
  <si>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</si>
  <si>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</si>
  <si>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</si>
  <si>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</si>
  <si>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</si>
  <si>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</si>
  <si>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</si>
  <si>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</si>
  <si>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</si>
  <si>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</si>
  <si>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</si>
  <si>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</si>
  <si>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</si>
  <si>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</si>
  <si>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</si>
  <si>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</si>
  <si>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</si>
  <si>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</si>
  <si>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</si>
  <si>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</si>
  <si>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</si>
  <si>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</si>
  <si>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</si>
  <si>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</si>
  <si>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</si>
  <si>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</si>
  <si>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</si>
  <si>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</si>
  <si>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</si>
  <si>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</si>
  <si>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</si>
  <si>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</si>
  <si>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</si>
  <si>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</si>
  <si>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</si>
  <si>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</si>
  <si>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</si>
  <si>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</si>
  <si>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</si>
  <si>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</si>
  <si>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</si>
  <si>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</si>
  <si>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</si>
  <si>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</si>
  <si>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</si>
  <si>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</si>
  <si>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</si>
  <si>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</si>
  <si>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</si>
  <si>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</si>
  <si>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</si>
  <si>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</si>
  <si>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</si>
  <si>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</si>
  <si>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</si>
  <si>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</si>
  <si>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</si>
  <si>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</si>
  <si>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</si>
  <si>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</si>
  <si>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</si>
  <si>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</si>
  <si>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</si>
  <si>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</si>
  <si>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</si>
  <si>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</si>
  <si>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</si>
  <si>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</si>
  <si>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</si>
  <si>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</si>
  <si>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</si>
  <si>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</si>
  <si>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</si>
  <si>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</si>
  <si>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</si>
  <si>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</si>
  <si>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</si>
  <si>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</si>
  <si>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</si>
  <si>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</si>
  <si>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</si>
  <si>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</si>
  <si>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</si>
  <si>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</si>
  <si>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</si>
  <si>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</si>
  <si>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</si>
  <si>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</si>
  <si>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Produktion af træ til materialer og til energi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</si>
  <si>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</si>
  <si>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</si>
  <si>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</si>
  <si>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</si>
  <si>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</si>
  <si>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</si>
  <si>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</si>
  <si>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</si>
  <si>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</si>
  <si>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</si>
  <si>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</si>
  <si>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</si>
  <si>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</si>
  <si>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</si>
  <si>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</si>
  <si>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</si>
  <si>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</si>
  <si>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</si>
  <si>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</si>
  <si>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</si>
  <si>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</si>
  <si>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</si>
  <si>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</si>
  <si>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</si>
  <si>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</si>
  <si>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</si>
  <si>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</si>
  <si>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</si>
  <si>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</si>
  <si>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</si>
  <si>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</si>
  <si>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</si>
  <si>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</si>
  <si>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</si>
  <si>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</si>
  <si>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</si>
  <si>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</si>
  <si>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</si>
  <si>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</si>
  <si>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</si>
  <si>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</si>
  <si>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</si>
  <si>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</si>
  <si>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</si>
  <si>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</si>
  <si>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</si>
  <si>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</si>
  <si>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</si>
  <si>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</si>
  <si>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</si>
  <si>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</si>
  <si>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</si>
  <si>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</si>
  <si>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</si>
  <si>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</si>
  <si>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</si>
  <si>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</si>
  <si>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</si>
  <si>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</si>
  <si>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</si>
  <si>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</si>
  <si>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</si>
  <si>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</si>
  <si>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</si>
  <si>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</si>
  <si>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</si>
  <si>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</si>
  <si>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</si>
  <si>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</si>
  <si>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</si>
  <si>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</si>
  <si>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</si>
  <si>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</si>
  <si>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</si>
  <si>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</si>
  <si>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</si>
  <si>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</si>
  <si>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</si>
  <si>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</si>
  <si>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</si>
  <si>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</si>
  <si>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</si>
  <si>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</si>
  <si>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</si>
  <si>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</si>
  <si>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</si>
  <si>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</si>
  <si>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</si>
  <si>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</si>
  <si>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</si>
  <si>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</si>
  <si>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</si>
  <si>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</si>
  <si>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</si>
  <si>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</si>
  <si>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</si>
  <si>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</si>
  <si>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</si>
  <si>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</si>
  <si>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</si>
  <si>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</si>
  <si>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</si>
  <si>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</si>
  <si>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</si>
  <si>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</si>
  <si>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</si>
  <si>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</si>
  <si>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</si>
  <si>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</si>
  <si>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</si>
  <si>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</si>
  <si>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</si>
  <si>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</si>
  <si>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</si>
  <si>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</si>
  <si>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</si>
  <si>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</si>
  <si>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</si>
  <si>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</si>
  <si>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</si>
  <si>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</si>
  <si>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</si>
  <si>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</si>
  <si>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</si>
  <si>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</si>
  <si>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</si>
  <si>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</si>
  <si>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</si>
  <si>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</si>
  <si>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</si>
  <si>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</si>
  <si>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</si>
  <si>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</si>
  <si>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</si>
  <si>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</si>
  <si>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</si>
  <si>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</si>
  <si>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</si>
  <si>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</si>
  <si>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</si>
  <si>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</si>
  <si>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</si>
  <si>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</si>
  <si>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</si>
  <si>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</si>
  <si>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</si>
  <si>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</si>
  <si>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</si>
  <si>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</si>
  <si>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</si>
  <si>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</si>
  <si>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</si>
  <si>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</si>
  <si>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</si>
  <si>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</si>
  <si>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</si>
  <si>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</si>
  <si>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</si>
  <si>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</si>
  <si>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</si>
  <si>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Biomasse-scenariet fra MFVM-projekt minus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</si>
</sst>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75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9" xfId="0" applyFill="1" applyBorder="1"/>
    <xf numFmtId="9" fontId="0" fillId="4" borderId="19" xfId="2" applyFont="1" applyFill="1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19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2440169.9999999995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685100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8714081.1908516288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-1707739.728033402</c:v>
                </c:pt>
                <c:pt idx="2">
                  <c:v>-2227605.1235059141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-452792.62348796544</c:v>
                </c:pt>
                <c:pt idx="2">
                  <c:v>-440421.41166719497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11073393.997208262</c:v>
                </c:pt>
                <c:pt idx="2">
                  <c:v>10394060.267736506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74183.803587131348</c:v>
                </c:pt>
                <c:pt idx="2">
                  <c:v>72275.665119207741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4853.1770030289581</c:v>
                </c:pt>
                <c:pt idx="2">
                  <c:v>4728.1172142829364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614009.9839605958</c:v>
                </c:pt>
                <c:pt idx="2">
                  <c:v>598548.38396059559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12260.644279007083</c:v>
                </c:pt>
                <c:pt idx="2">
                  <c:v>11939.949346977701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18194.810700511243</c:v>
                </c:pt>
                <c:pt idx="2">
                  <c:v>17727.455506089249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52970.654930914927</c:v>
                </c:pt>
                <c:pt idx="2">
                  <c:v>51621.782251781951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966609.27748625283</c:v>
                </c:pt>
                <c:pt idx="2">
                  <c:v>941813.22356629348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162670.5326839725</c:v>
                </c:pt>
                <c:pt idx="2">
                  <c:v>158496.56058649404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43656.858578083113</c:v>
                </c:pt>
                <c:pt idx="2">
                  <c:v>42549.988492615776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108216.1106595821</c:v>
                </c:pt>
                <c:pt idx="2">
                  <c:v>105423.80184271638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78362.46663239249</c:v>
                </c:pt>
                <c:pt idx="2">
                  <c:v>76300.904828300088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257867.80103200703</c:v>
                </c:pt>
                <c:pt idx="2">
                  <c:v>253508.19426480078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7716.8760454422081</c:v>
                </c:pt>
                <c:pt idx="2">
                  <c:v>7537.157461474726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99823.678331425646</c:v>
                </c:pt>
                <c:pt idx="2">
                  <c:v>97335.327401064031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69.758330664378917</c:v>
                </c:pt>
                <c:pt idx="2">
                  <c:v>73.848115778678817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28.962611400416186</c:v>
                </c:pt>
                <c:pt idx="2">
                  <c:v>28.064830771630888</c:v>
                </c:pt>
                <c:pt idx="3">
                  <c:v>0.45076703431999998</c:v>
                </c:pt>
                <c:pt idx="4">
                  <c:v>0.45076703432000009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1.8022896540956554</c:v>
                </c:pt>
                <c:pt idx="2">
                  <c:v>1.8757909752103661</c:v>
                </c:pt>
                <c:pt idx="3">
                  <c:v>5.0922829580050024</c:v>
                </c:pt>
                <c:pt idx="4">
                  <c:v>13.01893247752329</c:v>
                </c:pt>
                <c:pt idx="5">
                  <c:v>12.818126714593753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5.5346783341970225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45.11802212469226</c:v>
                </c:pt>
                <c:pt idx="2">
                  <c:v>45.173390358640965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8994119.2792498432</c:v>
                </c:pt>
                <c:pt idx="2">
                  <c:v>9509886.3491595574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2480244.4196938737</c:v>
                </c:pt>
                <c:pt idx="2">
                  <c:v>2411885.668744409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1997088.5670408159</c:v>
                </c:pt>
                <c:pt idx="2">
                  <c:v>1983562.5093156029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1497777.1733240632</c:v>
                </c:pt>
                <c:pt idx="2">
                  <c:v>1498433.9529448485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6510.908203702802</c:v>
                </c:pt>
                <c:pt idx="2">
                  <c:v>6723.8136862927022</c:v>
                </c:pt>
                <c:pt idx="15">
                  <c:v>3362.8500000000004</c:v>
                </c:pt>
                <c:pt idx="16">
                  <c:v>547.74307110515622</c:v>
                </c:pt>
                <c:pt idx="17">
                  <c:v>565.65416725954469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2420027.9136025696</c:v>
                </c:pt>
                <c:pt idx="11">
                  <c:v>2269183.119763054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10012525.836481437</c:v>
                </c:pt>
                <c:pt idx="2">
                  <c:v>9821205.2946832664</c:v>
                </c:pt>
                <c:pt idx="15">
                  <c:v>6423924.8458333323</c:v>
                </c:pt>
                <c:pt idx="16">
                  <c:v>737033.15185210551</c:v>
                </c:pt>
                <c:pt idx="17">
                  <c:v>722949.83419196249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494167.70841044851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12426575.77002522</c:v>
                </c:pt>
                <c:pt idx="2">
                  <c:v>11896912.23063612</c:v>
                </c:pt>
                <c:pt idx="15">
                  <c:v>14742130.666666664</c:v>
                </c:pt>
                <c:pt idx="16">
                  <c:v>1380730.6411139129</c:v>
                </c:pt>
                <c:pt idx="17">
                  <c:v>1321879.1367373462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202349.63153877269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2863430.3661416383</c:v>
                </c:pt>
                <c:pt idx="11">
                  <c:v>2859899.9612931921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158133.66669134353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23057912.630213477</c:v>
                </c:pt>
                <c:pt idx="17">
                  <c:v>22424260.40765525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1125633.7412362914</c:v>
                </c:pt>
                <c:pt idx="17">
                  <c:v>1068746.8498663581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45-47C1-9EE1-58708F97A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236197.68983003267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1108490.5539925825</c:v>
                </c:pt>
                <c:pt idx="1">
                  <c:v>1125633.7412362914</c:v>
                </c:pt>
                <c:pt idx="2">
                  <c:v>1068746.8498663581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458817.74928054027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232958.9113036553</c:v>
                </c:pt>
                <c:pt idx="2">
                  <c:v>240593.49413246571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2840877.0171293938</c:v>
                </c:pt>
                <c:pt idx="2">
                  <c:v>2973720.9739199379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1502781.1107008122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25246455.421058252</c:v>
                </c:pt>
                <c:pt idx="2">
                  <c:v>26659475.31868159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2114999.9774601497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1153235.9133280301</c:v>
                </c:pt>
                <c:pt idx="2">
                  <c:v>1346330.5062768157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2222801.0578479809</c:v>
                </c:pt>
                <c:pt idx="2">
                  <c:v>2513965.6315076901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5647725.4199956926</c:v>
                </c:pt>
                <c:pt idx="2">
                  <c:v>5811586.052382024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792440.79236345144</c:v>
                </c:pt>
                <c:pt idx="2">
                  <c:v>871392.37125140009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375469.71886805235</c:v>
                </c:pt>
                <c:pt idx="2">
                  <c:v>368295.19855062116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175.69117375071085</c:v>
                </c:pt>
                <c:pt idx="2">
                  <c:v>181.43624232853313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949345.99548394862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1362725.53997907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558-400D-BF8D-21AF5E59CD2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48708.38860179724</c:v>
                </c:pt>
                <c:pt idx="2">
                  <c:v>54781.553730615735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2440169.9999999995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685100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8714081.1908516288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-1707739.728033402</c:v>
                </c:pt>
                <c:pt idx="2">
                  <c:v>-2227605.1235059141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-452792.62348796544</c:v>
                </c:pt>
                <c:pt idx="2">
                  <c:v>-440421.41166719497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11073393.997208262</c:v>
                </c:pt>
                <c:pt idx="2">
                  <c:v>10394060.267736506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74183.803587131348</c:v>
                </c:pt>
                <c:pt idx="2">
                  <c:v>72275.665119207741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4853.1770030289581</c:v>
                </c:pt>
                <c:pt idx="2">
                  <c:v>4728.1172142829364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614009.9839605958</c:v>
                </c:pt>
                <c:pt idx="2">
                  <c:v>598548.38396059559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12260.644279007083</c:v>
                </c:pt>
                <c:pt idx="2">
                  <c:v>11939.949346977701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18194.810700511243</c:v>
                </c:pt>
                <c:pt idx="2">
                  <c:v>17727.455506089249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52970.654930914927</c:v>
                </c:pt>
                <c:pt idx="2">
                  <c:v>51621.782251781951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966609.27748625283</c:v>
                </c:pt>
                <c:pt idx="2">
                  <c:v>941813.22356629348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162670.5326839725</c:v>
                </c:pt>
                <c:pt idx="2">
                  <c:v>158496.56058649404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43656.858578083113</c:v>
                </c:pt>
                <c:pt idx="2">
                  <c:v>42549.988492615776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108216.1106595821</c:v>
                </c:pt>
                <c:pt idx="2">
                  <c:v>105423.80184271638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78362.46663239249</c:v>
                </c:pt>
                <c:pt idx="2">
                  <c:v>76300.904828300088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257867.80103200703</c:v>
                </c:pt>
                <c:pt idx="2">
                  <c:v>253508.19426480078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7716.8760454422081</c:v>
                </c:pt>
                <c:pt idx="2">
                  <c:v>7537.157461474726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99823.678331425646</c:v>
                </c:pt>
                <c:pt idx="2">
                  <c:v>97335.327401064031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9597731.076909367</c:v>
                </c:pt>
                <c:pt idx="2">
                  <c:v>9238493.3130771164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1002383.4251010446</c:v>
                </c:pt>
                <c:pt idx="2">
                  <c:v>953433.53878271766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15770289.144075628</c:v>
                </c:pt>
                <c:pt idx="2">
                  <c:v>15029002.18033967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552772.32309063291</c:v>
                </c:pt>
                <c:pt idx="2">
                  <c:v>912010.08692288375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210555.77489895534</c:v>
                </c:pt>
                <c:pt idx="2">
                  <c:v>259505.66121728224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3034725.0559243709</c:v>
                </c:pt>
                <c:pt idx="2">
                  <c:v>3776012.0196603313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290890.985086801</c:v>
                </c:pt>
                <c:pt idx="2">
                  <c:v>298525.56791561138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1502781.1107008122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41859.546279410672</c:v>
                </c:pt>
                <c:pt idx="2">
                  <c:v>42956.187062954959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36323938.809274264</c:v>
                </c:pt>
                <c:pt idx="2">
                  <c:v>37736958.706897601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284025.61835988262</c:v>
                </c:pt>
                <c:pt idx="2">
                  <c:v>289344.48560341762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949345.99548394862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2294255.2711495673</c:v>
                </c:pt>
                <c:pt idx="2">
                  <c:v>2355323.2838141397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6989859.2435773909</c:v>
                </c:pt>
                <c:pt idx="2">
                  <c:v>7206505.523105517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7633952.6959113814</c:v>
                </c:pt>
                <c:pt idx="2">
                  <c:v>7925117.269571091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1362725.53997907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196559.60980685451</c:v>
                </c:pt>
                <c:pt idx="2">
                  <c:v>202349.63153877269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482021.37815281149</c:v>
                </c:pt>
                <c:pt idx="2">
                  <c:v>494167.70841044851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6431901.2155842176</c:v>
                </c:pt>
                <c:pt idx="2">
                  <c:v>6595761.847970549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[Biomassescenariem20.xlsm]Produkt skovbrug!PivotTable3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2863430.3661416383</c:v>
                </c:pt>
                <c:pt idx="2">
                  <c:v>2859899.9612931921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792440.79236345144</c:v>
                </c:pt>
                <c:pt idx="2">
                  <c:v>871392.37125140009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Skovbrug!$A$48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Skovbrug!$B$48:$G$48</c:f>
              <c:numCache>
                <c:formatCode>General</c:formatCode>
                <c:ptCount val="6"/>
                <c:pt idx="0">
                  <c:v>434670</c:v>
                </c:pt>
                <c:pt idx="1">
                  <c:v>411351.94520750927</c:v>
                </c:pt>
                <c:pt idx="2">
                  <c:v>372113.28071606322</c:v>
                </c:pt>
                <c:pt idx="3">
                  <c:v>127230</c:v>
                </c:pt>
                <c:pt idx="4">
                  <c:v>120404.69318966437</c:v>
                </c:pt>
                <c:pt idx="5">
                  <c:v>108919.34733362029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D0-476F-847A-93E15E510130}"/>
            </c:ext>
          </c:extLst>
        </c:ser>
        <c:ser>
          <c:idx val="1"/>
          <c:order val="1"/>
          <c:tx>
            <c:strRef>
              <c:f>Skovbrug!$A$49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Skovbrug!$B$49:$G$49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Skovbrug!$B$50:$G$50</c:f>
              <c:numCache>
                <c:formatCode>General</c:formatCode>
                <c:ptCount val="6"/>
                <c:pt idx="0">
                  <c:v>0</c:v>
                </c:pt>
                <c:pt idx="1">
                  <c:v>78924.795388364349</c:v>
                </c:pt>
                <c:pt idx="2">
                  <c:v>173770.20047568402</c:v>
                </c:pt>
                <c:pt idx="3">
                  <c:v>0</c:v>
                </c:pt>
                <c:pt idx="4">
                  <c:v>12818.566214461987</c:v>
                </c:pt>
                <c:pt idx="5">
                  <c:v>30297.171474632443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Skovbrug!$B$51:$G$51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Skovbrug!$B$52:$G$52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Skovbrug!$B$53:$G$53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232958.9113036553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240593.49413246571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6510.908203702802</c:v>
                </c:pt>
                <c:pt idx="2">
                  <c:v>6723.8136862927022</c:v>
                </c:pt>
                <c:pt idx="15">
                  <c:v>3362.8500000000004</c:v>
                </c:pt>
                <c:pt idx="16">
                  <c:v>547.74307110515622</c:v>
                </c:pt>
                <c:pt idx="17">
                  <c:v>565.65416725954469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2420027.9136025696</c:v>
                </c:pt>
                <c:pt idx="11">
                  <c:v>2269183.119763054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10012525.836481437</c:v>
                </c:pt>
                <c:pt idx="2">
                  <c:v>9821205.2946832664</c:v>
                </c:pt>
                <c:pt idx="15">
                  <c:v>6423924.8458333323</c:v>
                </c:pt>
                <c:pt idx="16">
                  <c:v>737033.15185210551</c:v>
                </c:pt>
                <c:pt idx="17">
                  <c:v>722949.83419196249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494167.70841044851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12426575.77002522</c:v>
                </c:pt>
                <c:pt idx="2">
                  <c:v>11896912.23063612</c:v>
                </c:pt>
                <c:pt idx="15">
                  <c:v>14742130.666666664</c:v>
                </c:pt>
                <c:pt idx="16">
                  <c:v>1380730.6411139129</c:v>
                </c:pt>
                <c:pt idx="17">
                  <c:v>1321879.1367373462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202349.63153877269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2863430.3661416383</c:v>
                </c:pt>
                <c:pt idx="11">
                  <c:v>2859899.9612931921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158133.66669134353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23057912.630213477</c:v>
                </c:pt>
                <c:pt idx="17">
                  <c:v>22424260.40765525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1125633.7412362914</c:v>
                </c:pt>
                <c:pt idx="17">
                  <c:v>1068746.8498663581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236197.68983003267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1108490.5539925825</c:v>
                </c:pt>
                <c:pt idx="1">
                  <c:v>1125633.7412362914</c:v>
                </c:pt>
                <c:pt idx="2">
                  <c:v>1068746.8498663581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458817.74928054027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232958.9113036553</c:v>
                </c:pt>
                <c:pt idx="2">
                  <c:v>240593.49413246571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2840877.0171293938</c:v>
                </c:pt>
                <c:pt idx="2">
                  <c:v>2973720.9739199379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1502781.1107008122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25246455.421058252</c:v>
                </c:pt>
                <c:pt idx="2">
                  <c:v>26659475.31868159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2114999.9774601497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1153235.9133280301</c:v>
                </c:pt>
                <c:pt idx="2">
                  <c:v>1346330.5062768157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2222801.0578479809</c:v>
                </c:pt>
                <c:pt idx="2">
                  <c:v>2513965.6315076901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5647725.4199956926</c:v>
                </c:pt>
                <c:pt idx="2">
                  <c:v>5811586.052382024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792440.79236345144</c:v>
                </c:pt>
                <c:pt idx="2">
                  <c:v>871392.37125140009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375469.71886805235</c:v>
                </c:pt>
                <c:pt idx="2">
                  <c:v>368295.19855062116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175.69117375071085</c:v>
                </c:pt>
                <c:pt idx="2">
                  <c:v>181.43624232853313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949345.99548394862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1362725.53997907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C8CE-422F-9AF3-6B6B61CDDA40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48708.38860179724</c:v>
                </c:pt>
                <c:pt idx="2">
                  <c:v>54781.553730615735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69.758330664378917</c:v>
                </c:pt>
                <c:pt idx="2">
                  <c:v>73.848115778678817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28.962611400416186</c:v>
                </c:pt>
                <c:pt idx="2">
                  <c:v>28.064830771630888</c:v>
                </c:pt>
                <c:pt idx="3">
                  <c:v>0.45076703431999998</c:v>
                </c:pt>
                <c:pt idx="4">
                  <c:v>0.45076703432000009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1.8022896540956554</c:v>
                </c:pt>
                <c:pt idx="2">
                  <c:v>1.8757909752103661</c:v>
                </c:pt>
                <c:pt idx="3">
                  <c:v>5.0922829580050024</c:v>
                </c:pt>
                <c:pt idx="4">
                  <c:v>13.01893247752329</c:v>
                </c:pt>
                <c:pt idx="5">
                  <c:v>12.818126714593753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5.5346783341970225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45.11802212469226</c:v>
                </c:pt>
                <c:pt idx="2">
                  <c:v>45.173390358640965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8994119.2792498432</c:v>
                </c:pt>
                <c:pt idx="2">
                  <c:v>9509886.3491595574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2480244.4196938737</c:v>
                </c:pt>
                <c:pt idx="2">
                  <c:v>2411885.668744409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1997088.5670408159</c:v>
                </c:pt>
                <c:pt idx="2">
                  <c:v>1983562.5093156029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1497777.1733240632</c:v>
                </c:pt>
                <c:pt idx="2">
                  <c:v>1498433.9529448485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26</xdr:row>
      <xdr:rowOff>171449</xdr:rowOff>
    </xdr:from>
    <xdr:to>
      <xdr:col>16</xdr:col>
      <xdr:colOff>47625</xdr:colOff>
      <xdr:row>44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600074</xdr:colOff>
      <xdr:row>27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DK-BioRes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285648147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3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9633758.549006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285763886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28599537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754.2866982633659" maxValue="29404263.9839439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286226855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50433498519592468" maxValue="853064.00210361299"/>
    </cacheField>
    <cacheField name="Udbytte, hovedafgrøde" numFmtId="0">
      <sharedItems containsSemiMixedTypes="0" containsString="0" containsNumber="1" minValue="8.3510308523667174" maxValue="19304136.803821374"/>
    </cacheField>
    <cacheField name="Halmudbytte" numFmtId="0">
      <sharedItems containsSemiMixedTypes="0" containsString="0" containsNumber="1" minValue="0" maxValue="2056610.6420093102"/>
    </cacheField>
    <cacheField name="Potentielt til bioenergi" numFmtId="1">
      <sharedItems containsSemiMixedTypes="0" containsString="0" containsNumber="1" minValue="3.7694768510062779" maxValue="19304136.8038213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286458332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5656960.6347570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0853879.88663437"/>
    </cacheField>
    <cacheField name="Gødning" numFmtId="3">
      <sharedItems containsSemiMixedTypes="0" containsString="0" containsNumber="1" minValue="0" maxValue="19633758.54900625"/>
    </cacheField>
    <cacheField name="Energi" numFmtId="3">
      <sharedItems containsSemiMixedTypes="0" containsString="0" containsNumber="1" minValue="0" maxValue="505656960.63475704"/>
    </cacheField>
    <cacheField name="Materialer og processer" numFmtId="3">
      <sharedItems containsSemiMixedTypes="0" containsString="0" containsNumber="1" minValue="0" maxValue="484833.6848947219"/>
    </cacheField>
    <cacheField name="Produktion minus forbrug [ton]" numFmtId="3">
      <sharedItems containsSemiMixedTypes="0" containsString="0" containsNumber="1" minValue="-4828427.5390456235" maxValue="19547353.387803037"/>
    </cacheField>
    <cacheField name="Potentiale til energi [ton]" numFmtId="3">
      <sharedItems containsSemiMixedTypes="0" containsString="0" containsNumber="1" minValue="0" maxValue="19547353.387803037"/>
    </cacheField>
    <cacheField name="Forbrug energi [ton/m3]" numFmtId="3">
      <sharedItems containsSemiMixedTypes="0" containsString="0" containsNumber="1" minValue="0" maxValue="505656960.63475704"/>
    </cacheField>
    <cacheField name="Potentiale til energi [PJ]" numFmtId="0">
      <sharedItems containsSemiMixedTypes="0" containsString="0" containsNumber="1" minValue="0" maxValue="35.964686814384116"/>
    </cacheField>
    <cacheField name="Forbrug/potentiale [PJ]" numFmtId="0">
      <sharedItems containsSemiMixedTypes="0" containsString="0" containsNumber="1" minValue="0" maxValue="36.08751442002157"/>
    </cacheField>
    <cacheField name="Biogasproduktion [PJ]" numFmtId="0">
      <sharedItems containsSemiMixedTypes="0" containsString="0" containsNumber="1" minValue="0" maxValue="4.7319236642239648"/>
    </cacheField>
    <cacheField name="Biomasser til energi eksl. biogas [PJ]" numFmtId="0">
      <sharedItems containsSemiMixedTypes="0" containsString="0" containsNumber="1" minValue="0" maxValue="35.964686814384116"/>
    </cacheField>
    <cacheField name="Potentiale til energi [Ton TS]" numFmtId="0">
      <sharedItems containsSemiMixedTypes="0" containsString="0" containsNumber="1" minValue="0" maxValue="5473258.9485848509"/>
    </cacheField>
    <cacheField name="Forbrug/potentiale [Ton TS]" numFmtId="0">
      <sharedItems containsSemiMixedTypes="0" containsString="0" containsNumber="1" minValue="0" maxValue="5491951.3758304445"/>
    </cacheField>
    <cacheField name="Biogasproduktion [Ton TS]" numFmtId="0">
      <sharedItems containsSemiMixedTypes="0" containsString="0" containsNumber="1" minValue="0" maxValue="710456.94004429423"/>
    </cacheField>
    <cacheField name="Biomasser til energi eksl. biogas [Ton TS]" numFmtId="0">
      <sharedItems containsSemiMixedTypes="0" containsString="0" containsNumber="1" minValue="0" maxValue="5473258.9485848509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286574071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5656960.6347570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0853879.88663437"/>
    </cacheField>
    <cacheField name="Gødning" numFmtId="3">
      <sharedItems containsSemiMixedTypes="0" containsString="0" containsNumber="1" minValue="0" maxValue="19633758.54900625"/>
    </cacheField>
    <cacheField name="Energi" numFmtId="3">
      <sharedItems containsSemiMixedTypes="0" containsString="0" containsNumber="1" minValue="0" maxValue="505656960.63475704"/>
    </cacheField>
    <cacheField name="Materialer og processer" numFmtId="3">
      <sharedItems containsSemiMixedTypes="0" containsString="0" containsNumber="1" minValue="0" maxValue="484833.6848947219"/>
    </cacheField>
    <cacheField name="Produktion minus forbrug [ton]" numFmtId="3">
      <sharedItems containsSemiMixedTypes="0" containsString="0" containsNumber="1" minValue="-4828427.5390456235" maxValue="19547353.387803037"/>
    </cacheField>
    <cacheField name="Potentiale til energi [ton]" numFmtId="3">
      <sharedItems containsSemiMixedTypes="0" containsString="0" containsNumber="1" minValue="0" maxValue="19547353.387803037"/>
    </cacheField>
    <cacheField name="Forbrug energi [ton/m3]" numFmtId="3">
      <sharedItems containsSemiMixedTypes="0" containsString="0" containsNumber="1" minValue="0" maxValue="505656960.63475704"/>
    </cacheField>
    <cacheField name="Potentiale til energi [PJ]" numFmtId="0">
      <sharedItems containsSemiMixedTypes="0" containsString="0" containsNumber="1" minValue="0" maxValue="35.964686814384116"/>
    </cacheField>
    <cacheField name="Forbrug/potentiale [PJ]" numFmtId="0">
      <sharedItems containsSemiMixedTypes="0" containsString="0" containsNumber="1" minValue="0" maxValue="36.08751442002157"/>
    </cacheField>
    <cacheField name="Biogasproduktion [PJ]" numFmtId="0">
      <sharedItems containsSemiMixedTypes="0" containsString="0" containsNumber="1" minValue="0" maxValue="4.7319236642239648"/>
    </cacheField>
    <cacheField name="Biomasser til energi eksl. biogas [PJ]" numFmtId="0">
      <sharedItems containsSemiMixedTypes="0" containsString="0" containsNumber="1" minValue="0" maxValue="35.964686814384116"/>
    </cacheField>
    <cacheField name="Potentiale til energi [Ton TS]" numFmtId="0">
      <sharedItems containsSemiMixedTypes="0" containsString="0" containsNumber="1" minValue="0" maxValue="5473258.9485848509"/>
    </cacheField>
    <cacheField name="Forbrug/potentiale [Ton TS]" numFmtId="0">
      <sharedItems containsSemiMixedTypes="0" containsString="0" containsNumber="1" minValue="0" maxValue="5491951.3758304445"/>
    </cacheField>
    <cacheField name="Biogasproduktion [Ton TS]" numFmtId="0">
      <sharedItems containsSemiMixedTypes="0" containsString="0" containsNumber="1" minValue="0" maxValue="710456.94004429423"/>
    </cacheField>
    <cacheField name="Biomasser til energi eksl. biogas [Ton TS]" numFmtId="0">
      <sharedItems containsSemiMixedTypes="0" containsString="0" containsNumber="1" minValue="0" maxValue="5473258.9485848509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28703704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849222.4776918571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287152779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5656960.6347570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0853879.88663437"/>
    </cacheField>
    <cacheField name="Gødning" numFmtId="3">
      <sharedItems containsSemiMixedTypes="0" containsString="0" containsNumber="1" minValue="0" maxValue="19633758.54900625"/>
    </cacheField>
    <cacheField name="Energi" numFmtId="3">
      <sharedItems containsSemiMixedTypes="0" containsString="0" containsNumber="1" minValue="0" maxValue="505656960.63475704"/>
    </cacheField>
    <cacheField name="Materialer og processer" numFmtId="3">
      <sharedItems containsSemiMixedTypes="0" containsString="0" containsNumber="1" minValue="0" maxValue="484833.6848947219"/>
    </cacheField>
    <cacheField name="Produktion minus forbrug [ton]" numFmtId="3">
      <sharedItems containsSemiMixedTypes="0" containsString="0" containsNumber="1" minValue="-4828427.5390456235" maxValue="19547353.387803037"/>
    </cacheField>
    <cacheField name="Potentiale til energi [ton]" numFmtId="3">
      <sharedItems containsSemiMixedTypes="0" containsString="0" containsNumber="1" minValue="0" maxValue="19547353.387803037"/>
    </cacheField>
    <cacheField name="Forbrug energi [ton/m3]" numFmtId="3">
      <sharedItems containsSemiMixedTypes="0" containsString="0" containsNumber="1" minValue="0" maxValue="505656960.63475704"/>
    </cacheField>
    <cacheField name="Potentiale til energi [PJ]" numFmtId="0">
      <sharedItems containsSemiMixedTypes="0" containsString="0" containsNumber="1" minValue="0" maxValue="35.964686814384116"/>
    </cacheField>
    <cacheField name="Forbrug/potentiale [PJ]" numFmtId="0">
      <sharedItems containsSemiMixedTypes="0" containsString="0" containsNumber="1" minValue="0" maxValue="36.08751442002157"/>
    </cacheField>
    <cacheField name="Biogasproduktion [PJ]" numFmtId="0">
      <sharedItems containsSemiMixedTypes="0" containsString="0" containsNumber="1" minValue="0" maxValue="4.7319236642239648"/>
    </cacheField>
    <cacheField name="Biomasser til energi eksl. biogas [PJ]" numFmtId="0">
      <sharedItems containsSemiMixedTypes="0" containsString="0" containsNumber="1" minValue="0" maxValue="35.964686814384116"/>
    </cacheField>
    <cacheField name="Potentiale til energi [Ton TS]" numFmtId="0">
      <sharedItems containsSemiMixedTypes="0" containsString="0" containsNumber="1" minValue="0" maxValue="5473258.9485848509"/>
    </cacheField>
    <cacheField name="Forbrug/potentiale [Ton TS]" numFmtId="0">
      <sharedItems containsSemiMixedTypes="0" containsString="0" containsNumber="1" minValue="0" maxValue="5491951.3758304445"/>
    </cacheField>
    <cacheField name="Biogasproduktion [Ton TS]" numFmtId="0">
      <sharedItems containsSemiMixedTypes="0" containsString="0" containsNumber="1" minValue="0" maxValue="710456.94004429423"/>
    </cacheField>
    <cacheField name="Biomasser til energi eksl. biogas [Ton TS]" numFmtId="0">
      <sharedItems containsSemiMixedTypes="0" containsString="0" containsNumber="1" minValue="0" maxValue="5473258.94858485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0853879.88663437"/>
  </r>
  <r>
    <x v="1"/>
    <s v="Vestdanmark"/>
    <x v="15"/>
    <x v="1"/>
    <n v="9348117.6321617663"/>
  </r>
  <r>
    <x v="1"/>
    <s v="Vestdanmark"/>
    <x v="16"/>
    <x v="1"/>
    <n v="6006.7628175927466"/>
  </r>
  <r>
    <x v="1"/>
    <s v="Vestdanmark"/>
    <x v="17"/>
    <x v="1"/>
    <n v="1497865.6247316466"/>
  </r>
  <r>
    <x v="1"/>
    <s v="Vestdanmark"/>
    <x v="18"/>
    <x v="1"/>
    <n v="195082.24112879002"/>
  </r>
  <r>
    <x v="1"/>
    <s v="Vestdanmark"/>
    <x v="19"/>
    <x v="1"/>
    <n v="508461.98144503916"/>
  </r>
  <r>
    <x v="1"/>
    <s v="Vestdanmark"/>
    <x v="20"/>
    <x v="1"/>
    <n v="1061170.3273835385"/>
  </r>
  <r>
    <x v="1"/>
    <s v="Vestdanmark"/>
    <x v="21"/>
    <x v="1"/>
    <n v="0"/>
  </r>
  <r>
    <x v="1"/>
    <s v="Vestdanmark"/>
    <x v="22"/>
    <x v="1"/>
    <n v="56757.88331613881"/>
  </r>
  <r>
    <x v="1"/>
    <s v="Vestdanmark"/>
    <x v="0"/>
    <x v="1"/>
    <n v="2914.9101192356643"/>
  </r>
  <r>
    <x v="1"/>
    <s v="Vestdanmark"/>
    <x v="23"/>
    <x v="1"/>
    <n v="67006.096493213583"/>
  </r>
  <r>
    <x v="1"/>
    <s v="Vestdanmark"/>
    <x v="24"/>
    <x v="1"/>
    <n v="255215.75389295255"/>
  </r>
  <r>
    <x v="1"/>
    <s v="Vestdanmark"/>
    <x v="25"/>
    <x v="1"/>
    <n v="21927.581361856195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0391250.072657285"/>
  </r>
  <r>
    <x v="1"/>
    <s v="Vestdanmark"/>
    <x v="15"/>
    <x v="2"/>
    <n v="9169492.6818358731"/>
  </r>
  <r>
    <x v="1"/>
    <s v="Vestdanmark"/>
    <x v="16"/>
    <x v="2"/>
    <n v="6203.1828401873436"/>
  </r>
  <r>
    <x v="1"/>
    <s v="Vestdanmark"/>
    <x v="17"/>
    <x v="2"/>
    <n v="1554136.2730559006"/>
  </r>
  <r>
    <x v="1"/>
    <s v="Vestdanmark"/>
    <x v="18"/>
    <x v="2"/>
    <n v="197484.23354298095"/>
  </r>
  <r>
    <x v="1"/>
    <s v="Vestdanmark"/>
    <x v="19"/>
    <x v="2"/>
    <n v="505095.54922592157"/>
  </r>
  <r>
    <x v="1"/>
    <s v="Vestdanmark"/>
    <x v="20"/>
    <x v="2"/>
    <n v="1111191.0910754299"/>
  </r>
  <r>
    <x v="1"/>
    <s v="Vestdanmark"/>
    <x v="21"/>
    <x v="2"/>
    <n v="0"/>
  </r>
  <r>
    <x v="1"/>
    <s v="Vestdanmark"/>
    <x v="22"/>
    <x v="2"/>
    <n v="56360.409398816068"/>
  </r>
  <r>
    <x v="1"/>
    <s v="Vestdanmark"/>
    <x v="0"/>
    <x v="2"/>
    <n v="2901.770538547059"/>
  </r>
  <r>
    <x v="1"/>
    <s v="Vestdanmark"/>
    <x v="23"/>
    <x v="2"/>
    <n v="66758.668734263701"/>
  </r>
  <r>
    <x v="1"/>
    <s v="Vestdanmark"/>
    <x v="24"/>
    <x v="2"/>
    <n v="254098.83749353027"/>
  </r>
  <r>
    <x v="1"/>
    <s v="Vestdanmark"/>
    <x v="25"/>
    <x v="2"/>
    <n v="21821.426523041016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572695.883390849"/>
  </r>
  <r>
    <x v="1"/>
    <s v="Østdanmark"/>
    <x v="15"/>
    <x v="1"/>
    <n v="664408.20431967056"/>
  </r>
  <r>
    <x v="1"/>
    <s v="Østdanmark"/>
    <x v="16"/>
    <x v="1"/>
    <n v="504.14538611005531"/>
  </r>
  <r>
    <x v="1"/>
    <s v="Østdanmark"/>
    <x v="17"/>
    <x v="1"/>
    <n v="1267572.2425659813"/>
  </r>
  <r>
    <x v="1"/>
    <s v="Østdanmark"/>
    <x v="18"/>
    <x v="1"/>
    <n v="168912.75887120995"/>
  </r>
  <r>
    <x v="1"/>
    <s v="Østdanmark"/>
    <x v="19"/>
    <x v="1"/>
    <n v="217506.01855496093"/>
  </r>
  <r>
    <x v="1"/>
    <s v="Østdanmark"/>
    <x v="20"/>
    <x v="1"/>
    <n v="143222.04383687259"/>
  </r>
  <r>
    <x v="1"/>
    <s v="Østdanmark"/>
    <x v="21"/>
    <x v="1"/>
    <n v="0"/>
  </r>
  <r>
    <x v="1"/>
    <s v="Østdanmark"/>
    <x v="22"/>
    <x v="1"/>
    <n v="19176.116683861201"/>
  </r>
  <r>
    <x v="1"/>
    <s v="Østdanmark"/>
    <x v="0"/>
    <x v="1"/>
    <n v="871.08988076433457"/>
  </r>
  <r>
    <x v="1"/>
    <s v="Østdanmark"/>
    <x v="23"/>
    <x v="1"/>
    <n v="18670.90350678641"/>
  </r>
  <r>
    <x v="1"/>
    <s v="Østdanmark"/>
    <x v="24"/>
    <x v="1"/>
    <n v="74810.246107047482"/>
  </r>
  <r>
    <x v="1"/>
    <s v="Østdanmark"/>
    <x v="25"/>
    <x v="1"/>
    <n v="6717.418638143807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505662.1579788346"/>
  </r>
  <r>
    <x v="1"/>
    <s v="Østdanmark"/>
    <x v="15"/>
    <x v="2"/>
    <n v="651712.6128473935"/>
  </r>
  <r>
    <x v="1"/>
    <s v="Østdanmark"/>
    <x v="16"/>
    <x v="2"/>
    <n v="520.63084610535827"/>
  </r>
  <r>
    <x v="1"/>
    <s v="Østdanmark"/>
    <x v="17"/>
    <x v="2"/>
    <n v="1326833.4967577588"/>
  </r>
  <r>
    <x v="1"/>
    <s v="Østdanmark"/>
    <x v="18"/>
    <x v="2"/>
    <n v="172292.76645701908"/>
  </r>
  <r>
    <x v="1"/>
    <s v="Østdanmark"/>
    <x v="19"/>
    <x v="2"/>
    <n v="217936.45077407858"/>
  </r>
  <r>
    <x v="1"/>
    <s v="Østdanmark"/>
    <x v="20"/>
    <x v="2"/>
    <n v="150823.24280639994"/>
  </r>
  <r>
    <x v="1"/>
    <s v="Østdanmark"/>
    <x v="21"/>
    <x v="2"/>
    <n v="0"/>
  </r>
  <r>
    <x v="1"/>
    <s v="Østdanmark"/>
    <x v="22"/>
    <x v="2"/>
    <n v="19573.590601183951"/>
  </r>
  <r>
    <x v="1"/>
    <s v="Østdanmark"/>
    <x v="0"/>
    <x v="2"/>
    <n v="884.229461452941"/>
  </r>
  <r>
    <x v="1"/>
    <s v="Østdanmark"/>
    <x v="23"/>
    <x v="2"/>
    <n v="18918.331265736317"/>
  </r>
  <r>
    <x v="1"/>
    <s v="Østdanmark"/>
    <x v="24"/>
    <x v="2"/>
    <n v="75927.162506469729"/>
  </r>
  <r>
    <x v="1"/>
    <s v="Østdanmark"/>
    <x v="25"/>
    <x v="2"/>
    <n v="6823.5734769589817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703372.1615964994"/>
  </r>
  <r>
    <x v="2"/>
    <s v="Vestdanmark"/>
    <x v="22"/>
    <x v="1"/>
    <n v="618468.71483434096"/>
  </r>
  <r>
    <x v="2"/>
    <s v="Vestdanmark"/>
    <x v="2"/>
    <x v="1"/>
    <n v="0"/>
  </r>
  <r>
    <x v="2"/>
    <s v="Vestdanmark"/>
    <x v="5"/>
    <x v="1"/>
    <n v="51598.780380153592"/>
  </r>
  <r>
    <x v="2"/>
    <s v="Vestdanmark"/>
    <x v="25"/>
    <x v="1"/>
    <n v="672934.09412450308"/>
  </r>
  <r>
    <x v="2"/>
    <s v="Vestdanmark"/>
    <x v="24"/>
    <x v="1"/>
    <n v="4525643.0291759707"/>
  </r>
  <r>
    <x v="2"/>
    <s v="Vestdanmark"/>
    <x v="28"/>
    <x v="1"/>
    <n v="171279.2848730098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790151.9274066389"/>
  </r>
  <r>
    <x v="2"/>
    <s v="Vestdanmark"/>
    <x v="29"/>
    <x v="1"/>
    <n v="1212571.3389336092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1532.588010093863"/>
  </r>
  <r>
    <x v="2"/>
    <s v="Vestdanmark"/>
    <x v="33"/>
    <x v="1"/>
    <n v="3862742.0312364982"/>
  </r>
  <r>
    <x v="2"/>
    <s v="Vestdanmark"/>
    <x v="0"/>
    <x v="2"/>
    <n v="4703372.1615964994"/>
  </r>
  <r>
    <x v="2"/>
    <s v="Vestdanmark"/>
    <x v="22"/>
    <x v="2"/>
    <n v="618468.71483434096"/>
  </r>
  <r>
    <x v="2"/>
    <s v="Vestdanmark"/>
    <x v="2"/>
    <x v="2"/>
    <n v="0"/>
  </r>
  <r>
    <x v="2"/>
    <s v="Vestdanmark"/>
    <x v="5"/>
    <x v="2"/>
    <n v="51598.780380153592"/>
  </r>
  <r>
    <x v="2"/>
    <s v="Vestdanmark"/>
    <x v="25"/>
    <x v="2"/>
    <n v="672934.09412450308"/>
  </r>
  <r>
    <x v="2"/>
    <s v="Vestdanmark"/>
    <x v="24"/>
    <x v="2"/>
    <n v="4525643.0291759707"/>
  </r>
  <r>
    <x v="2"/>
    <s v="Vestdanmark"/>
    <x v="28"/>
    <x v="2"/>
    <n v="171279.2848730098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9790151.9274066389"/>
  </r>
  <r>
    <x v="2"/>
    <s v="Vestdanmark"/>
    <x v="29"/>
    <x v="2"/>
    <n v="1212571.3389336092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1532.588010093863"/>
  </r>
  <r>
    <x v="2"/>
    <s v="Vestdanmark"/>
    <x v="33"/>
    <x v="2"/>
    <n v="3862742.0312364982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77297.28616440261"/>
  </r>
  <r>
    <x v="2"/>
    <s v="Østdanmark"/>
    <x v="22"/>
    <x v="1"/>
    <n v="75911.558427530035"/>
  </r>
  <r>
    <x v="2"/>
    <s v="Østdanmark"/>
    <x v="2"/>
    <x v="1"/>
    <n v="0"/>
  </r>
  <r>
    <x v="2"/>
    <s v="Østdanmark"/>
    <x v="5"/>
    <x v="1"/>
    <n v="6333.2934029920762"/>
  </r>
  <r>
    <x v="2"/>
    <s v="Østdanmark"/>
    <x v="25"/>
    <x v="1"/>
    <n v="82596.701464021666"/>
  </r>
  <r>
    <x v="2"/>
    <s v="Østdanmark"/>
    <x v="24"/>
    <x v="1"/>
    <n v="555482.60888742993"/>
  </r>
  <r>
    <x v="2"/>
    <s v="Østdanmark"/>
    <x v="28"/>
    <x v="1"/>
    <n v="21023.015601598698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201654.4608093714"/>
  </r>
  <r>
    <x v="2"/>
    <s v="Østdanmark"/>
    <x v="29"/>
    <x v="1"/>
    <n v="148832.3949703137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3870.3459684951581"/>
  </r>
  <r>
    <x v="2"/>
    <s v="Østdanmark"/>
    <x v="33"/>
    <x v="1"/>
    <n v="474117.38114065683"/>
  </r>
  <r>
    <x v="2"/>
    <s v="Østdanmark"/>
    <x v="0"/>
    <x v="2"/>
    <n v="577297.28616440273"/>
  </r>
  <r>
    <x v="2"/>
    <s v="Østdanmark"/>
    <x v="22"/>
    <x v="2"/>
    <n v="75911.55842753005"/>
  </r>
  <r>
    <x v="2"/>
    <s v="Østdanmark"/>
    <x v="2"/>
    <x v="2"/>
    <n v="0"/>
  </r>
  <r>
    <x v="2"/>
    <s v="Østdanmark"/>
    <x v="5"/>
    <x v="2"/>
    <n v="6333.293402992078"/>
  </r>
  <r>
    <x v="2"/>
    <s v="Østdanmark"/>
    <x v="25"/>
    <x v="2"/>
    <n v="82596.70146402168"/>
  </r>
  <r>
    <x v="2"/>
    <s v="Østdanmark"/>
    <x v="24"/>
    <x v="2"/>
    <n v="555482.60888743005"/>
  </r>
  <r>
    <x v="2"/>
    <s v="Østdanmark"/>
    <x v="28"/>
    <x v="2"/>
    <n v="21023.015601598701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201654.4608093717"/>
  </r>
  <r>
    <x v="2"/>
    <s v="Østdanmark"/>
    <x v="29"/>
    <x v="2"/>
    <n v="148832.39497031382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3870.345968495159"/>
  </r>
  <r>
    <x v="2"/>
    <s v="Østdanmark"/>
    <x v="33"/>
    <x v="2"/>
    <n v="474117.381140657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6"/>
    <x v="0"/>
    <n v="0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6"/>
    <x v="0"/>
    <n v="0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709437.3149926052"/>
  </r>
  <r>
    <x v="3"/>
    <s v="Vestdanmark"/>
    <x v="34"/>
    <x v="1"/>
    <n v="118556.88830175188"/>
  </r>
  <r>
    <x v="3"/>
    <s v="Vestdanmark"/>
    <x v="35"/>
    <x v="1"/>
    <n v="154484.73733408173"/>
  </r>
  <r>
    <x v="3"/>
    <s v="Vestdanmark"/>
    <x v="36"/>
    <x v="1"/>
    <n v="2216341.6308326661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6"/>
    <x v="1"/>
    <n v="0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0590.59860996436"/>
  </r>
  <r>
    <x v="3"/>
    <s v="Østdanmark"/>
    <x v="34"/>
    <x v="1"/>
    <n v="35689.952707147801"/>
  </r>
  <r>
    <x v="3"/>
    <s v="Østdanmark"/>
    <x v="35"/>
    <x v="1"/>
    <n v="42074.872472772768"/>
  </r>
  <r>
    <x v="3"/>
    <s v="Østdanmark"/>
    <x v="36"/>
    <x v="1"/>
    <n v="647088.73530897219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6"/>
    <x v="1"/>
    <n v="0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581173.6865962329"/>
  </r>
  <r>
    <x v="3"/>
    <s v="Vestdanmark"/>
    <x v="34"/>
    <x v="2"/>
    <n v="120985.85798793298"/>
  </r>
  <r>
    <x v="3"/>
    <s v="Vestdanmark"/>
    <x v="35"/>
    <x v="2"/>
    <n v="158491.06742829576"/>
  </r>
  <r>
    <x v="3"/>
    <s v="Vestdanmark"/>
    <x v="36"/>
    <x v="2"/>
    <n v="2235295.9759470159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6"/>
    <x v="2"/>
    <n v="0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88009.43316682125"/>
  </r>
  <r>
    <x v="3"/>
    <s v="Østdanmark"/>
    <x v="34"/>
    <x v="2"/>
    <n v="37147.808703410541"/>
  </r>
  <r>
    <x v="3"/>
    <s v="Østdanmark"/>
    <x v="35"/>
    <x v="2"/>
    <n v="43858.564110476924"/>
  </r>
  <r>
    <x v="3"/>
    <s v="Østdanmark"/>
    <x v="36"/>
    <x v="2"/>
    <n v="624603.9853461763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6"/>
    <x v="2"/>
    <n v="0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6000958.9027446285"/>
  </r>
  <r>
    <x v="5"/>
    <s v="Vestdanmark"/>
    <x v="16"/>
    <x v="0"/>
    <n v="3107.1675348074377"/>
  </r>
  <r>
    <x v="5"/>
    <s v="Vestdanmark"/>
    <x v="20"/>
    <x v="0"/>
    <n v="730307.97492940596"/>
  </r>
  <r>
    <x v="5"/>
    <s v="Vestdanmark"/>
    <x v="37"/>
    <x v="0"/>
    <n v="7001759.6428652545"/>
  </r>
  <r>
    <x v="5"/>
    <s v="Vestdanmark"/>
    <x v="38"/>
    <x v="0"/>
    <n v="720643.40546424"/>
  </r>
  <r>
    <x v="5"/>
    <s v="Vestdanmark"/>
    <x v="14"/>
    <x v="1"/>
    <n v="1205986.6540704854"/>
  </r>
  <r>
    <x v="5"/>
    <s v="Vestdanmark"/>
    <x v="15"/>
    <x v="1"/>
    <n v="688125.32570079644"/>
  </r>
  <r>
    <x v="5"/>
    <s v="Vestdanmark"/>
    <x v="16"/>
    <x v="1"/>
    <n v="505.33084021018328"/>
  </r>
  <r>
    <x v="5"/>
    <s v="Vestdanmark"/>
    <x v="20"/>
    <x v="1"/>
    <n v="401728.76679519669"/>
  </r>
  <r>
    <x v="5"/>
    <s v="Vestdanmark"/>
    <x v="37"/>
    <x v="1"/>
    <n v="19633758.54900625"/>
  </r>
  <r>
    <x v="5"/>
    <s v="Vestdanmark"/>
    <x v="38"/>
    <x v="1"/>
    <n v="771875.25410193205"/>
  </r>
  <r>
    <x v="5"/>
    <s v="Vestdanmark"/>
    <x v="14"/>
    <x v="2"/>
    <n v="1154583.3414063647"/>
  </r>
  <r>
    <x v="5"/>
    <s v="Vestdanmark"/>
    <x v="15"/>
    <x v="2"/>
    <n v="674976.54463514045"/>
  </r>
  <r>
    <x v="5"/>
    <s v="Vestdanmark"/>
    <x v="16"/>
    <x v="2"/>
    <n v="521.85506433322087"/>
  </r>
  <r>
    <x v="5"/>
    <s v="Vestdanmark"/>
    <x v="20"/>
    <x v="2"/>
    <n v="420665.19876426988"/>
  </r>
  <r>
    <x v="5"/>
    <s v="Vestdanmark"/>
    <x v="37"/>
    <x v="2"/>
    <n v="19034352.153405923"/>
  </r>
  <r>
    <x v="5"/>
    <s v="Vestdanmark"/>
    <x v="38"/>
    <x v="2"/>
    <n v="725594.03868632857"/>
  </r>
  <r>
    <x v="5"/>
    <s v="Østdanmark"/>
    <x v="14"/>
    <x v="0"/>
    <n v="1924034.2327518209"/>
  </r>
  <r>
    <x v="5"/>
    <s v="Østdanmark"/>
    <x v="15"/>
    <x v="0"/>
    <n v="422965.94308870414"/>
  </r>
  <r>
    <x v="5"/>
    <s v="Østdanmark"/>
    <x v="16"/>
    <x v="0"/>
    <n v="255.68246519256246"/>
  </r>
  <r>
    <x v="5"/>
    <s v="Østdanmark"/>
    <x v="20"/>
    <x v="0"/>
    <n v="93457.017927737121"/>
  </r>
  <r>
    <x v="5"/>
    <s v="Østdanmark"/>
    <x v="37"/>
    <x v="0"/>
    <n v="1801732.0926432305"/>
  </r>
  <r>
    <x v="5"/>
    <s v="Østdanmark"/>
    <x v="38"/>
    <x v="0"/>
    <n v="387847.14852834243"/>
  </r>
  <r>
    <x v="5"/>
    <s v="Østdanmark"/>
    <x v="14"/>
    <x v="1"/>
    <n v="174743.98704342762"/>
  </r>
  <r>
    <x v="5"/>
    <s v="Østdanmark"/>
    <x v="15"/>
    <x v="1"/>
    <n v="48907.826151309069"/>
  </r>
  <r>
    <x v="5"/>
    <s v="Østdanmark"/>
    <x v="16"/>
    <x v="1"/>
    <n v="42.412230894972893"/>
  </r>
  <r>
    <x v="5"/>
    <s v="Østdanmark"/>
    <x v="20"/>
    <x v="1"/>
    <n v="54219.773738244621"/>
  </r>
  <r>
    <x v="5"/>
    <s v="Østdanmark"/>
    <x v="37"/>
    <x v="1"/>
    <n v="3424154.0812072256"/>
  </r>
  <r>
    <x v="5"/>
    <s v="Østdanmark"/>
    <x v="38"/>
    <x v="1"/>
    <n v="353758.48713435931"/>
  </r>
  <r>
    <x v="5"/>
    <s v="Østdanmark"/>
    <x v="14"/>
    <x v="2"/>
    <n v="167295.79533098158"/>
  </r>
  <r>
    <x v="5"/>
    <s v="Østdanmark"/>
    <x v="15"/>
    <x v="2"/>
    <n v="47973.289556822005"/>
  </r>
  <r>
    <x v="5"/>
    <s v="Østdanmark"/>
    <x v="16"/>
    <x v="2"/>
    <n v="43.799102926323776"/>
  </r>
  <r>
    <x v="5"/>
    <s v="Østdanmark"/>
    <x v="20"/>
    <x v="2"/>
    <n v="57097.370490994261"/>
  </r>
  <r>
    <x v="5"/>
    <s v="Østdanmark"/>
    <x v="37"/>
    <x v="2"/>
    <n v="3389908.2542493283"/>
  </r>
  <r>
    <x v="5"/>
    <s v="Østdanmark"/>
    <x v="38"/>
    <x v="2"/>
    <n v="343152.8111800294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39"/>
    <x v="0"/>
    <n v="484833.6848947219"/>
  </r>
  <r>
    <x v="7"/>
    <s v="Vestdanmark"/>
    <x v="39"/>
    <x v="1"/>
    <n v="370490.27594297461"/>
  </r>
  <r>
    <x v="7"/>
    <s v="Vestdanmark"/>
    <x v="39"/>
    <x v="2"/>
    <n v="378080.80621229054"/>
  </r>
  <r>
    <x v="7"/>
    <s v="Østdanmark"/>
    <x v="39"/>
    <x v="0"/>
    <n v="193574.13238370849"/>
  </r>
  <r>
    <x v="7"/>
    <s v="Østdanmark"/>
    <x v="39"/>
    <x v="1"/>
    <n v="111531.10220983687"/>
  </r>
  <r>
    <x v="7"/>
    <s v="Østdanmark"/>
    <x v="39"/>
    <x v="2"/>
    <n v="116086.90219815794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0"/>
    <x v="0"/>
    <n v="0"/>
  </r>
  <r>
    <x v="3"/>
    <s v="Vestdanmark"/>
    <x v="41"/>
    <x v="0"/>
    <n v="0"/>
  </r>
  <r>
    <x v="3"/>
    <s v="Vestdanmark"/>
    <x v="40"/>
    <x v="1"/>
    <n v="0"/>
  </r>
  <r>
    <x v="3"/>
    <s v="Vestdanmark"/>
    <x v="41"/>
    <x v="1"/>
    <n v="0"/>
  </r>
  <r>
    <x v="3"/>
    <s v="Vestdanmark"/>
    <x v="40"/>
    <x v="2"/>
    <n v="0"/>
  </r>
  <r>
    <x v="3"/>
    <s v="Vestdanmark"/>
    <x v="41"/>
    <x v="2"/>
    <n v="0"/>
  </r>
  <r>
    <x v="3"/>
    <s v="Østdanmark"/>
    <x v="40"/>
    <x v="0"/>
    <n v="0"/>
  </r>
  <r>
    <x v="3"/>
    <s v="Østdanmark"/>
    <x v="41"/>
    <x v="0"/>
    <n v="0"/>
  </r>
  <r>
    <x v="3"/>
    <s v="Østdanmark"/>
    <x v="40"/>
    <x v="1"/>
    <n v="0"/>
  </r>
  <r>
    <x v="3"/>
    <s v="Østdanmark"/>
    <x v="41"/>
    <x v="1"/>
    <n v="0"/>
  </r>
  <r>
    <x v="3"/>
    <s v="Østdanmark"/>
    <x v="40"/>
    <x v="2"/>
    <n v="0"/>
  </r>
  <r>
    <x v="3"/>
    <s v="Østdanmark"/>
    <x v="41"/>
    <x v="2"/>
    <n v="0"/>
  </r>
  <r>
    <x v="9"/>
    <m/>
    <x v="42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91858.8572342743"/>
  </r>
  <r>
    <x v="0"/>
    <x v="2"/>
    <x v="1"/>
    <s v="JB1-10"/>
    <n v="490276.74059587362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36252.1166384006"/>
  </r>
  <r>
    <x v="0"/>
    <x v="2"/>
    <x v="2"/>
    <s v="JB1-10"/>
    <n v="545883.48119174724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6177.14276572561"/>
  </r>
  <r>
    <x v="1"/>
    <x v="2"/>
    <x v="1"/>
    <s v="JB1-10"/>
    <n v="133223.25940412635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0183.88336159918"/>
  </r>
  <r>
    <x v="1"/>
    <x v="2"/>
    <x v="2"/>
    <s v="JB1-10"/>
    <n v="139216.51880825273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381619.5037339376"/>
  </r>
  <r>
    <x v="1"/>
    <x v="0"/>
    <x v="1"/>
    <n v="224570.40950584275"/>
  </r>
  <r>
    <x v="2"/>
    <x v="0"/>
    <x v="1"/>
    <n v="370490.27594297461"/>
  </r>
  <r>
    <x v="3"/>
    <x v="0"/>
    <x v="1"/>
    <n v="28408153.283469509"/>
  </r>
  <r>
    <x v="4"/>
    <x v="0"/>
    <x v="1"/>
    <n v="217805.88377635827"/>
  </r>
  <r>
    <x v="5"/>
    <x v="0"/>
    <x v="1"/>
    <n v="1778992.2257450195"/>
  </r>
  <r>
    <x v="6"/>
    <x v="0"/>
    <x v="1"/>
    <n v="4923583.0761439931"/>
  </r>
  <r>
    <x v="7"/>
    <x v="0"/>
    <x v="1"/>
    <n v="5903489.3992296383"/>
  </r>
  <r>
    <x v="8"/>
    <x v="0"/>
    <x v="1"/>
    <n v="32105.259581147304"/>
  </r>
  <r>
    <x v="9"/>
    <x v="0"/>
    <x v="1"/>
    <n v="1025729.6203575714"/>
  </r>
  <r>
    <x v="10"/>
    <x v="0"/>
    <x v="1"/>
    <n v="1120053.9852881476"/>
  </r>
  <r>
    <x v="11"/>
    <x v="0"/>
    <x v="1"/>
    <n v="713505.92728443746"/>
  </r>
  <r>
    <x v="12"/>
    <x v="0"/>
    <x v="1"/>
    <n v="154484.73733408173"/>
  </r>
  <r>
    <x v="0"/>
    <x v="0"/>
    <x v="2"/>
    <n v="5523408.7197105791"/>
  </r>
  <r>
    <x v="1"/>
    <x v="0"/>
    <x v="2"/>
    <n v="229440.63810667559"/>
  </r>
  <r>
    <x v="2"/>
    <x v="0"/>
    <x v="2"/>
    <n v="378080.80621229054"/>
  </r>
  <r>
    <x v="3"/>
    <x v="0"/>
    <x v="2"/>
    <n v="29404263.983943939"/>
  </r>
  <r>
    <x v="4"/>
    <x v="0"/>
    <x v="2"/>
    <n v="220830.77573350482"/>
  </r>
  <r>
    <x v="5"/>
    <x v="0"/>
    <x v="2"/>
    <n v="1818589.8087592444"/>
  </r>
  <r>
    <x v="6"/>
    <x v="0"/>
    <x v="2"/>
    <n v="5024574.3595380196"/>
  </r>
  <r>
    <x v="7"/>
    <x v="0"/>
    <x v="2"/>
    <n v="6101831.6290168501"/>
  </r>
  <r>
    <x v="8"/>
    <x v="0"/>
    <x v="2"/>
    <n v="32793.097303413146"/>
  </r>
  <r>
    <x v="9"/>
    <x v="0"/>
    <x v="2"/>
    <n v="1048609.453845398"/>
  </r>
  <r>
    <x v="10"/>
    <x v="0"/>
    <x v="2"/>
    <n v="1145476.8591293055"/>
  </r>
  <r>
    <x v="11"/>
    <x v="0"/>
    <x v="2"/>
    <n v="729011.95091777691"/>
  </r>
  <r>
    <x v="12"/>
    <x v="0"/>
    <x v="2"/>
    <n v="158491.06742829576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608239.7398434528"/>
  </r>
  <r>
    <x v="1"/>
    <x v="1"/>
    <x v="1"/>
    <n v="66320.575580958233"/>
  </r>
  <r>
    <x v="2"/>
    <x v="1"/>
    <x v="1"/>
    <n v="111531.10220983687"/>
  </r>
  <r>
    <x v="3"/>
    <x v="1"/>
    <x v="1"/>
    <n v="7915785.5258047525"/>
  </r>
  <r>
    <x v="4"/>
    <x v="1"/>
    <x v="1"/>
    <n v="66219.734583524318"/>
  </r>
  <r>
    <x v="5"/>
    <x v="1"/>
    <x v="1"/>
    <n v="515263.04540454788"/>
  </r>
  <r>
    <x v="6"/>
    <x v="1"/>
    <x v="1"/>
    <n v="1508318.1394402247"/>
  </r>
  <r>
    <x v="7"/>
    <x v="1"/>
    <x v="1"/>
    <n v="1730463.2966817433"/>
  </r>
  <r>
    <x v="8"/>
    <x v="1"/>
    <x v="1"/>
    <n v="9754.2866982633659"/>
  </r>
  <r>
    <x v="9"/>
    <x v="1"/>
    <x v="1"/>
    <n v="301497.09442768525"/>
  </r>
  <r>
    <x v="10"/>
    <x v="1"/>
    <x v="1"/>
    <n v="342757.79858178977"/>
  </r>
  <r>
    <x v="11"/>
    <x v="1"/>
    <x v="1"/>
    <n v="211505.55492892067"/>
  </r>
  <r>
    <x v="12"/>
    <x v="1"/>
    <x v="1"/>
    <n v="42074.872472772768"/>
  </r>
  <r>
    <x v="0"/>
    <x v="1"/>
    <x v="2"/>
    <n v="1683096.8033949384"/>
  </r>
  <r>
    <x v="1"/>
    <x v="1"/>
    <x v="2"/>
    <n v="69084.929808935805"/>
  </r>
  <r>
    <x v="2"/>
    <x v="1"/>
    <x v="2"/>
    <n v="116086.90219815794"/>
  </r>
  <r>
    <x v="3"/>
    <x v="1"/>
    <x v="2"/>
    <n v="8332694.7229536632"/>
  </r>
  <r>
    <x v="4"/>
    <x v="1"/>
    <x v="2"/>
    <n v="68513.709869912811"/>
  </r>
  <r>
    <x v="5"/>
    <x v="1"/>
    <x v="2"/>
    <n v="536733.47505489504"/>
  </r>
  <r>
    <x v="6"/>
    <x v="1"/>
    <x v="2"/>
    <n v="1571187.4884325294"/>
  </r>
  <r>
    <x v="7"/>
    <x v="1"/>
    <x v="2"/>
    <n v="1823285.6405542411"/>
  </r>
  <r>
    <x v="8"/>
    <x v="1"/>
    <x v="2"/>
    <n v="10163.089759541812"/>
  </r>
  <r>
    <x v="9"/>
    <x v="1"/>
    <x v="2"/>
    <n v="314116.08613367198"/>
  </r>
  <r>
    <x v="10"/>
    <x v="1"/>
    <x v="2"/>
    <n v="357304.25157150667"/>
  </r>
  <r>
    <x v="11"/>
    <x v="1"/>
    <x v="2"/>
    <n v="220334.04456617165"/>
  </r>
  <r>
    <x v="12"/>
    <x v="1"/>
    <x v="2"/>
    <n v="43858.56411047692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23909.73940601887"/>
    <n v="4373607.2732361918"/>
    <n v="2056610.6420093102"/>
    <n v="2056610.6420093102"/>
  </r>
  <r>
    <x v="0"/>
    <x v="1"/>
    <x v="1"/>
    <s v="Konventionel"/>
    <x v="0"/>
    <s v="Halm"/>
    <n v="48011.920691725383"/>
    <n v="185326.01387005998"/>
    <n v="79264.908013529261"/>
    <n v="79264.908013529261"/>
  </r>
  <r>
    <x v="0"/>
    <x v="2"/>
    <x v="1"/>
    <s v="Konventionel"/>
    <x v="0"/>
    <s v="Halm"/>
    <n v="70259.109449246753"/>
    <n v="309140.08157668571"/>
    <n v="237874.25042587356"/>
    <n v="237874.25042587356"/>
  </r>
  <r>
    <x v="0"/>
    <x v="3"/>
    <x v="1"/>
    <s v="Konventionel"/>
    <x v="0"/>
    <s v="Græs"/>
    <n v="389039.43578841945"/>
    <n v="19304136.803821374"/>
    <n v="0"/>
    <n v="19304136.803821374"/>
  </r>
  <r>
    <x v="0"/>
    <x v="4"/>
    <x v="1"/>
    <s v="Konventionel"/>
    <x v="0"/>
    <s v="Grøntsager"/>
    <n v="8069.2150499893842"/>
    <n v="167436.21228727975"/>
    <n v="0"/>
    <n v="167436.21228727975"/>
  </r>
  <r>
    <x v="0"/>
    <x v="5"/>
    <x v="1"/>
    <s v="Konventionel"/>
    <x v="0"/>
    <s v="Kartofler"/>
    <n v="33939.868192186092"/>
    <n v="1441456.730045914"/>
    <n v="0"/>
    <n v="1441456.730045914"/>
  </r>
  <r>
    <x v="0"/>
    <x v="6"/>
    <x v="1"/>
    <s v="Konventionel"/>
    <x v="0"/>
    <s v="Roer"/>
    <n v="51872.305654463133"/>
    <n v="4214818.3878044365"/>
    <n v="0"/>
    <n v="4214818.3878044365"/>
  </r>
  <r>
    <x v="0"/>
    <x v="7"/>
    <x v="1"/>
    <s v="Konventionel"/>
    <x v="0"/>
    <s v="Majs"/>
    <n v="105024.04342368516"/>
    <n v="4674620.172788227"/>
    <n v="0"/>
    <n v="4674620.172788227"/>
  </r>
  <r>
    <x v="0"/>
    <x v="8"/>
    <x v="1"/>
    <s v="Konventionel"/>
    <x v="0"/>
    <s v="Frugt"/>
    <n v="3146.7111847138076"/>
    <n v="26715.577958220227"/>
    <n v="0"/>
    <n v="26715.577958220227"/>
  </r>
  <r>
    <x v="0"/>
    <x v="9"/>
    <x v="1"/>
    <s v="Konventionel"/>
    <x v="0"/>
    <s v="Øvrige"/>
    <n v="27850.682564630642"/>
    <n v="829837.36436016392"/>
    <n v="0"/>
    <n v="829837.36436016392"/>
  </r>
  <r>
    <x v="0"/>
    <x v="10"/>
    <x v="1"/>
    <s v="Konventionel"/>
    <x v="0"/>
    <s v="Halm"/>
    <n v="62611.02615456815"/>
    <n v="894640.23473164067"/>
    <n v="214121.570015223"/>
    <n v="214121.570015223"/>
  </r>
  <r>
    <x v="0"/>
    <x v="11"/>
    <x v="1"/>
    <s v="Konventionel"/>
    <x v="0"/>
    <s v="Juletræer"/>
    <n v="11759.429887638771"/>
    <n v="587971.4943819386"/>
    <n v="0"/>
    <n v="587971.4943819386"/>
  </r>
  <r>
    <x v="0"/>
    <x v="12"/>
    <x v="1"/>
    <s v="Konventionel"/>
    <x v="0"/>
    <s v="Pil &amp; poppel"/>
    <n v="4522.0169004115751"/>
    <n v="110293.09513198964"/>
    <n v="0"/>
    <n v="110293.09513198964"/>
  </r>
  <r>
    <x v="0"/>
    <x v="13"/>
    <x v="1"/>
    <s v="Konventionel"/>
    <x v="0"/>
    <s v="Græs"/>
    <n v="109694.9188294395"/>
    <n v="1512692.9306579707"/>
    <n v="0"/>
    <n v="1512692.9306579707"/>
  </r>
  <r>
    <x v="0"/>
    <x v="0"/>
    <x v="2"/>
    <s v="Konventionel"/>
    <x v="0"/>
    <s v="Halm"/>
    <n v="576591.97905547544"/>
    <n v="4041909.7731788829"/>
    <n v="1900635.8217001744"/>
    <n v="1900635.8217001744"/>
  </r>
  <r>
    <x v="0"/>
    <x v="1"/>
    <x v="2"/>
    <s v="Konventionel"/>
    <x v="0"/>
    <s v="Halm"/>
    <n v="44370.662327297228"/>
    <n v="171270.75658336733"/>
    <n v="73253.400763838363"/>
    <n v="73253.400763838363"/>
  </r>
  <r>
    <x v="0"/>
    <x v="2"/>
    <x v="2"/>
    <s v="Konventionel"/>
    <x v="0"/>
    <s v="Halm"/>
    <n v="64930.608396310665"/>
    <n v="285694.67694376694"/>
    <n v="219833.69733892806"/>
    <n v="219833.69733892806"/>
  </r>
  <r>
    <x v="0"/>
    <x v="3"/>
    <x v="2"/>
    <s v="Konventionel"/>
    <x v="0"/>
    <s v="Græs"/>
    <n v="359534.40705289674"/>
    <n v="17840097.277964737"/>
    <n v="0"/>
    <n v="17840097.277964737"/>
  </r>
  <r>
    <x v="0"/>
    <x v="4"/>
    <x v="2"/>
    <s v="Konventionel"/>
    <x v="0"/>
    <s v="Grøntsager"/>
    <n v="7457.2400160431316"/>
    <n v="154737.73033289498"/>
    <n v="0"/>
    <n v="154737.73033289498"/>
  </r>
  <r>
    <x v="0"/>
    <x v="5"/>
    <x v="2"/>
    <s v="Konventionel"/>
    <x v="0"/>
    <s v="Kartofler"/>
    <n v="31365.844342236556"/>
    <n v="1332135.6218790098"/>
    <n v="0"/>
    <n v="1332135.6218790098"/>
  </r>
  <r>
    <x v="0"/>
    <x v="6"/>
    <x v="2"/>
    <s v="Konventionel"/>
    <x v="0"/>
    <s v="Roer"/>
    <n v="47938.272936646019"/>
    <n v="3895163.5502552376"/>
    <n v="0"/>
    <n v="3895163.5502552376"/>
  </r>
  <r>
    <x v="0"/>
    <x v="7"/>
    <x v="2"/>
    <s v="Konventionel"/>
    <x v="0"/>
    <s v="Majs"/>
    <n v="97058.944942455943"/>
    <n v="4320093.639388714"/>
    <n v="0"/>
    <n v="4320093.639388714"/>
  </r>
  <r>
    <x v="0"/>
    <x v="8"/>
    <x v="2"/>
    <s v="Konventionel"/>
    <x v="0"/>
    <s v="Frugt"/>
    <n v="2908.0623604905873"/>
    <n v="24689.449440565091"/>
    <n v="0"/>
    <n v="24689.449440565091"/>
  </r>
  <r>
    <x v="0"/>
    <x v="9"/>
    <x v="2"/>
    <s v="Konventionel"/>
    <x v="0"/>
    <s v="Øvrige"/>
    <n v="25738.466902719567"/>
    <n v="766901.90582075517"/>
    <n v="0"/>
    <n v="766901.90582075517"/>
  </r>
  <r>
    <x v="0"/>
    <x v="10"/>
    <x v="2"/>
    <s v="Konventionel"/>
    <x v="0"/>
    <s v="Halm"/>
    <n v="57862.561202403813"/>
    <n v="826790.08020882867"/>
    <n v="197882.43717926473"/>
    <n v="197882.43717926473"/>
  </r>
  <r>
    <x v="0"/>
    <x v="11"/>
    <x v="2"/>
    <s v="Konventionel"/>
    <x v="0"/>
    <s v="Juletræer"/>
    <n v="10867.586324157863"/>
    <n v="543379.31620789308"/>
    <n v="0"/>
    <n v="543379.31620789308"/>
  </r>
  <r>
    <x v="0"/>
    <x v="12"/>
    <x v="2"/>
    <s v="Konventionel"/>
    <x v="0"/>
    <s v="Pil &amp; poppel"/>
    <n v="4179.063908207143"/>
    <n v="101928.38800505229"/>
    <n v="0"/>
    <n v="101928.38800505229"/>
  </r>
  <r>
    <x v="0"/>
    <x v="13"/>
    <x v="2"/>
    <s v="Konventionel"/>
    <x v="0"/>
    <s v="Græs"/>
    <n v="101375.57782061782"/>
    <n v="1397969.21814632"/>
    <n v="0"/>
    <n v="1397969.21814632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97373.196323482727"/>
    <n v="457332.69117250136"/>
    <n v="215052.52320201404"/>
    <n v="215052.52320201404"/>
  </r>
  <r>
    <x v="0"/>
    <x v="1"/>
    <x v="1"/>
    <s v="Økologisk"/>
    <x v="0"/>
    <s v="Halm"/>
    <n v="7493.1899345467373"/>
    <n v="16486.516493989733"/>
    <n v="7051.3695625908404"/>
    <n v="7051.3695625908404"/>
  </r>
  <r>
    <x v="0"/>
    <x v="2"/>
    <x v="1"/>
    <s v="Økologisk"/>
    <x v="0"/>
    <s v="Halm"/>
    <n v="10965.294538321748"/>
    <n v="26536.012782738631"/>
    <n v="20418.685657943486"/>
    <n v="20418.685657943486"/>
  </r>
  <r>
    <x v="0"/>
    <x v="3"/>
    <x v="1"/>
    <s v="Økologisk"/>
    <x v="0"/>
    <s v="Græs"/>
    <n v="60717.137377383391"/>
    <n v="2349971.7981992955"/>
    <n v="0"/>
    <n v="2349971.7981992955"/>
  </r>
  <r>
    <x v="0"/>
    <x v="4"/>
    <x v="1"/>
    <s v="Økologisk"/>
    <x v="0"/>
    <s v="Grøntsager"/>
    <n v="1259.3572621370715"/>
    <n v="14895.048017926212"/>
    <n v="0"/>
    <n v="14895.048017926212"/>
  </r>
  <r>
    <x v="0"/>
    <x v="5"/>
    <x v="1"/>
    <s v="Økologisk"/>
    <x v="0"/>
    <s v="Kartofler"/>
    <n v="5296.973648491472"/>
    <n v="128231.32413529836"/>
    <n v="0"/>
    <n v="128231.32413529836"/>
  </r>
  <r>
    <x v="0"/>
    <x v="6"/>
    <x v="1"/>
    <s v="Økologisk"/>
    <x v="0"/>
    <s v="Roer"/>
    <n v="8095.677761101183"/>
    <n v="374948.29473011725"/>
    <n v="0"/>
    <n v="374948.29473011725"/>
  </r>
  <r>
    <x v="0"/>
    <x v="7"/>
    <x v="1"/>
    <s v="Økologisk"/>
    <x v="0"/>
    <s v="Majs"/>
    <n v="16391.035678841039"/>
    <n v="605538.94839412824"/>
    <n v="0"/>
    <n v="605538.94839412824"/>
  </r>
  <r>
    <x v="0"/>
    <x v="8"/>
    <x v="1"/>
    <s v="Økologisk"/>
    <x v="0"/>
    <s v="Frugt"/>
    <n v="491.10521379926485"/>
    <n v="2376.6054611387822"/>
    <n v="0"/>
    <n v="2376.6054611387822"/>
  </r>
  <r>
    <x v="0"/>
    <x v="9"/>
    <x v="1"/>
    <s v="Økologisk"/>
    <x v="0"/>
    <s v="Øvrige"/>
    <n v="4346.6383193354177"/>
    <n v="73821.948193658493"/>
    <n v="0"/>
    <n v="73821.948193658493"/>
  </r>
  <r>
    <x v="0"/>
    <x v="10"/>
    <x v="1"/>
    <s v="Økologisk"/>
    <x v="0"/>
    <s v="Halm"/>
    <n v="9771.6630414643932"/>
    <n v="79586.781575259811"/>
    <n v="19048.155852799315"/>
    <n v="19048.155852799315"/>
  </r>
  <r>
    <x v="0"/>
    <x v="11"/>
    <x v="1"/>
    <s v="Økologisk"/>
    <x v="0"/>
    <s v="Juletræer"/>
    <n v="1835.286745469635"/>
    <n v="52305.672245884591"/>
    <n v="0"/>
    <n v="52305.672245884591"/>
  </r>
  <r>
    <x v="0"/>
    <x v="12"/>
    <x v="1"/>
    <s v="Økologisk"/>
    <x v="0"/>
    <s v="Pil &amp; poppel"/>
    <n v="705.74830237637309"/>
    <n v="9811.6227403544544"/>
    <n v="0"/>
    <n v="9811.6227403544544"/>
  </r>
  <r>
    <x v="0"/>
    <x v="13"/>
    <x v="1"/>
    <s v="Økologisk"/>
    <x v="0"/>
    <s v="Græs"/>
    <n v="17120.016233496339"/>
    <n v="236085.02385991454"/>
    <n v="0"/>
    <n v="236085.02385991454"/>
  </r>
  <r>
    <x v="0"/>
    <x v="0"/>
    <x v="2"/>
    <s v="Økologisk"/>
    <x v="0"/>
    <s v="Halm"/>
    <n v="122307.389496616"/>
    <n v="574441.11624875641"/>
    <n v="270120.66678102472"/>
    <n v="270120.66678102472"/>
  </r>
  <r>
    <x v="0"/>
    <x v="1"/>
    <x v="2"/>
    <s v="Økologisk"/>
    <x v="0"/>
    <s v="Halm"/>
    <n v="9411.9586754872907"/>
    <n v="20708.191477807137"/>
    <n v="8857.0020923550001"/>
    <n v="8857.0020923550001"/>
  </r>
  <r>
    <x v="0"/>
    <x v="2"/>
    <x v="2"/>
    <s v="Økologisk"/>
    <x v="0"/>
    <s v="Halm"/>
    <n v="13773.159356793169"/>
    <n v="33331.045643439473"/>
    <n v="25647.264689541604"/>
    <n v="25647.264689541604"/>
  </r>
  <r>
    <x v="0"/>
    <x v="3"/>
    <x v="2"/>
    <s v="Økologisk"/>
    <x v="0"/>
    <s v="Græs"/>
    <n v="76264.874223341743"/>
    <n v="2951725.1859905296"/>
    <n v="0"/>
    <n v="2951725.1859905296"/>
  </r>
  <r>
    <x v="0"/>
    <x v="4"/>
    <x v="2"/>
    <s v="Økologisk"/>
    <x v="0"/>
    <s v="Grøntsager"/>
    <n v="1581.8387912818764"/>
    <n v="18709.198303886395"/>
    <n v="0"/>
    <n v="18709.198303886395"/>
  </r>
  <r>
    <x v="0"/>
    <x v="5"/>
    <x v="2"/>
    <s v="Økologisk"/>
    <x v="0"/>
    <s v="Kartofler"/>
    <n v="6653.3609210804825"/>
    <n v="161067.30700900755"/>
    <n v="0"/>
    <n v="161067.30700900755"/>
  </r>
  <r>
    <x v="0"/>
    <x v="6"/>
    <x v="2"/>
    <s v="Økologisk"/>
    <x v="0"/>
    <s v="Roer"/>
    <n v="10168.724562318854"/>
    <n v="470960.6838035878"/>
    <n v="0"/>
    <n v="470960.6838035878"/>
  </r>
  <r>
    <x v="0"/>
    <x v="7"/>
    <x v="2"/>
    <s v="Økologisk"/>
    <x v="0"/>
    <s v="Majs"/>
    <n v="20588.261048399749"/>
    <n v="760598.30438934651"/>
    <n v="0"/>
    <n v="760598.30438934651"/>
  </r>
  <r>
    <x v="0"/>
    <x v="8"/>
    <x v="2"/>
    <s v="Økologisk"/>
    <x v="0"/>
    <s v="Frugt"/>
    <n v="616.86171283133672"/>
    <n v="2985.1788869046882"/>
    <n v="0"/>
    <n v="2985.1788869046882"/>
  </r>
  <r>
    <x v="0"/>
    <x v="9"/>
    <x v="2"/>
    <s v="Økologisk"/>
    <x v="0"/>
    <s v="Øvrige"/>
    <n v="5459.6747975465751"/>
    <n v="92725.412249236761"/>
    <n v="0"/>
    <n v="92725.412249236761"/>
  </r>
  <r>
    <x v="0"/>
    <x v="10"/>
    <x v="2"/>
    <s v="Økologisk"/>
    <x v="0"/>
    <s v="Halm"/>
    <n v="12273.876618691718"/>
    <n v="99966.436970703828"/>
    <n v="23925.78558622019"/>
    <n v="23925.78558622019"/>
  </r>
  <r>
    <x v="0"/>
    <x v="11"/>
    <x v="2"/>
    <s v="Økologisk"/>
    <x v="0"/>
    <s v="Juletræer"/>
    <n v="2305.2455839122736"/>
    <n v="65699.499141499793"/>
    <n v="0"/>
    <n v="65699.499141499793"/>
  </r>
  <r>
    <x v="0"/>
    <x v="12"/>
    <x v="2"/>
    <s v="Økologisk"/>
    <x v="0"/>
    <s v="Pil &amp; poppel"/>
    <n v="886.46810174090911"/>
    <n v="12324.068731519956"/>
    <n v="0"/>
    <n v="12324.068731519956"/>
  </r>
  <r>
    <x v="0"/>
    <x v="13"/>
    <x v="2"/>
    <s v="Økologisk"/>
    <x v="0"/>
    <s v="Græs"/>
    <n v="21503.910446797723"/>
    <n v="296538.92506134062"/>
    <n v="0"/>
    <n v="296538.92506134062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2397.451002927566"/>
    <n v="104287.35783662667"/>
    <n v="49039.265886152367"/>
    <n v="49039.265886152367"/>
  </r>
  <r>
    <x v="0"/>
    <x v="1"/>
    <x v="1"/>
    <s v="Konventionel"/>
    <x v="1"/>
    <s v="Halm"/>
    <n v="1062.761606425149"/>
    <n v="4922.7117609612906"/>
    <n v="2105.4696357053253"/>
    <n v="2105.4696357053253"/>
  </r>
  <r>
    <x v="0"/>
    <x v="2"/>
    <x v="1"/>
    <s v="Konventionel"/>
    <x v="1"/>
    <s v="Halm"/>
    <n v="1137.9870596805204"/>
    <n v="6008.5716751131476"/>
    <n v="4623.4201532780708"/>
    <n v="4623.4201532780708"/>
  </r>
  <r>
    <x v="0"/>
    <x v="3"/>
    <x v="1"/>
    <s v="Konventionel"/>
    <x v="1"/>
    <s v="Græs"/>
    <n v="10501.746271795293"/>
    <n v="625315.98000777897"/>
    <n v="0"/>
    <n v="625315.98000777897"/>
  </r>
  <r>
    <x v="0"/>
    <x v="4"/>
    <x v="1"/>
    <s v="Konventionel"/>
    <x v="1"/>
    <s v="Grøntsager"/>
    <n v="49.117062325833871"/>
    <n v="1223.0148519132633"/>
    <n v="0"/>
    <n v="1223.0148519132633"/>
  </r>
  <r>
    <x v="0"/>
    <x v="5"/>
    <x v="1"/>
    <s v="Konventionel"/>
    <x v="1"/>
    <s v="Kartofler"/>
    <n v="775.43110733760068"/>
    <n v="39519.907927612192"/>
    <n v="0"/>
    <n v="39519.907927612192"/>
  </r>
  <r>
    <x v="0"/>
    <x v="6"/>
    <x v="1"/>
    <s v="Konventionel"/>
    <x v="1"/>
    <s v="Roer"/>
    <n v="20.343682789424093"/>
    <n v="1983.6001630858166"/>
    <n v="0"/>
    <n v="1983.6001630858166"/>
  </r>
  <r>
    <x v="0"/>
    <x v="7"/>
    <x v="1"/>
    <s v="Konventionel"/>
    <x v="1"/>
    <s v="Majs"/>
    <n v="2626.0637331851003"/>
    <n v="140263.31611688258"/>
    <n v="0"/>
    <n v="140263.31611688258"/>
  </r>
  <r>
    <x v="0"/>
    <x v="8"/>
    <x v="1"/>
    <s v="Konventionel"/>
    <x v="1"/>
    <s v="Frugt"/>
    <n v="44.737253203575285"/>
    <n v="455.78313563802504"/>
    <n v="0"/>
    <n v="455.78313563802504"/>
  </r>
  <r>
    <x v="0"/>
    <x v="9"/>
    <x v="1"/>
    <s v="Konventionel"/>
    <x v="1"/>
    <s v="Øvrige"/>
    <n v="791.21864877871178"/>
    <n v="28290.127393960796"/>
    <n v="0"/>
    <n v="28290.127393960796"/>
  </r>
  <r>
    <x v="0"/>
    <x v="10"/>
    <x v="1"/>
    <s v="Konventionel"/>
    <x v="1"/>
    <s v="Halm"/>
    <n v="1952.9609549061931"/>
    <n v="33486.704584058869"/>
    <n v="8014.6470970260507"/>
    <n v="8014.6470970260507"/>
  </r>
  <r>
    <x v="0"/>
    <x v="11"/>
    <x v="1"/>
    <s v="Konventionel"/>
    <x v="1"/>
    <s v="Juletræer"/>
    <n v="224.38166373606674"/>
    <n v="13462.899824164006"/>
    <n v="0"/>
    <n v="13462.899824164006"/>
  </r>
  <r>
    <x v="0"/>
    <x v="12"/>
    <x v="1"/>
    <s v="Konventionel"/>
    <x v="1"/>
    <s v="Pil &amp; poppel"/>
    <n v="368.51743073956908"/>
    <n v="10785.876021645925"/>
    <n v="0"/>
    <n v="10785.876021645925"/>
  </r>
  <r>
    <x v="0"/>
    <x v="13"/>
    <x v="1"/>
    <s v="Konventionel"/>
    <x v="1"/>
    <s v="Græs"/>
    <n v="40667.094971784412"/>
    <n v="672959.08759308851"/>
    <n v="0"/>
    <n v="672959.08759308851"/>
  </r>
  <r>
    <x v="0"/>
    <x v="0"/>
    <x v="2"/>
    <s v="Konventionel"/>
    <x v="1"/>
    <s v="Halm"/>
    <n v="11824.158471000279"/>
    <n v="99464.821058054338"/>
    <n v="46771.554168873641"/>
    <n v="46771.554168873641"/>
  </r>
  <r>
    <x v="0"/>
    <x v="1"/>
    <x v="2"/>
    <s v="Konventionel"/>
    <x v="1"/>
    <s v="Halm"/>
    <n v="1013.616561041327"/>
    <n v="4695.0719107434261"/>
    <n v="2008.1068779848476"/>
    <n v="2008.1068779848476"/>
  </r>
  <r>
    <x v="0"/>
    <x v="2"/>
    <x v="2"/>
    <s v="Konventionel"/>
    <x v="1"/>
    <s v="Halm"/>
    <n v="1085.3633806201497"/>
    <n v="5730.7186496743898"/>
    <n v="4409.6203774039413"/>
    <n v="4409.6203774039413"/>
  </r>
  <r>
    <x v="0"/>
    <x v="3"/>
    <x v="2"/>
    <s v="Konventionel"/>
    <x v="1"/>
    <s v="Græs"/>
    <n v="10016.116386394353"/>
    <n v="596399.6341114653"/>
    <n v="0"/>
    <n v="596399.6341114653"/>
  </r>
  <r>
    <x v="0"/>
    <x v="4"/>
    <x v="2"/>
    <s v="Konventionel"/>
    <x v="1"/>
    <s v="Grøntsager"/>
    <n v="46.845753085332873"/>
    <n v="1166.4592518247885"/>
    <n v="0"/>
    <n v="1166.4592518247885"/>
  </r>
  <r>
    <x v="0"/>
    <x v="5"/>
    <x v="2"/>
    <s v="Konventionel"/>
    <x v="1"/>
    <s v="Kartofler"/>
    <n v="739.57302144915673"/>
    <n v="37692.397734427817"/>
    <n v="0"/>
    <n v="37692.397734427817"/>
  </r>
  <r>
    <x v="0"/>
    <x v="6"/>
    <x v="2"/>
    <s v="Konventionel"/>
    <x v="1"/>
    <s v="Roer"/>
    <n v="19.402934452340897"/>
    <n v="1891.8729879142179"/>
    <n v="0"/>
    <n v="1891.8729879142179"/>
  </r>
  <r>
    <x v="0"/>
    <x v="7"/>
    <x v="2"/>
    <s v="Konventionel"/>
    <x v="1"/>
    <s v="Majs"/>
    <n v="2504.6272599742283"/>
    <n v="133777.15120974349"/>
    <n v="0"/>
    <n v="133777.15120974349"/>
  </r>
  <r>
    <x v="0"/>
    <x v="8"/>
    <x v="2"/>
    <s v="Konventionel"/>
    <x v="1"/>
    <s v="Frugt"/>
    <n v="42.668478488959082"/>
    <n v="434.70645884551516"/>
    <n v="0"/>
    <n v="434.70645884551516"/>
  </r>
  <r>
    <x v="0"/>
    <x v="9"/>
    <x v="2"/>
    <s v="Konventionel"/>
    <x v="1"/>
    <s v="Øvrige"/>
    <n v="754.6305031704477"/>
    <n v="26981.913410425037"/>
    <n v="0"/>
    <n v="26981.913410425037"/>
  </r>
  <r>
    <x v="0"/>
    <x v="10"/>
    <x v="2"/>
    <s v="Konventionel"/>
    <x v="1"/>
    <s v="Halm"/>
    <n v="1862.6506217313402"/>
    <n v="31938.18645300412"/>
    <n v="7644.0275780884303"/>
    <n v="7644.0275780884303"/>
  </r>
  <r>
    <x v="0"/>
    <x v="11"/>
    <x v="2"/>
    <s v="Konventionel"/>
    <x v="1"/>
    <s v="Juletræer"/>
    <n v="214.00563304306942"/>
    <n v="12840.337982584166"/>
    <n v="0"/>
    <n v="12840.337982584166"/>
  </r>
  <r>
    <x v="0"/>
    <x v="12"/>
    <x v="2"/>
    <s v="Konventionel"/>
    <x v="1"/>
    <s v="Pil &amp; poppel"/>
    <n v="351.476162266063"/>
    <n v="10287.107188275015"/>
    <n v="0"/>
    <n v="10287.107188275015"/>
  </r>
  <r>
    <x v="0"/>
    <x v="13"/>
    <x v="2"/>
    <s v="Konventionel"/>
    <x v="1"/>
    <s v="Græs"/>
    <n v="38786.535666730793"/>
    <n v="641839.59221306117"/>
    <n v="0"/>
    <n v="641839.59221306117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1934.8622952545911"/>
    <n v="10904.961290546686"/>
    <n v="5127.863120696511"/>
    <n v="5127.863120696511"/>
  </r>
  <r>
    <x v="0"/>
    <x v="1"/>
    <x v="1"/>
    <s v="Økologisk"/>
    <x v="1"/>
    <s v="Halm"/>
    <n v="165.86452817039898"/>
    <n v="437.9221618566142"/>
    <n v="187.30160516476849"/>
    <n v="187.30160516476849"/>
  </r>
  <r>
    <x v="0"/>
    <x v="2"/>
    <x v="1"/>
    <s v="Økologisk"/>
    <x v="1"/>
    <s v="Halm"/>
    <n v="177.60491682875178"/>
    <n v="515.76467847069523"/>
    <n v="396.86583396635473"/>
    <n v="396.86583396635473"/>
  </r>
  <r>
    <x v="0"/>
    <x v="3"/>
    <x v="1"/>
    <s v="Økologisk"/>
    <x v="1"/>
    <s v="Græs"/>
    <n v="1639.0008632281672"/>
    <n v="76122.280572045231"/>
    <n v="0"/>
    <n v="76122.280572045231"/>
  </r>
  <r>
    <x v="0"/>
    <x v="4"/>
    <x v="1"/>
    <s v="Økologisk"/>
    <x v="1"/>
    <s v="Grøntsager"/>
    <n v="7.6656686866908359"/>
    <n v="108.79883567020302"/>
    <n v="0"/>
    <n v="108.79883567020302"/>
  </r>
  <r>
    <x v="0"/>
    <x v="5"/>
    <x v="1"/>
    <s v="Økologisk"/>
    <x v="1"/>
    <s v="Kartofler"/>
    <n v="121.0210398734984"/>
    <n v="3515.6727341384499"/>
    <n v="0"/>
    <n v="3515.6727341384499"/>
  </r>
  <r>
    <x v="0"/>
    <x v="6"/>
    <x v="1"/>
    <s v="Økologisk"/>
    <x v="1"/>
    <s v="Roer"/>
    <n v="3.1750256376557835"/>
    <n v="176.46015323636252"/>
    <n v="0"/>
    <n v="176.46015323636252"/>
  </r>
  <r>
    <x v="0"/>
    <x v="7"/>
    <x v="1"/>
    <s v="Økologisk"/>
    <x v="1"/>
    <s v="Majs"/>
    <n v="409.84809708669195"/>
    <n v="18169.369446123346"/>
    <n v="0"/>
    <n v="18169.369446123346"/>
  </r>
  <r>
    <x v="0"/>
    <x v="8"/>
    <x v="1"/>
    <s v="Økologisk"/>
    <x v="1"/>
    <s v="Frugt"/>
    <n v="6.9821146618296694"/>
    <n v="40.54625697959078"/>
    <n v="0"/>
    <n v="40.54625697959078"/>
  </r>
  <r>
    <x v="0"/>
    <x v="9"/>
    <x v="1"/>
    <s v="Økologisk"/>
    <x v="1"/>
    <s v="Øvrige"/>
    <n v="123.48499142789146"/>
    <n v="2516.6766508269175"/>
    <n v="0"/>
    <n v="2516.6766508269175"/>
  </r>
  <r>
    <x v="0"/>
    <x v="10"/>
    <x v="1"/>
    <s v="Økologisk"/>
    <x v="1"/>
    <s v="Halm"/>
    <n v="304.79737446512843"/>
    <n v="2978.9617546165664"/>
    <n v="712.97929955624829"/>
    <n v="712.97929955624829"/>
  </r>
  <r>
    <x v="0"/>
    <x v="11"/>
    <x v="1"/>
    <s v="Økologisk"/>
    <x v="1"/>
    <s v="Juletræer"/>
    <n v="35.01910358886591"/>
    <n v="1197.6533427392139"/>
    <n v="0"/>
    <n v="1197.6533427392139"/>
  </r>
  <r>
    <x v="0"/>
    <x v="12"/>
    <x v="1"/>
    <s v="Økologisk"/>
    <x v="1"/>
    <s v="Pil &amp; poppel"/>
    <n v="57.514281098083039"/>
    <n v="959.50654319728767"/>
    <n v="0"/>
    <n v="959.50654319728767"/>
  </r>
  <r>
    <x v="0"/>
    <x v="13"/>
    <x v="1"/>
    <s v="Økologisk"/>
    <x v="1"/>
    <s v="Græs"/>
    <n v="6346.8876545559488"/>
    <n v="105028.29690759185"/>
    <n v="0"/>
    <n v="105028.29690759185"/>
  </r>
  <r>
    <x v="0"/>
    <x v="0"/>
    <x v="2"/>
    <s v="Økologisk"/>
    <x v="1"/>
    <s v="Halm"/>
    <n v="2508.1548271818774"/>
    <n v="14136.060932190147"/>
    <n v="6647.2299712732556"/>
    <n v="6647.2299712732556"/>
  </r>
  <r>
    <x v="0"/>
    <x v="1"/>
    <x v="2"/>
    <s v="Økologisk"/>
    <x v="1"/>
    <s v="Halm"/>
    <n v="215.00957355422085"/>
    <n v="567.67687648079607"/>
    <n v="242.79837706544063"/>
    <n v="242.79837706544063"/>
  </r>
  <r>
    <x v="0"/>
    <x v="2"/>
    <x v="2"/>
    <s v="Økologisk"/>
    <x v="1"/>
    <s v="Halm"/>
    <n v="230.22859588912263"/>
    <n v="668.58384246201217"/>
    <n v="514.45571069712639"/>
    <n v="514.45571069712639"/>
  </r>
  <r>
    <x v="0"/>
    <x v="3"/>
    <x v="2"/>
    <s v="Økologisk"/>
    <x v="1"/>
    <s v="Græs"/>
    <n v="2124.6307486291057"/>
    <n v="98677.030371169749"/>
    <n v="0"/>
    <n v="98677.030371169749"/>
  </r>
  <r>
    <x v="0"/>
    <x v="4"/>
    <x v="2"/>
    <s v="Økologisk"/>
    <x v="1"/>
    <s v="Grøntsager"/>
    <n v="9.9369779271918226"/>
    <n v="141.03552772063352"/>
    <n v="0"/>
    <n v="141.03552772063352"/>
  </r>
  <r>
    <x v="0"/>
    <x v="5"/>
    <x v="2"/>
    <s v="Økologisk"/>
    <x v="1"/>
    <s v="Kartofler"/>
    <n v="156.87912576194233"/>
    <n v="4557.3535442535449"/>
    <n v="0"/>
    <n v="4557.3535442535449"/>
  </r>
  <r>
    <x v="0"/>
    <x v="6"/>
    <x v="2"/>
    <s v="Økologisk"/>
    <x v="1"/>
    <s v="Roer"/>
    <n v="4.1157739747389783"/>
    <n v="228.74464308417362"/>
    <n v="0"/>
    <n v="228.74464308417362"/>
  </r>
  <r>
    <x v="0"/>
    <x v="7"/>
    <x v="2"/>
    <s v="Økologisk"/>
    <x v="1"/>
    <s v="Majs"/>
    <n v="531.28457029756362"/>
    <n v="23552.886319048779"/>
    <n v="0"/>
    <n v="23552.886319048779"/>
  </r>
  <r>
    <x v="0"/>
    <x v="8"/>
    <x v="2"/>
    <s v="Økologisk"/>
    <x v="1"/>
    <s v="Frugt"/>
    <n v="9.0508893764458662"/>
    <n v="52.559962751321372"/>
    <n v="0"/>
    <n v="52.559962751321372"/>
  </r>
  <r>
    <x v="0"/>
    <x v="9"/>
    <x v="2"/>
    <s v="Økologisk"/>
    <x v="1"/>
    <s v="Øvrige"/>
    <n v="160.07313703615557"/>
    <n v="3262.3586214422994"/>
    <n v="0"/>
    <n v="3262.3586214422994"/>
  </r>
  <r>
    <x v="0"/>
    <x v="10"/>
    <x v="2"/>
    <s v="Økologisk"/>
    <x v="1"/>
    <s v="Halm"/>
    <n v="395.1077076399813"/>
    <n v="3861.6170893177714"/>
    <n v="924.2324253506921"/>
    <n v="924.2324253506921"/>
  </r>
  <r>
    <x v="0"/>
    <x v="11"/>
    <x v="2"/>
    <s v="Økologisk"/>
    <x v="1"/>
    <s v="Juletræer"/>
    <n v="45.395134281863214"/>
    <n v="1552.5135924397218"/>
    <n v="0"/>
    <n v="1552.5135924397218"/>
  </r>
  <r>
    <x v="0"/>
    <x v="12"/>
    <x v="2"/>
    <s v="Økologisk"/>
    <x v="1"/>
    <s v="Pil &amp; poppel"/>
    <n v="74.555549571589111"/>
    <n v="1243.8047782187059"/>
    <n v="0"/>
    <n v="1243.8047782187059"/>
  </r>
  <r>
    <x v="0"/>
    <x v="13"/>
    <x v="2"/>
    <s v="Økologisk"/>
    <x v="1"/>
    <s v="Græs"/>
    <n v="8227.4469596095623"/>
    <n v="136147.79228761903"/>
    <n v="0"/>
    <n v="136147.79228761903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6829.6764788402734"/>
    <n v="67026.444963338436"/>
    <n v="31517.987646306185"/>
    <n v="31517.987646306185"/>
  </r>
  <r>
    <x v="0"/>
    <x v="1"/>
    <x v="1"/>
    <s v="Konventionel"/>
    <x v="2"/>
    <s v="Halm"/>
    <n v="393.24746020858441"/>
    <n v="2125.1092749671902"/>
    <n v="908.9203813398658"/>
    <n v="908.9203813398658"/>
  </r>
  <r>
    <x v="0"/>
    <x v="2"/>
    <x v="1"/>
    <s v="Konventionel"/>
    <x v="2"/>
    <s v="Halm"/>
    <n v="509.2376538265151"/>
    <n v="3136.903947571333"/>
    <n v="2413.7558332156746"/>
    <n v="2413.7558332156746"/>
  </r>
  <r>
    <x v="0"/>
    <x v="3"/>
    <x v="1"/>
    <s v="Konventionel"/>
    <x v="2"/>
    <s v="Græs"/>
    <n v="11744.627821749295"/>
    <n v="815875.80552127992"/>
    <n v="0"/>
    <n v="815875.80552127992"/>
  </r>
  <r>
    <x v="0"/>
    <x v="4"/>
    <x v="1"/>
    <s v="Konventionel"/>
    <x v="2"/>
    <s v="Grøntsager"/>
    <n v="13.650927813648"/>
    <n v="396.55945298647441"/>
    <n v="0"/>
    <n v="396.55945298647441"/>
  </r>
  <r>
    <x v="0"/>
    <x v="5"/>
    <x v="1"/>
    <s v="Konventionel"/>
    <x v="2"/>
    <s v="Kartofler"/>
    <n v="722.54761223276046"/>
    <n v="42962.145802906423"/>
    <n v="0"/>
    <n v="42962.145802906423"/>
  </r>
  <r>
    <x v="0"/>
    <x v="6"/>
    <x v="1"/>
    <s v="Konventionel"/>
    <x v="2"/>
    <s v="Roer"/>
    <n v="7.81367517821608"/>
    <n v="888.84636922823381"/>
    <n v="0"/>
    <n v="888.84636922823381"/>
  </r>
  <r>
    <x v="0"/>
    <x v="7"/>
    <x v="1"/>
    <s v="Konventionel"/>
    <x v="2"/>
    <s v="Majs"/>
    <n v="971.70700105983565"/>
    <n v="60550.950064042598"/>
    <n v="0"/>
    <n v="60550.950064042598"/>
  </r>
  <r>
    <x v="0"/>
    <x v="8"/>
    <x v="1"/>
    <s v="Konventionel"/>
    <x v="2"/>
    <s v="Frugt"/>
    <n v="27.846169827307591"/>
    <n v="330.97957456737799"/>
    <n v="0"/>
    <n v="330.97957456737799"/>
  </r>
  <r>
    <x v="0"/>
    <x v="9"/>
    <x v="1"/>
    <s v="Konventionel"/>
    <x v="2"/>
    <s v="Øvrige"/>
    <n v="492.48461375505457"/>
    <n v="20543.661222135182"/>
    <n v="0"/>
    <n v="20543.661222135182"/>
  </r>
  <r>
    <x v="0"/>
    <x v="10"/>
    <x v="1"/>
    <s v="Konventionel"/>
    <x v="2"/>
    <s v="Halm"/>
    <n v="1566.9213854799195"/>
    <n v="31345.33009747367"/>
    <n v="7502.1344139856974"/>
    <n v="7502.1344139856974"/>
  </r>
  <r>
    <x v="0"/>
    <x v="11"/>
    <x v="1"/>
    <s v="Konventionel"/>
    <x v="2"/>
    <s v="Juletræer"/>
    <n v="139.66369115457903"/>
    <n v="9776.4583808205316"/>
    <n v="0"/>
    <n v="9776.4583808205316"/>
  </r>
  <r>
    <x v="0"/>
    <x v="12"/>
    <x v="1"/>
    <s v="Konventionel"/>
    <x v="2"/>
    <s v="Pil &amp; poppel"/>
    <n v="329.67947330545348"/>
    <n v="11257.347868966703"/>
    <n v="0"/>
    <n v="11257.347868966703"/>
  </r>
  <r>
    <x v="0"/>
    <x v="13"/>
    <x v="1"/>
    <s v="Konventionel"/>
    <x v="2"/>
    <s v="Græs"/>
    <n v="31481.370371455621"/>
    <n v="607779.3363913222"/>
    <n v="0"/>
    <n v="607779.3363913222"/>
  </r>
  <r>
    <x v="0"/>
    <x v="0"/>
    <x v="2"/>
    <s v="Konventionel"/>
    <x v="2"/>
    <s v="Halm"/>
    <n v="6513.8532890673114"/>
    <n v="63926.956178906585"/>
    <n v="30060.508448789125"/>
    <n v="30060.508448789125"/>
  </r>
  <r>
    <x v="0"/>
    <x v="1"/>
    <x v="2"/>
    <s v="Konventionel"/>
    <x v="2"/>
    <s v="Halm"/>
    <n v="375.06260655732041"/>
    <n v="2026.8383258357594"/>
    <n v="866.88938104669273"/>
    <n v="866.88938104669273"/>
  </r>
  <r>
    <x v="0"/>
    <x v="2"/>
    <x v="2"/>
    <s v="Konventionel"/>
    <x v="2"/>
    <s v="Halm"/>
    <n v="485.68909179985542"/>
    <n v="2991.8448054871092"/>
    <n v="2302.1370663617704"/>
    <n v="2302.1370663617704"/>
  </r>
  <r>
    <x v="0"/>
    <x v="3"/>
    <x v="2"/>
    <s v="Konventionel"/>
    <x v="2"/>
    <s v="Græs"/>
    <n v="11201.523645021003"/>
    <n v="778147.44457231904"/>
    <n v="0"/>
    <n v="778147.44457231904"/>
  </r>
  <r>
    <x v="0"/>
    <x v="4"/>
    <x v="2"/>
    <s v="Konventionel"/>
    <x v="2"/>
    <s v="Grøntsager"/>
    <n v="13.019671036138266"/>
    <n v="378.22144359981667"/>
    <n v="0"/>
    <n v="378.22144359981667"/>
  </r>
  <r>
    <x v="0"/>
    <x v="5"/>
    <x v="2"/>
    <s v="Konventionel"/>
    <x v="2"/>
    <s v="Kartofler"/>
    <n v="689.13500588673674"/>
    <n v="40975.456979650633"/>
    <n v="0"/>
    <n v="40975.456979650633"/>
  </r>
  <r>
    <x v="0"/>
    <x v="6"/>
    <x v="2"/>
    <s v="Konventionel"/>
    <x v="2"/>
    <s v="Roer"/>
    <n v="7.4523491584141794"/>
    <n v="847.7436469517836"/>
    <n v="0"/>
    <n v="847.7436469517836"/>
  </r>
  <r>
    <x v="0"/>
    <x v="7"/>
    <x v="2"/>
    <s v="Konventionel"/>
    <x v="2"/>
    <s v="Majs"/>
    <n v="926.7725732651611"/>
    <n v="57750.906130445248"/>
    <n v="0"/>
    <n v="57750.906130445248"/>
  </r>
  <r>
    <x v="0"/>
    <x v="8"/>
    <x v="2"/>
    <s v="Konventionel"/>
    <x v="2"/>
    <s v="Frugt"/>
    <n v="26.558485673443656"/>
    <n v="315.67416071455131"/>
    <n v="0"/>
    <n v="315.67416071455131"/>
  </r>
  <r>
    <x v="0"/>
    <x v="9"/>
    <x v="2"/>
    <s v="Konventionel"/>
    <x v="2"/>
    <s v="Øvrige"/>
    <n v="469.71075878372255"/>
    <n v="19593.665327469971"/>
    <n v="0"/>
    <n v="19593.665327469971"/>
  </r>
  <r>
    <x v="0"/>
    <x v="10"/>
    <x v="2"/>
    <s v="Konventionel"/>
    <x v="2"/>
    <s v="Halm"/>
    <n v="1494.4625930877842"/>
    <n v="29895.835064064475"/>
    <n v="7155.2149035123675"/>
    <n v="7155.2149035123675"/>
  </r>
  <r>
    <x v="0"/>
    <x v="11"/>
    <x v="2"/>
    <s v="Konventionel"/>
    <x v="2"/>
    <s v="Juletræer"/>
    <n v="133.20525456939615"/>
    <n v="9324.3678198577309"/>
    <n v="0"/>
    <n v="9324.3678198577309"/>
  </r>
  <r>
    <x v="0"/>
    <x v="12"/>
    <x v="2"/>
    <s v="Konventionel"/>
    <x v="2"/>
    <s v="Pil &amp; poppel"/>
    <n v="314.43417974219551"/>
    <n v="10736.776869245699"/>
    <n v="0"/>
    <n v="10736.776869245699"/>
  </r>
  <r>
    <x v="0"/>
    <x v="13"/>
    <x v="2"/>
    <s v="Konventionel"/>
    <x v="2"/>
    <s v="Græs"/>
    <n v="30025.584458324727"/>
    <n v="579673.93355241721"/>
    <n v="0"/>
    <n v="579673.9335524172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65.9032654837422"/>
    <n v="7008.7190137964881"/>
    <n v="3295.7248353854275"/>
    <n v="3295.7248353854275"/>
  </r>
  <r>
    <x v="0"/>
    <x v="1"/>
    <x v="1"/>
    <s v="Økologisk"/>
    <x v="2"/>
    <s v="Halm"/>
    <n v="61.373881073016072"/>
    <n v="189.04873839158992"/>
    <n v="80.857136813991545"/>
    <n v="80.857136813991545"/>
  </r>
  <r>
    <x v="0"/>
    <x v="2"/>
    <x v="1"/>
    <s v="Økologisk"/>
    <x v="2"/>
    <s v="Halm"/>
    <n v="79.476396839976346"/>
    <n v="269.26603249383987"/>
    <n v="207.19233597255936"/>
    <n v="207.19233597255936"/>
  </r>
  <r>
    <x v="0"/>
    <x v="3"/>
    <x v="1"/>
    <s v="Økologisk"/>
    <x v="2"/>
    <s v="Græs"/>
    <n v="1832.9765964579826"/>
    <n v="99319.910198139638"/>
    <n v="0"/>
    <n v="99319.910198139638"/>
  </r>
  <r>
    <x v="0"/>
    <x v="4"/>
    <x v="1"/>
    <s v="Økologisk"/>
    <x v="2"/>
    <s v="Grøntsager"/>
    <n v="2.1304916240953529"/>
    <n v="35.277745557582897"/>
    <n v="0"/>
    <n v="35.277745557582897"/>
  </r>
  <r>
    <x v="0"/>
    <x v="5"/>
    <x v="1"/>
    <s v="Økologisk"/>
    <x v="2"/>
    <s v="Kartofler"/>
    <n v="112.76754641782966"/>
    <n v="3821.8926237383225"/>
    <n v="0"/>
    <n v="3821.8926237383225"/>
  </r>
  <r>
    <x v="0"/>
    <x v="6"/>
    <x v="1"/>
    <s v="Økologisk"/>
    <x v="2"/>
    <s v="Roer"/>
    <n v="1.2194753168314114"/>
    <n v="79.071361979320926"/>
    <n v="0"/>
    <n v="79.071361979320926"/>
  </r>
  <r>
    <x v="0"/>
    <x v="7"/>
    <x v="1"/>
    <s v="Økologisk"/>
    <x v="2"/>
    <s v="Majs"/>
    <n v="151.6536938070264"/>
    <n v="7843.6230689895647"/>
    <n v="0"/>
    <n v="7843.6230689895647"/>
  </r>
  <r>
    <x v="0"/>
    <x v="8"/>
    <x v="1"/>
    <s v="Økologisk"/>
    <x v="2"/>
    <s v="Frugt"/>
    <n v="4.3459340192907803"/>
    <n v="29.443789899375417"/>
    <n v="0"/>
    <n v="29.443789899375417"/>
  </r>
  <r>
    <x v="0"/>
    <x v="9"/>
    <x v="1"/>
    <s v="Økologisk"/>
    <x v="2"/>
    <s v="Øvrige"/>
    <n v="76.861760528245512"/>
    <n v="1827.5546023621989"/>
    <n v="0"/>
    <n v="1827.5546023621989"/>
  </r>
  <r>
    <x v="0"/>
    <x v="10"/>
    <x v="1"/>
    <s v="Økologisk"/>
    <x v="2"/>
    <s v="Halm"/>
    <n v="244.54842432345563"/>
    <n v="2788.4660705209226"/>
    <n v="667.3864082730629"/>
    <n v="667.3864082730629"/>
  </r>
  <r>
    <x v="0"/>
    <x v="11"/>
    <x v="1"/>
    <s v="Økologisk"/>
    <x v="2"/>
    <s v="Juletræer"/>
    <n v="21.797223474992101"/>
    <n v="869.70921665218475"/>
    <n v="0"/>
    <n v="869.70921665218475"/>
  </r>
  <r>
    <x v="0"/>
    <x v="12"/>
    <x v="1"/>
    <s v="Økologisk"/>
    <x v="2"/>
    <s v="Pil &amp; poppel"/>
    <n v="51.452865775995633"/>
    <n v="1001.4484607132807"/>
    <n v="0"/>
    <n v="1001.4484607132807"/>
  </r>
  <r>
    <x v="0"/>
    <x v="13"/>
    <x v="1"/>
    <s v="Økologisk"/>
    <x v="2"/>
    <s v="Græs"/>
    <n v="4913.2774568167742"/>
    <n v="94855.734581304656"/>
    <n v="0"/>
    <n v="94855.734581304656"/>
  </r>
  <r>
    <x v="0"/>
    <x v="0"/>
    <x v="2"/>
    <s v="Økologisk"/>
    <x v="2"/>
    <s v="Halm"/>
    <n v="1381.7264552567024"/>
    <n v="9085.3764993658169"/>
    <n v="4272.2358977218491"/>
    <n v="4272.2358977218491"/>
  </r>
  <r>
    <x v="0"/>
    <x v="1"/>
    <x v="2"/>
    <s v="Økologisk"/>
    <x v="2"/>
    <s v="Halm"/>
    <n v="79.558734724280086"/>
    <n v="245.06317939650546"/>
    <n v="104.81480698110011"/>
    <n v="104.81480698110011"/>
  </r>
  <r>
    <x v="0"/>
    <x v="2"/>
    <x v="2"/>
    <s v="Økologisk"/>
    <x v="2"/>
    <s v="Halm"/>
    <n v="103.024958866636"/>
    <n v="349.0485606401628"/>
    <n v="268.58265774220655"/>
    <n v="268.58265774220655"/>
  </r>
  <r>
    <x v="0"/>
    <x v="3"/>
    <x v="2"/>
    <s v="Økologisk"/>
    <x v="2"/>
    <s v="Græs"/>
    <n v="2376.0807731862733"/>
    <n v="128748.03173832915"/>
    <n v="0"/>
    <n v="128748.03173832915"/>
  </r>
  <r>
    <x v="0"/>
    <x v="4"/>
    <x v="2"/>
    <s v="Økologisk"/>
    <x v="2"/>
    <s v="Grøntsager"/>
    <n v="2.7617484016050868"/>
    <n v="45.730410907977834"/>
    <n v="0"/>
    <n v="45.730410907977834"/>
  </r>
  <r>
    <x v="0"/>
    <x v="5"/>
    <x v="2"/>
    <s v="Økologisk"/>
    <x v="2"/>
    <s v="Kartofler"/>
    <n v="146.18015276385327"/>
    <n v="4954.3052529941224"/>
    <n v="0"/>
    <n v="4954.3052529941224"/>
  </r>
  <r>
    <x v="0"/>
    <x v="6"/>
    <x v="2"/>
    <s v="Økologisk"/>
    <x v="2"/>
    <s v="Roer"/>
    <n v="1.5808013366333109"/>
    <n v="102.49991367689748"/>
    <n v="0"/>
    <n v="102.49991367689748"/>
  </r>
  <r>
    <x v="0"/>
    <x v="7"/>
    <x v="2"/>
    <s v="Økologisk"/>
    <x v="2"/>
    <s v="Majs"/>
    <n v="196.58812160170083"/>
    <n v="10167.65953387536"/>
    <n v="0"/>
    <n v="10167.65953387536"/>
  </r>
  <r>
    <x v="0"/>
    <x v="8"/>
    <x v="2"/>
    <s v="Økologisk"/>
    <x v="2"/>
    <s v="Frugt"/>
    <n v="5.6336181731547148"/>
    <n v="38.167875795486651"/>
    <n v="0"/>
    <n v="38.167875795486651"/>
  </r>
  <r>
    <x v="0"/>
    <x v="9"/>
    <x v="2"/>
    <s v="Økologisk"/>
    <x v="2"/>
    <s v="Øvrige"/>
    <n v="99.635615499577497"/>
    <n v="2369.0522623213683"/>
    <n v="0"/>
    <n v="2369.0522623213683"/>
  </r>
  <r>
    <x v="0"/>
    <x v="10"/>
    <x v="2"/>
    <s v="Økologisk"/>
    <x v="2"/>
    <s v="Halm"/>
    <n v="317.00721671559063"/>
    <n v="3614.678239564159"/>
    <n v="865.13052924285921"/>
    <n v="865.13052924285921"/>
  </r>
  <r>
    <x v="0"/>
    <x v="11"/>
    <x v="2"/>
    <s v="Økologisk"/>
    <x v="2"/>
    <s v="Juletræer"/>
    <n v="28.255660060174939"/>
    <n v="1127.4008364009799"/>
    <n v="0"/>
    <n v="1127.4008364009799"/>
  </r>
  <r>
    <x v="0"/>
    <x v="12"/>
    <x v="2"/>
    <s v="Økologisk"/>
    <x v="2"/>
    <s v="Pil &amp; poppel"/>
    <n v="66.698159339253593"/>
    <n v="1298.1739305542526"/>
    <n v="0"/>
    <n v="1298.1739305542526"/>
  </r>
  <r>
    <x v="0"/>
    <x v="13"/>
    <x v="2"/>
    <s v="Økologisk"/>
    <x v="2"/>
    <s v="Græs"/>
    <n v="6369.0633699476693"/>
    <n v="122961.13742020971"/>
    <n v="0"/>
    <n v="122961.13742020971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90174.15207493372"/>
    <n v="1333120.8060452854"/>
    <n v="626876.22950838727"/>
    <n v="626876.22950838727"/>
  </r>
  <r>
    <x v="1"/>
    <x v="1"/>
    <x v="1"/>
    <s v="Konventionel"/>
    <x v="0"/>
    <s v="Halm"/>
    <n v="14634.530814874721"/>
    <n v="56489.288945416425"/>
    <n v="24160.765121444623"/>
    <n v="24160.765121444623"/>
  </r>
  <r>
    <x v="1"/>
    <x v="2"/>
    <x v="1"/>
    <s v="Konventionel"/>
    <x v="0"/>
    <s v="Halm"/>
    <n v="21415.704421878378"/>
    <n v="94229.09945626487"/>
    <n v="72506.535830436726"/>
    <n v="72506.535830436726"/>
  </r>
  <r>
    <x v="1"/>
    <x v="3"/>
    <x v="1"/>
    <s v="Konventionel"/>
    <x v="0"/>
    <s v="Græs"/>
    <n v="118583.25035158051"/>
    <n v="5884100.8824454248"/>
    <n v="0"/>
    <n v="5884100.8824454248"/>
  </r>
  <r>
    <x v="1"/>
    <x v="4"/>
    <x v="1"/>
    <s v="Konventionel"/>
    <x v="0"/>
    <s v="Grøntsager"/>
    <n v="2459.5803417061084"/>
    <n v="51036.292090401752"/>
    <n v="0"/>
    <n v="51036.292090401752"/>
  </r>
  <r>
    <x v="1"/>
    <x v="5"/>
    <x v="1"/>
    <s v="Konventionel"/>
    <x v="0"/>
    <s v="Kartofler"/>
    <n v="10345.22343108295"/>
    <n v="439370.94434551767"/>
    <n v="0"/>
    <n v="439370.94434551767"/>
  </r>
  <r>
    <x v="1"/>
    <x v="6"/>
    <x v="1"/>
    <s v="Konventionel"/>
    <x v="0"/>
    <s v="Roer"/>
    <n v="15811.216143862219"/>
    <n v="1284720.3087639688"/>
    <n v="0"/>
    <n v="1284720.3087639688"/>
  </r>
  <r>
    <x v="1"/>
    <x v="7"/>
    <x v="1"/>
    <s v="Konventionel"/>
    <x v="0"/>
    <s v="Majs"/>
    <n v="32012.416450807639"/>
    <n v="1424872.6562254482"/>
    <n v="0"/>
    <n v="1424872.6562254482"/>
  </r>
  <r>
    <x v="1"/>
    <x v="8"/>
    <x v="1"/>
    <s v="Konventionel"/>
    <x v="0"/>
    <s v="Frugt"/>
    <n v="959.15016801528964"/>
    <n v="8143.1849264498105"/>
    <n v="0"/>
    <n v="8143.1849264498105"/>
  </r>
  <r>
    <x v="1"/>
    <x v="9"/>
    <x v="1"/>
    <s v="Konventionel"/>
    <x v="0"/>
    <s v="Øvrige"/>
    <n v="8489.1765698018808"/>
    <n v="252943.02550483562"/>
    <n v="0"/>
    <n v="252943.02550483562"/>
  </r>
  <r>
    <x v="1"/>
    <x v="10"/>
    <x v="1"/>
    <s v="Konventionel"/>
    <x v="0"/>
    <s v="Halm"/>
    <n v="19084.489401980361"/>
    <n v="272695.61173093005"/>
    <n v="65266.472771150577"/>
    <n v="65266.472771150577"/>
  </r>
  <r>
    <x v="1"/>
    <x v="11"/>
    <x v="1"/>
    <s v="Konventionel"/>
    <x v="0"/>
    <s v="Juletræer"/>
    <n v="3584.3960536589798"/>
    <n v="179219.802682949"/>
    <n v="0"/>
    <n v="179219.802682949"/>
  </r>
  <r>
    <x v="1"/>
    <x v="12"/>
    <x v="1"/>
    <s v="Konventionel"/>
    <x v="0"/>
    <s v="Pil &amp; poppel"/>
    <n v="1378.3575978842866"/>
    <n v="33618.477997177724"/>
    <n v="0"/>
    <n v="33618.477997177724"/>
  </r>
  <r>
    <x v="1"/>
    <x v="13"/>
    <x v="1"/>
    <s v="Konventionel"/>
    <x v="0"/>
    <s v="Græs"/>
    <n v="33436.147663246578"/>
    <n v="461084.4762761704"/>
    <n v="0"/>
    <n v="461084.4762761704"/>
  </r>
  <r>
    <x v="1"/>
    <x v="0"/>
    <x v="2"/>
    <s v="Konventionel"/>
    <x v="0"/>
    <s v="Halm"/>
    <n v="179389.67006955924"/>
    <n v="1257521.5871876103"/>
    <n v="591327.04817660281"/>
    <n v="591327.04817660281"/>
  </r>
  <r>
    <x v="1"/>
    <x v="1"/>
    <x v="2"/>
    <s v="Konventionel"/>
    <x v="0"/>
    <s v="Halm"/>
    <n v="13804.629208856637"/>
    <n v="53285.868746186621"/>
    <n v="22790.645502950778"/>
    <n v="22790.645502950778"/>
  </r>
  <r>
    <x v="1"/>
    <x v="2"/>
    <x v="2"/>
    <s v="Konventionel"/>
    <x v="0"/>
    <s v="Halm"/>
    <n v="20201.252949634338"/>
    <n v="88885.512978391082"/>
    <n v="68394.802335617322"/>
    <n v="68394.802335617322"/>
  </r>
  <r>
    <x v="1"/>
    <x v="3"/>
    <x v="2"/>
    <s v="Konventionel"/>
    <x v="0"/>
    <s v="Græs"/>
    <n v="111858.57764710314"/>
    <n v="5550422.6228492586"/>
    <n v="0"/>
    <n v="5550422.6228492586"/>
  </r>
  <r>
    <x v="1"/>
    <x v="4"/>
    <x v="2"/>
    <s v="Konventionel"/>
    <x v="0"/>
    <s v="Grøntsager"/>
    <n v="2320.101344973416"/>
    <n v="48142.102908198387"/>
    <n v="0"/>
    <n v="48142.102908198387"/>
  </r>
  <r>
    <x v="1"/>
    <x v="5"/>
    <x v="2"/>
    <s v="Konventionel"/>
    <x v="0"/>
    <s v="Kartofler"/>
    <n v="9758.5618121573061"/>
    <n v="414454.89770469151"/>
    <n v="0"/>
    <n v="414454.89770469151"/>
  </r>
  <r>
    <x v="1"/>
    <x v="6"/>
    <x v="2"/>
    <s v="Konventionel"/>
    <x v="0"/>
    <s v="Roer"/>
    <n v="14914.586532918138"/>
    <n v="1211865.8072418857"/>
    <n v="0"/>
    <n v="1211865.8072418857"/>
  </r>
  <r>
    <x v="1"/>
    <x v="7"/>
    <x v="2"/>
    <s v="Konventionel"/>
    <x v="0"/>
    <s v="Majs"/>
    <n v="30197.041830253234"/>
    <n v="1344070.3318645717"/>
    <n v="0"/>
    <n v="1344070.3318645717"/>
  </r>
  <r>
    <x v="1"/>
    <x v="8"/>
    <x v="2"/>
    <s v="Konventionel"/>
    <x v="0"/>
    <s v="Frugt"/>
    <n v="904.75824558759291"/>
    <n v="7681.3975050386643"/>
    <n v="0"/>
    <n v="7681.3975050386643"/>
  </r>
  <r>
    <x v="1"/>
    <x v="9"/>
    <x v="2"/>
    <s v="Konventionel"/>
    <x v="0"/>
    <s v="Øvrige"/>
    <n v="8007.7684974714139"/>
    <n v="238599.01777729217"/>
    <n v="0"/>
    <n v="238599.01777729217"/>
  </r>
  <r>
    <x v="1"/>
    <x v="10"/>
    <x v="2"/>
    <s v="Konventionel"/>
    <x v="0"/>
    <s v="Halm"/>
    <n v="18002.237527623009"/>
    <n v="257231.46539153677"/>
    <n v="61565.312053592112"/>
    <n v="61565.312053592112"/>
  </r>
  <r>
    <x v="1"/>
    <x v="11"/>
    <x v="2"/>
    <s v="Konventionel"/>
    <x v="0"/>
    <s v="Juletræer"/>
    <n v="3381.1304977511027"/>
    <n v="169056.52488755516"/>
    <n v="0"/>
    <n v="169056.52488755516"/>
  </r>
  <r>
    <x v="1"/>
    <x v="12"/>
    <x v="2"/>
    <s v="Konventionel"/>
    <x v="0"/>
    <s v="Pil &amp; poppel"/>
    <n v="1300.1930705330769"/>
    <n v="31712.026110562852"/>
    <n v="0"/>
    <n v="31712.026110562852"/>
  </r>
  <r>
    <x v="1"/>
    <x v="13"/>
    <x v="2"/>
    <s v="Konventionel"/>
    <x v="0"/>
    <s v="Græs"/>
    <n v="31540.035447842853"/>
    <n v="434937.08882575296"/>
    <n v="0"/>
    <n v="434937.08882575296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9680.358994353821"/>
    <n v="139399.74208878161"/>
    <n v="65550.236946859717"/>
    <n v="65550.236946859717"/>
  </r>
  <r>
    <x v="1"/>
    <x v="1"/>
    <x v="1"/>
    <s v="Økologisk"/>
    <x v="0"/>
    <s v="Halm"/>
    <n v="2284.0019190844941"/>
    <n v="5025.2610223697038"/>
    <n v="2149.3304925955649"/>
    <n v="2149.3304925955649"/>
  </r>
  <r>
    <x v="1"/>
    <x v="2"/>
    <x v="1"/>
    <s v="Økologisk"/>
    <x v="0"/>
    <s v="Halm"/>
    <n v="3342.3353722006718"/>
    <n v="8088.4516007256261"/>
    <n v="6223.8269195490493"/>
    <n v="6223.8269195490493"/>
  </r>
  <r>
    <x v="1"/>
    <x v="3"/>
    <x v="1"/>
    <s v="Økologisk"/>
    <x v="0"/>
    <s v="Græs"/>
    <n v="18507.212482616615"/>
    <n v="716295.74904220039"/>
    <n v="0"/>
    <n v="716295.74904220039"/>
  </r>
  <r>
    <x v="1"/>
    <x v="4"/>
    <x v="1"/>
    <s v="Økologisk"/>
    <x v="0"/>
    <s v="Grøntsager"/>
    <n v="383.86514003505738"/>
    <n v="4540.1649437646402"/>
    <n v="0"/>
    <n v="4540.1649437646402"/>
  </r>
  <r>
    <x v="1"/>
    <x v="5"/>
    <x v="1"/>
    <s v="Økologisk"/>
    <x v="0"/>
    <s v="Kartofler"/>
    <n v="1614.5724430013856"/>
    <n v="39086.236031661952"/>
    <n v="0"/>
    <n v="39086.236031661952"/>
  </r>
  <r>
    <x v="1"/>
    <x v="6"/>
    <x v="1"/>
    <s v="Økologisk"/>
    <x v="0"/>
    <s v="Roer"/>
    <n v="2467.64645019815"/>
    <n v="114288.12457732647"/>
    <n v="0"/>
    <n v="114288.12457732647"/>
  </r>
  <r>
    <x v="1"/>
    <x v="7"/>
    <x v="1"/>
    <s v="Økologisk"/>
    <x v="0"/>
    <s v="Majs"/>
    <n v="4996.1574807618863"/>
    <n v="184574.54465903059"/>
    <n v="0"/>
    <n v="184574.54465903059"/>
  </r>
  <r>
    <x v="1"/>
    <x v="8"/>
    <x v="1"/>
    <s v="Økologisk"/>
    <x v="0"/>
    <s v="Frugt"/>
    <n v="149.69395685787757"/>
    <n v="724.4139654223269"/>
    <n v="0"/>
    <n v="724.4139654223269"/>
  </r>
  <r>
    <x v="1"/>
    <x v="9"/>
    <x v="1"/>
    <s v="Økologisk"/>
    <x v="0"/>
    <s v="Øvrige"/>
    <n v="1324.9003895066519"/>
    <n v="22501.694581037111"/>
    <n v="0"/>
    <n v="22501.694581037111"/>
  </r>
  <r>
    <x v="1"/>
    <x v="10"/>
    <x v="1"/>
    <s v="Økologisk"/>
    <x v="0"/>
    <s v="Halm"/>
    <n v="2978.5041263206344"/>
    <n v="24258.87551756655"/>
    <n v="5806.0752366936849"/>
    <n v="5806.0752366936849"/>
  </r>
  <r>
    <x v="1"/>
    <x v="11"/>
    <x v="1"/>
    <s v="Økologisk"/>
    <x v="0"/>
    <s v="Juletræer"/>
    <n v="559.41441299880034"/>
    <n v="15943.31077046581"/>
    <n v="0"/>
    <n v="15943.31077046581"/>
  </r>
  <r>
    <x v="1"/>
    <x v="12"/>
    <x v="1"/>
    <s v="Økologisk"/>
    <x v="0"/>
    <s v="Pil &amp; poppel"/>
    <n v="215.11939388945515"/>
    <n v="2990.6842565119373"/>
    <n v="0"/>
    <n v="2990.6842565119373"/>
  </r>
  <r>
    <x v="1"/>
    <x v="13"/>
    <x v="1"/>
    <s v="Økologisk"/>
    <x v="0"/>
    <s v="Græs"/>
    <n v="5218.3583058246104"/>
    <n v="71961.161037321377"/>
    <n v="0"/>
    <n v="71961.161037321377"/>
  </r>
  <r>
    <x v="1"/>
    <x v="0"/>
    <x v="2"/>
    <s v="Økologisk"/>
    <x v="0"/>
    <s v="Halm"/>
    <n v="38052.354257179235"/>
    <n v="178720.49223969373"/>
    <n v="84040.116846917197"/>
    <n v="84040.116846917197"/>
  </r>
  <r>
    <x v="1"/>
    <x v="1"/>
    <x v="2"/>
    <s v="Økologisk"/>
    <x v="0"/>
    <s v="Halm"/>
    <n v="2928.2546806665596"/>
    <n v="6442.745948402564"/>
    <n v="2755.596228993139"/>
    <n v="2755.596228993139"/>
  </r>
  <r>
    <x v="1"/>
    <x v="2"/>
    <x v="2"/>
    <s v="Økologisk"/>
    <x v="0"/>
    <s v="Halm"/>
    <n v="4285.1142620436467"/>
    <n v="10369.976514145626"/>
    <n v="7979.3936058220206"/>
    <n v="7979.3936058220206"/>
  </r>
  <r>
    <x v="1"/>
    <x v="3"/>
    <x v="2"/>
    <s v="Økologisk"/>
    <x v="0"/>
    <s v="Græs"/>
    <n v="23727.577076658243"/>
    <n v="918342.65214414988"/>
    <n v="0"/>
    <n v="918342.65214414988"/>
  </r>
  <r>
    <x v="1"/>
    <x v="4"/>
    <x v="2"/>
    <s v="Økologisk"/>
    <x v="0"/>
    <s v="Grøntsager"/>
    <n v="492.14270953981543"/>
    <n v="5820.8178970821664"/>
    <n v="0"/>
    <n v="5820.8178970821664"/>
  </r>
  <r>
    <x v="1"/>
    <x v="5"/>
    <x v="2"/>
    <s v="Økologisk"/>
    <x v="0"/>
    <s v="Kartofler"/>
    <n v="2069.9979601545801"/>
    <n v="50111.364904294518"/>
    <n v="0"/>
    <n v="50111.364904294518"/>
  </r>
  <r>
    <x v="1"/>
    <x v="6"/>
    <x v="2"/>
    <s v="Økologisk"/>
    <x v="0"/>
    <s v="Roer"/>
    <n v="3163.7001736493021"/>
    <n v="146525.59305742799"/>
    <n v="0"/>
    <n v="146525.59305742799"/>
  </r>
  <r>
    <x v="1"/>
    <x v="7"/>
    <x v="2"/>
    <s v="Økologisk"/>
    <x v="0"/>
    <s v="Majs"/>
    <n v="6405.4331155082618"/>
    <n v="236637.83721615636"/>
    <n v="0"/>
    <n v="236637.83721615636"/>
  </r>
  <r>
    <x v="1"/>
    <x v="8"/>
    <x v="2"/>
    <s v="Økologisk"/>
    <x v="0"/>
    <s v="Frugt"/>
    <n v="191.91841573070153"/>
    <n v="928.75078924558386"/>
    <n v="0"/>
    <n v="928.75078924558386"/>
  </r>
  <r>
    <x v="1"/>
    <x v="9"/>
    <x v="2"/>
    <s v="Økologisk"/>
    <x v="0"/>
    <s v="Øvrige"/>
    <n v="1698.6175600696938"/>
    <n v="28848.790331254411"/>
    <n v="0"/>
    <n v="28848.790331254411"/>
  </r>
  <r>
    <x v="1"/>
    <x v="10"/>
    <x v="2"/>
    <s v="Økologisk"/>
    <x v="0"/>
    <s v="Halm"/>
    <n v="3818.6564452533657"/>
    <n v="31101.622633703992"/>
    <n v="7443.8059119343161"/>
    <n v="7443.8059119343161"/>
  </r>
  <r>
    <x v="1"/>
    <x v="11"/>
    <x v="2"/>
    <s v="Økologisk"/>
    <x v="0"/>
    <s v="Juletræer"/>
    <n v="717.2094995229611"/>
    <n v="20440.47073640439"/>
    <n v="0"/>
    <n v="20440.47073640439"/>
  </r>
  <r>
    <x v="1"/>
    <x v="12"/>
    <x v="2"/>
    <s v="Økologisk"/>
    <x v="0"/>
    <s v="Pil &amp; poppel"/>
    <n v="275.79853011307694"/>
    <n v="3834.2722479135091"/>
    <n v="0"/>
    <n v="3834.2722479135091"/>
  </r>
  <r>
    <x v="1"/>
    <x v="13"/>
    <x v="2"/>
    <s v="Økologisk"/>
    <x v="0"/>
    <s v="Græs"/>
    <n v="6690.3105495424243"/>
    <n v="92259.382478190048"/>
    <n v="0"/>
    <n v="92259.382478190048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752.9487519585884"/>
    <n v="14745.804901475647"/>
    <n v="6933.951173656309"/>
    <n v="6933.951173656309"/>
  </r>
  <r>
    <x v="1"/>
    <x v="1"/>
    <x v="1"/>
    <s v="Konventionel"/>
    <x v="1"/>
    <s v="Halm"/>
    <n v="47.402536309570174"/>
    <n v="219.56854818592902"/>
    <n v="93.910619514131326"/>
    <n v="93.910619514131326"/>
  </r>
  <r>
    <x v="1"/>
    <x v="2"/>
    <x v="1"/>
    <s v="Konventionel"/>
    <x v="1"/>
    <s v="Halm"/>
    <n v="191.46624906280843"/>
    <n v="1010.9417950516286"/>
    <n v="777.89014124472294"/>
    <n v="777.89014124472294"/>
  </r>
  <r>
    <x v="1"/>
    <x v="3"/>
    <x v="1"/>
    <s v="Konventionel"/>
    <x v="1"/>
    <s v="Græs"/>
    <n v="562.99099727781993"/>
    <n v="33522.735941910505"/>
    <n v="0"/>
    <n v="33522.735941910505"/>
  </r>
  <r>
    <x v="1"/>
    <x v="4"/>
    <x v="1"/>
    <s v="Konventionel"/>
    <x v="1"/>
    <s v="Grøntsager"/>
    <n v="10.662439786194978"/>
    <n v="265.49475067625497"/>
    <n v="0"/>
    <n v="265.49475067625497"/>
  </r>
  <r>
    <x v="1"/>
    <x v="5"/>
    <x v="1"/>
    <s v="Konventionel"/>
    <x v="1"/>
    <s v="Kartofler"/>
    <n v="18.127123488677832"/>
    <n v="923.85028726105998"/>
    <n v="0"/>
    <n v="923.85028726105998"/>
  </r>
  <r>
    <x v="1"/>
    <x v="6"/>
    <x v="1"/>
    <s v="Konventionel"/>
    <x v="1"/>
    <s v="Roer"/>
    <n v="50.643369270114505"/>
    <n v="4937.9552651911044"/>
    <n v="0"/>
    <n v="4937.9552651911044"/>
  </r>
  <r>
    <x v="1"/>
    <x v="7"/>
    <x v="1"/>
    <s v="Konventionel"/>
    <x v="1"/>
    <s v="Majs"/>
    <n v="53.993646777040333"/>
    <n v="2883.9086616552786"/>
    <n v="0"/>
    <n v="2883.9086616552786"/>
  </r>
  <r>
    <x v="1"/>
    <x v="8"/>
    <x v="1"/>
    <s v="Konventionel"/>
    <x v="1"/>
    <s v="Frugt"/>
    <n v="11.647539532185737"/>
    <n v="118.66513275390831"/>
    <n v="0"/>
    <n v="118.66513275390831"/>
  </r>
  <r>
    <x v="1"/>
    <x v="9"/>
    <x v="1"/>
    <s v="Konventionel"/>
    <x v="1"/>
    <s v="Øvrige"/>
    <n v="83.169081452753318"/>
    <n v="2973.7215031127798"/>
    <n v="0"/>
    <n v="2973.7215031127798"/>
  </r>
  <r>
    <x v="1"/>
    <x v="10"/>
    <x v="1"/>
    <s v="Konventionel"/>
    <x v="1"/>
    <s v="Halm"/>
    <n v="603.80358732362868"/>
    <n v="10353.198462420129"/>
    <n v="2477.9157290165494"/>
    <n v="2477.9157290165494"/>
  </r>
  <r>
    <x v="1"/>
    <x v="11"/>
    <x v="1"/>
    <s v="Konventionel"/>
    <x v="1"/>
    <s v="Juletræer"/>
    <n v="18.25162816502359"/>
    <n v="1095.0976899014156"/>
    <n v="0"/>
    <n v="1095.0976899014156"/>
  </r>
  <r>
    <x v="1"/>
    <x v="12"/>
    <x v="1"/>
    <s v="Konventionel"/>
    <x v="1"/>
    <s v="Pil &amp; poppel"/>
    <n v="38.736771764982237"/>
    <n v="1133.7591736092363"/>
    <n v="0"/>
    <n v="1133.7591736092363"/>
  </r>
  <r>
    <x v="1"/>
    <x v="13"/>
    <x v="1"/>
    <s v="Konventionel"/>
    <x v="1"/>
    <s v="Græs"/>
    <n v="4383.0738282155862"/>
    <n v="72531.105709311538"/>
    <n v="0"/>
    <n v="72531.105709311538"/>
  </r>
  <r>
    <x v="1"/>
    <x v="0"/>
    <x v="2"/>
    <s v="Konventionel"/>
    <x v="1"/>
    <s v="Halm"/>
    <n v="1671.8875379951853"/>
    <n v="14063.917969615499"/>
    <n v="6613.3060326779805"/>
    <n v="6613.3060326779805"/>
  </r>
  <r>
    <x v="1"/>
    <x v="1"/>
    <x v="2"/>
    <s v="Konventionel"/>
    <x v="1"/>
    <s v="Halm"/>
    <n v="45.21051150912762"/>
    <n v="209.41508931027917"/>
    <n v="89.56793190654146"/>
    <n v="89.56793190654146"/>
  </r>
  <r>
    <x v="1"/>
    <x v="2"/>
    <x v="2"/>
    <s v="Konventionel"/>
    <x v="1"/>
    <s v="Halm"/>
    <n v="182.61231847030859"/>
    <n v="964.19304152322934"/>
    <n v="741.91834280566047"/>
    <n v="741.91834280566047"/>
  </r>
  <r>
    <x v="1"/>
    <x v="3"/>
    <x v="2"/>
    <s v="Konventionel"/>
    <x v="1"/>
    <s v="Græs"/>
    <n v="536.95673150774724"/>
    <n v="31972.551620897299"/>
    <n v="0"/>
    <n v="31972.551620897299"/>
  </r>
  <r>
    <x v="1"/>
    <x v="4"/>
    <x v="2"/>
    <s v="Konventionel"/>
    <x v="1"/>
    <s v="Grøntsager"/>
    <n v="10.169378986833362"/>
    <n v="253.21753677215071"/>
    <n v="0"/>
    <n v="253.21753677215071"/>
  </r>
  <r>
    <x v="1"/>
    <x v="5"/>
    <x v="2"/>
    <s v="Konventionel"/>
    <x v="1"/>
    <s v="Kartofler"/>
    <n v="17.288875003652265"/>
    <n v="881.12888669407448"/>
    <n v="0"/>
    <n v="881.12888669407448"/>
  </r>
  <r>
    <x v="1"/>
    <x v="6"/>
    <x v="2"/>
    <s v="Konventionel"/>
    <x v="1"/>
    <s v="Roer"/>
    <n v="48.301479361669905"/>
    <n v="4709.6105130435399"/>
    <n v="0"/>
    <n v="4709.6105130435399"/>
  </r>
  <r>
    <x v="1"/>
    <x v="7"/>
    <x v="2"/>
    <s v="Konventionel"/>
    <x v="1"/>
    <s v="Majs"/>
    <n v="51.496830741107829"/>
    <n v="2750.5487235440514"/>
    <n v="0"/>
    <n v="2750.5487235440514"/>
  </r>
  <r>
    <x v="1"/>
    <x v="8"/>
    <x v="2"/>
    <s v="Konventionel"/>
    <x v="1"/>
    <s v="Frugt"/>
    <n v="11.108924987344778"/>
    <n v="113.17772777106862"/>
    <n v="0"/>
    <n v="113.17772777106862"/>
  </r>
  <r>
    <x v="1"/>
    <x v="9"/>
    <x v="2"/>
    <s v="Konventionel"/>
    <x v="1"/>
    <s v="Øvrige"/>
    <n v="79.323112368232927"/>
    <n v="2836.2083700208591"/>
    <n v="0"/>
    <n v="2836.2083700208591"/>
  </r>
  <r>
    <x v="1"/>
    <x v="10"/>
    <x v="2"/>
    <s v="Konventionel"/>
    <x v="1"/>
    <s v="Halm"/>
    <n v="575.88203415259386"/>
    <n v="9874.4378398804711"/>
    <n v="2363.3300305649177"/>
    <n v="2363.3300305649177"/>
  </r>
  <r>
    <x v="1"/>
    <x v="11"/>
    <x v="2"/>
    <s v="Konventionel"/>
    <x v="1"/>
    <s v="Juletræer"/>
    <n v="17.407622238317295"/>
    <n v="1044.4573342990377"/>
    <n v="0"/>
    <n v="1044.4573342990377"/>
  </r>
  <r>
    <x v="1"/>
    <x v="12"/>
    <x v="2"/>
    <s v="Konventionel"/>
    <x v="1"/>
    <s v="Pil &amp; poppel"/>
    <n v="36.945475960821213"/>
    <n v="1081.3310037313527"/>
    <n v="0"/>
    <n v="1081.3310037313527"/>
  </r>
  <r>
    <x v="1"/>
    <x v="13"/>
    <x v="2"/>
    <s v="Konventionel"/>
    <x v="1"/>
    <s v="Græs"/>
    <n v="4180.3883332692003"/>
    <n v="69177.066138938724"/>
    <n v="0"/>
    <n v="69177.06613893872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273.58159712648495"/>
    <n v="1541.9168246687541"/>
    <n v="725.05882503724069"/>
    <n v="725.05882503724069"/>
  </r>
  <r>
    <x v="1"/>
    <x v="1"/>
    <x v="1"/>
    <s v="Økologisk"/>
    <x v="1"/>
    <s v="Halm"/>
    <n v="7.3980837014936114"/>
    <n v="19.532716512031495"/>
    <n v="8.3542452851010474"/>
    <n v="8.3542452851010474"/>
  </r>
  <r>
    <x v="1"/>
    <x v="2"/>
    <x v="1"/>
    <s v="Økologisk"/>
    <x v="1"/>
    <s v="Halm"/>
    <n v="29.882015749686865"/>
    <n v="86.77737373709067"/>
    <n v="66.772650852509457"/>
    <n v="66.772650852509457"/>
  </r>
  <r>
    <x v="1"/>
    <x v="3"/>
    <x v="1"/>
    <s v="Økologisk"/>
    <x v="1"/>
    <s v="Græs"/>
    <n v="87.865646973995027"/>
    <n v="4080.8602250672566"/>
    <n v="0"/>
    <n v="4080.8602250672566"/>
  </r>
  <r>
    <x v="1"/>
    <x v="4"/>
    <x v="1"/>
    <s v="Økologisk"/>
    <x v="1"/>
    <s v="Grøntsager"/>
    <n v="1.6640801978454596"/>
    <n v="23.618290248020603"/>
    <n v="0"/>
    <n v="23.618290248020603"/>
  </r>
  <r>
    <x v="1"/>
    <x v="5"/>
    <x v="1"/>
    <s v="Økologisk"/>
    <x v="1"/>
    <s v="Kartofler"/>
    <n v="2.8290886369612802"/>
    <n v="82.185294340738224"/>
    <n v="0"/>
    <n v="82.185294340738224"/>
  </r>
  <r>
    <x v="1"/>
    <x v="6"/>
    <x v="1"/>
    <s v="Økologisk"/>
    <x v="1"/>
    <s v="Roer"/>
    <n v="7.9038784410005301"/>
    <n v="439.27821694387916"/>
    <n v="0"/>
    <n v="439.27821694387916"/>
  </r>
  <r>
    <x v="1"/>
    <x v="7"/>
    <x v="1"/>
    <s v="Økologisk"/>
    <x v="1"/>
    <s v="Majs"/>
    <n v="8.4267541212721913"/>
    <n v="373.57452663407389"/>
    <n v="0"/>
    <n v="373.57452663407389"/>
  </r>
  <r>
    <x v="1"/>
    <x v="8"/>
    <x v="1"/>
    <s v="Økologisk"/>
    <x v="1"/>
    <s v="Frugt"/>
    <n v="1.8178240888382367"/>
    <n v="10.556395335737855"/>
    <n v="0"/>
    <n v="10.556395335737855"/>
  </r>
  <r>
    <x v="1"/>
    <x v="9"/>
    <x v="1"/>
    <s v="Økologisk"/>
    <x v="1"/>
    <s v="Øvrige"/>
    <n v="12.9801456602563"/>
    <n v="264.54088978558201"/>
    <n v="0"/>
    <n v="264.54088978558201"/>
  </r>
  <r>
    <x v="1"/>
    <x v="10"/>
    <x v="1"/>
    <s v="Økologisk"/>
    <x v="1"/>
    <s v="Halm"/>
    <n v="94.235241952242646"/>
    <n v="921.01574761066934"/>
    <n v="220.43423739632777"/>
    <n v="220.43423739632777"/>
  </r>
  <r>
    <x v="1"/>
    <x v="11"/>
    <x v="1"/>
    <s v="Økologisk"/>
    <x v="1"/>
    <s v="Juletræer"/>
    <n v="2.8485200026337401"/>
    <n v="97.419384090073905"/>
    <n v="0"/>
    <n v="97.419384090073905"/>
  </r>
  <r>
    <x v="1"/>
    <x v="12"/>
    <x v="1"/>
    <s v="Økologisk"/>
    <x v="1"/>
    <s v="Pil &amp; poppel"/>
    <n v="6.0456233390434706"/>
    <n v="100.85869180257887"/>
    <n v="0"/>
    <n v="100.85869180257887"/>
  </r>
  <r>
    <x v="1"/>
    <x v="13"/>
    <x v="1"/>
    <s v="Økologisk"/>
    <x v="1"/>
    <s v="Græs"/>
    <n v="684.06354544405099"/>
    <n v="11319.883550008157"/>
    <n v="0"/>
    <n v="11319.883550008157"/>
  </r>
  <r>
    <x v="1"/>
    <x v="0"/>
    <x v="2"/>
    <s v="Økologisk"/>
    <x v="1"/>
    <s v="Halm"/>
    <n v="354.6428110898878"/>
    <n v="1998.7810690150513"/>
    <n v="939.89106949271923"/>
    <n v="939.89106949271923"/>
  </r>
  <r>
    <x v="1"/>
    <x v="1"/>
    <x v="2"/>
    <s v="Økologisk"/>
    <x v="1"/>
    <s v="Halm"/>
    <n v="9.5901085019361609"/>
    <n v="25.320188071151932"/>
    <n v="10.829577221427284"/>
    <n v="10.829577221427284"/>
  </r>
  <r>
    <x v="1"/>
    <x v="2"/>
    <x v="2"/>
    <s v="Økologisk"/>
    <x v="1"/>
    <s v="Halm"/>
    <n v="38.735946342186679"/>
    <n v="112.48918817771012"/>
    <n v="86.557139993993758"/>
    <n v="86.557139993993758"/>
  </r>
  <r>
    <x v="1"/>
    <x v="3"/>
    <x v="2"/>
    <s v="Økologisk"/>
    <x v="1"/>
    <s v="Græs"/>
    <n v="113.89991274406761"/>
    <n v="5290.003995457555"/>
    <n v="0"/>
    <n v="5290.003995457555"/>
  </r>
  <r>
    <x v="1"/>
    <x v="4"/>
    <x v="2"/>
    <s v="Økologisk"/>
    <x v="1"/>
    <s v="Grøntsager"/>
    <n v="2.1571409972070765"/>
    <n v="30.61630217336004"/>
    <n v="0"/>
    <n v="30.61630217336004"/>
  </r>
  <r>
    <x v="1"/>
    <x v="5"/>
    <x v="2"/>
    <s v="Økologisk"/>
    <x v="1"/>
    <s v="Kartofler"/>
    <n v="3.6673371219868445"/>
    <n v="106.53649266391993"/>
    <n v="0"/>
    <n v="106.53649266391993"/>
  </r>
  <r>
    <x v="1"/>
    <x v="6"/>
    <x v="2"/>
    <s v="Økologisk"/>
    <x v="1"/>
    <s v="Roer"/>
    <n v="10.245768349445131"/>
    <n v="569.43472566799153"/>
    <n v="0"/>
    <n v="569.43472566799153"/>
  </r>
  <r>
    <x v="1"/>
    <x v="7"/>
    <x v="2"/>
    <s v="Økologisk"/>
    <x v="1"/>
    <s v="Majs"/>
    <n v="10.923570157204692"/>
    <n v="484.2632752663921"/>
    <n v="0"/>
    <n v="484.2632752663921"/>
  </r>
  <r>
    <x v="1"/>
    <x v="8"/>
    <x v="2"/>
    <s v="Økologisk"/>
    <x v="1"/>
    <s v="Frugt"/>
    <n v="2.3564386336791951"/>
    <n v="13.684216175956474"/>
    <n v="0"/>
    <n v="13.684216175956474"/>
  </r>
  <r>
    <x v="1"/>
    <x v="9"/>
    <x v="2"/>
    <s v="Økologisk"/>
    <x v="1"/>
    <s v="Øvrige"/>
    <n v="16.826114744776682"/>
    <n v="342.92337564797663"/>
    <n v="0"/>
    <n v="342.92337564797663"/>
  </r>
  <r>
    <x v="1"/>
    <x v="10"/>
    <x v="2"/>
    <s v="Økologisk"/>
    <x v="1"/>
    <s v="Halm"/>
    <n v="122.15679512327748"/>
    <n v="1193.9093024582751"/>
    <n v="285.7480855137581"/>
    <n v="285.7480855137581"/>
  </r>
  <r>
    <x v="1"/>
    <x v="11"/>
    <x v="2"/>
    <s v="Økologisk"/>
    <x v="1"/>
    <s v="Juletræer"/>
    <n v="3.6925259293400323"/>
    <n v="126.2843867834291"/>
    <n v="0"/>
    <n v="126.2843867834291"/>
  </r>
  <r>
    <x v="1"/>
    <x v="12"/>
    <x v="2"/>
    <s v="Økologisk"/>
    <x v="1"/>
    <s v="Pil &amp; poppel"/>
    <n v="7.8369191432044989"/>
    <n v="130.74274863297259"/>
    <n v="0"/>
    <n v="130.74274863297259"/>
  </r>
  <r>
    <x v="1"/>
    <x v="13"/>
    <x v="2"/>
    <s v="Økologisk"/>
    <x v="1"/>
    <s v="Græs"/>
    <n v="886.74904039043645"/>
    <n v="14673.923120380941"/>
    <n v="0"/>
    <n v="14673.923120380941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053.0573109296802"/>
    <n v="10334.704449463881"/>
    <n v="4859.7100345183562"/>
    <n v="4859.7100345183562"/>
  </r>
  <r>
    <x v="1"/>
    <x v="1"/>
    <x v="1"/>
    <s v="Konventionel"/>
    <x v="2"/>
    <s v="Halm"/>
    <n v="19.126993325199422"/>
    <n v="103.36227192937768"/>
    <n v="44.208585753622174"/>
    <n v="44.208585753622174"/>
  </r>
  <r>
    <x v="1"/>
    <x v="2"/>
    <x v="1"/>
    <s v="Konventionel"/>
    <x v="2"/>
    <s v="Halm"/>
    <n v="93.430886843548848"/>
    <n v="575.53426295626093"/>
    <n v="442.85678096765128"/>
    <n v="442.85678096765128"/>
  </r>
  <r>
    <x v="1"/>
    <x v="3"/>
    <x v="1"/>
    <s v="Konventionel"/>
    <x v="2"/>
    <s v="Græs"/>
    <n v="686.58489509283288"/>
    <n v="47695.679492308911"/>
    <n v="0"/>
    <n v="47695.679492308911"/>
  </r>
  <r>
    <x v="1"/>
    <x v="4"/>
    <x v="1"/>
    <s v="Konventionel"/>
    <x v="2"/>
    <s v="Grøntsager"/>
    <n v="3.2314797199590726"/>
    <n v="93.874485864811049"/>
    <n v="0"/>
    <n v="93.874485864811049"/>
  </r>
  <r>
    <x v="1"/>
    <x v="5"/>
    <x v="1"/>
    <s v="Konventionel"/>
    <x v="2"/>
    <s v="Kartofler"/>
    <n v="18.419048913328059"/>
    <n v="1095.1830046465504"/>
    <n v="0"/>
    <n v="1095.1830046465504"/>
  </r>
  <r>
    <x v="1"/>
    <x v="6"/>
    <x v="1"/>
    <s v="Konventionel"/>
    <x v="2"/>
    <s v="Roer"/>
    <n v="21.211111456389141"/>
    <n v="2412.8747324778428"/>
    <n v="0"/>
    <n v="2412.8747324778428"/>
  </r>
  <r>
    <x v="1"/>
    <x v="7"/>
    <x v="1"/>
    <s v="Konventionel"/>
    <x v="2"/>
    <s v="Majs"/>
    <n v="21.786516121482823"/>
    <n v="1357.6049655940806"/>
    <n v="0"/>
    <n v="1357.6049655940806"/>
  </r>
  <r>
    <x v="1"/>
    <x v="8"/>
    <x v="1"/>
    <s v="Konventionel"/>
    <x v="2"/>
    <s v="Frugt"/>
    <n v="7.9057923278821436"/>
    <n v="93.968247609207168"/>
    <n v="0"/>
    <n v="93.968247609207168"/>
  </r>
  <r>
    <x v="1"/>
    <x v="9"/>
    <x v="1"/>
    <s v="Konventionel"/>
    <x v="2"/>
    <s v="Øvrige"/>
    <n v="56.451191622853806"/>
    <n v="2354.8231231900932"/>
    <n v="0"/>
    <n v="2354.8231231900932"/>
  </r>
  <r>
    <x v="1"/>
    <x v="10"/>
    <x v="1"/>
    <s v="Konventionel"/>
    <x v="2"/>
    <s v="Halm"/>
    <n v="528.28027242495364"/>
    <n v="10567.932556534564"/>
    <n v="2529.3097973610966"/>
    <n v="2529.3097973610966"/>
  </r>
  <r>
    <x v="1"/>
    <x v="11"/>
    <x v="1"/>
    <s v="Konventionel"/>
    <x v="2"/>
    <s v="Juletræer"/>
    <n v="12.388331588802384"/>
    <n v="867.18321121616691"/>
    <n v="0"/>
    <n v="867.18321121616691"/>
  </r>
  <r>
    <x v="1"/>
    <x v="12"/>
    <x v="1"/>
    <s v="Konventionel"/>
    <x v="2"/>
    <s v="Pil &amp; poppel"/>
    <n v="37.789605201644072"/>
    <n v="1290.3767629829683"/>
    <n v="0"/>
    <n v="1290.3767629829683"/>
  </r>
  <r>
    <x v="1"/>
    <x v="13"/>
    <x v="1"/>
    <s v="Konventionel"/>
    <x v="2"/>
    <s v="Græs"/>
    <n v="3393.0422285443651"/>
    <n v="65506.073264277518"/>
    <n v="0"/>
    <n v="65506.073264277518"/>
  </r>
  <r>
    <x v="1"/>
    <x v="0"/>
    <x v="2"/>
    <s v="Konventionel"/>
    <x v="2"/>
    <s v="Halm"/>
    <n v="1004.3610190947816"/>
    <n v="9856.7990413961852"/>
    <n v="4634.9835589336917"/>
    <n v="4634.9835589336917"/>
  </r>
  <r>
    <x v="1"/>
    <x v="1"/>
    <x v="2"/>
    <s v="Konventionel"/>
    <x v="2"/>
    <s v="Halm"/>
    <n v="18.242508084727771"/>
    <n v="98.582513689868875"/>
    <n v="42.164258088714782"/>
    <n v="42.164258088714782"/>
  </r>
  <r>
    <x v="1"/>
    <x v="2"/>
    <x v="2"/>
    <s v="Konventionel"/>
    <x v="2"/>
    <s v="Halm"/>
    <n v="89.110383405696865"/>
    <n v="548.91996177909266"/>
    <n v="422.37785468012981"/>
    <n v="422.37785468012981"/>
  </r>
  <r>
    <x v="1"/>
    <x v="3"/>
    <x v="2"/>
    <s v="Konventionel"/>
    <x v="2"/>
    <s v="Græs"/>
    <n v="654.83530456830886"/>
    <n v="45490.098937751281"/>
    <n v="0"/>
    <n v="45490.098937751281"/>
  </r>
  <r>
    <x v="1"/>
    <x v="4"/>
    <x v="2"/>
    <s v="Konventionel"/>
    <x v="2"/>
    <s v="Grøntsager"/>
    <n v="3.0820471317528724"/>
    <n v="89.53346917742094"/>
    <n v="0"/>
    <n v="89.53346917742094"/>
  </r>
  <r>
    <x v="1"/>
    <x v="5"/>
    <x v="2"/>
    <s v="Konventionel"/>
    <x v="2"/>
    <s v="Kartofler"/>
    <n v="17.567300986700172"/>
    <n v="1044.5387038536462"/>
    <n v="0"/>
    <n v="1044.5387038536462"/>
  </r>
  <r>
    <x v="1"/>
    <x v="6"/>
    <x v="2"/>
    <s v="Konventionel"/>
    <x v="2"/>
    <s v="Roer"/>
    <n v="20.230250811006982"/>
    <n v="2301.2967101667286"/>
    <n v="0"/>
    <n v="2301.2967101667286"/>
  </r>
  <r>
    <x v="1"/>
    <x v="7"/>
    <x v="2"/>
    <s v="Konventionel"/>
    <x v="2"/>
    <s v="Majs"/>
    <n v="20.77904716788824"/>
    <n v="1294.825545219788"/>
    <n v="0"/>
    <n v="1294.825545219788"/>
  </r>
  <r>
    <x v="1"/>
    <x v="8"/>
    <x v="2"/>
    <s v="Konventionel"/>
    <x v="2"/>
    <s v="Frugt"/>
    <n v="7.5402065554945299"/>
    <n v="89.622895118608"/>
    <n v="0"/>
    <n v="89.622895118608"/>
  </r>
  <r>
    <x v="1"/>
    <x v="9"/>
    <x v="2"/>
    <s v="Konventionel"/>
    <x v="2"/>
    <s v="Øvrige"/>
    <n v="53.840731894629357"/>
    <n v="2245.9295683604932"/>
    <n v="0"/>
    <n v="2245.9295683604932"/>
  </r>
  <r>
    <x v="1"/>
    <x v="10"/>
    <x v="2"/>
    <s v="Konventionel"/>
    <x v="2"/>
    <s v="Halm"/>
    <n v="503.85112687929109"/>
    <n v="10079.242033689035"/>
    <n v="2412.3474945929534"/>
    <n v="2412.3474945929534"/>
  </r>
  <r>
    <x v="1"/>
    <x v="11"/>
    <x v="2"/>
    <s v="Konventionel"/>
    <x v="2"/>
    <s v="Juletræer"/>
    <n v="11.815460763886664"/>
    <n v="827.08225347206644"/>
    <n v="0"/>
    <n v="827.08225347206644"/>
  </r>
  <r>
    <x v="1"/>
    <x v="12"/>
    <x v="2"/>
    <s v="Konventionel"/>
    <x v="2"/>
    <s v="Pil &amp; poppel"/>
    <n v="36.042109007348387"/>
    <n v="1230.7061612265302"/>
    <n v="0"/>
    <n v="1230.7061612265302"/>
  </r>
  <r>
    <x v="1"/>
    <x v="13"/>
    <x v="2"/>
    <s v="Konventionel"/>
    <x v="2"/>
    <s v="Græs"/>
    <n v="3236.1385416752614"/>
    <n v="62476.890685582592"/>
    <n v="0"/>
    <n v="62476.890685582592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64.34998494278247"/>
    <n v="1080.6636039930729"/>
    <n v="508.16274291582124"/>
    <n v="508.16274291582124"/>
  </r>
  <r>
    <x v="1"/>
    <x v="1"/>
    <x v="1"/>
    <s v="Økologisk"/>
    <x v="2"/>
    <s v="Halm"/>
    <n v="2.9851376865918176"/>
    <n v="9.1950599132550419"/>
    <n v="3.9327753453655783"/>
    <n v="3.9327753453655783"/>
  </r>
  <r>
    <x v="1"/>
    <x v="2"/>
    <x v="1"/>
    <s v="Økologisk"/>
    <x v="2"/>
    <s v="Halm"/>
    <n v="14.581699102750399"/>
    <n v="49.402796560118354"/>
    <n v="38.014006921211696"/>
    <n v="38.014006921211696"/>
  </r>
  <r>
    <x v="1"/>
    <x v="3"/>
    <x v="1"/>
    <s v="Økologisk"/>
    <x v="2"/>
    <s v="Græs"/>
    <n v="107.15486802026872"/>
    <n v="5806.1908098729809"/>
    <n v="0"/>
    <n v="5806.1908098729809"/>
  </r>
  <r>
    <x v="1"/>
    <x v="4"/>
    <x v="1"/>
    <s v="Økologisk"/>
    <x v="2"/>
    <s v="Grøntsager"/>
    <n v="0.50433498519592468"/>
    <n v="8.3510308523667174"/>
    <n v="0"/>
    <n v="8.3510308523667174"/>
  </r>
  <r>
    <x v="1"/>
    <x v="5"/>
    <x v="1"/>
    <s v="Økologisk"/>
    <x v="2"/>
    <s v="Kartofler"/>
    <n v="2.8746492523691192"/>
    <n v="97.426973650349197"/>
    <n v="0"/>
    <n v="97.426973650349197"/>
  </r>
  <r>
    <x v="1"/>
    <x v="6"/>
    <x v="1"/>
    <s v="Økologisk"/>
    <x v="2"/>
    <s v="Roer"/>
    <n v="3.3104046781647791"/>
    <n v="214.64822042100579"/>
    <n v="0"/>
    <n v="214.64822042100579"/>
  </r>
  <r>
    <x v="1"/>
    <x v="7"/>
    <x v="1"/>
    <s v="Økologisk"/>
    <x v="2"/>
    <s v="Majs"/>
    <n v="3.4002077183817128"/>
    <n v="175.86085132348759"/>
    <n v="0"/>
    <n v="175.86085132348759"/>
  </r>
  <r>
    <x v="1"/>
    <x v="8"/>
    <x v="1"/>
    <s v="Økologisk"/>
    <x v="2"/>
    <s v="Frugt"/>
    <n v="1.2338519818081959"/>
    <n v="8.3593718537901633"/>
    <n v="0"/>
    <n v="8.3593718537901633"/>
  </r>
  <r>
    <x v="1"/>
    <x v="9"/>
    <x v="1"/>
    <s v="Økologisk"/>
    <x v="2"/>
    <s v="Øvrige"/>
    <n v="8.8103015827575319"/>
    <n v="209.48397610344239"/>
    <n v="0"/>
    <n v="209.48397610344239"/>
  </r>
  <r>
    <x v="1"/>
    <x v="10"/>
    <x v="1"/>
    <s v="Økologisk"/>
    <x v="2"/>
    <s v="Halm"/>
    <n v="82.448366216611277"/>
    <n v="940.11839332408658"/>
    <n v="225.00622995021547"/>
    <n v="225.00622995021547"/>
  </r>
  <r>
    <x v="1"/>
    <x v="11"/>
    <x v="1"/>
    <s v="Økologisk"/>
    <x v="2"/>
    <s v="Juletræer"/>
    <n v="1.9334390340905452"/>
    <n v="77.144217460212744"/>
    <n v="0"/>
    <n v="77.144217460212744"/>
  </r>
  <r>
    <x v="1"/>
    <x v="12"/>
    <x v="1"/>
    <s v="Økologisk"/>
    <x v="2"/>
    <s v="Pil &amp; poppel"/>
    <n v="5.8977996557479182"/>
    <n v="114.79132012894728"/>
    <n v="0"/>
    <n v="114.79132012894728"/>
  </r>
  <r>
    <x v="1"/>
    <x v="13"/>
    <x v="1"/>
    <s v="Økologisk"/>
    <x v="2"/>
    <s v="Græs"/>
    <n v="529.54994318322474"/>
    <n v="10223.491203095338"/>
    <n v="0"/>
    <n v="10223.491203095338"/>
  </r>
  <r>
    <x v="1"/>
    <x v="0"/>
    <x v="2"/>
    <s v="Økologisk"/>
    <x v="2"/>
    <s v="Halm"/>
    <n v="213.04627677768096"/>
    <n v="1400.8602273984279"/>
    <n v="658.72948155754602"/>
    <n v="658.72948155754602"/>
  </r>
  <r>
    <x v="1"/>
    <x v="1"/>
    <x v="2"/>
    <s v="Økologisk"/>
    <x v="2"/>
    <s v="Halm"/>
    <n v="3.8696229270634666"/>
    <n v="11.919522109775052"/>
    <n v="5.0980421143627872"/>
    <n v="5.0980421143627872"/>
  </r>
  <r>
    <x v="1"/>
    <x v="2"/>
    <x v="2"/>
    <s v="Økologisk"/>
    <x v="2"/>
    <s v="Halm"/>
    <n v="18.902202540602364"/>
    <n v="64.040662207560814"/>
    <n v="49.277416379348487"/>
    <n v="49.277416379348487"/>
  </r>
  <r>
    <x v="1"/>
    <x v="3"/>
    <x v="2"/>
    <s v="Økologisk"/>
    <x v="2"/>
    <s v="Græs"/>
    <n v="138.90445854479279"/>
    <n v="7526.5436424279396"/>
    <n v="0"/>
    <n v="7526.5436424279396"/>
  </r>
  <r>
    <x v="1"/>
    <x v="4"/>
    <x v="2"/>
    <s v="Økologisk"/>
    <x v="2"/>
    <s v="Grøntsager"/>
    <n v="0.65376757340212444"/>
    <n v="10.825410364179078"/>
    <n v="0"/>
    <n v="10.825410364179078"/>
  </r>
  <r>
    <x v="1"/>
    <x v="5"/>
    <x v="2"/>
    <s v="Økologisk"/>
    <x v="2"/>
    <s v="Kartofler"/>
    <n v="3.7263971789970061"/>
    <n v="126.29422510230449"/>
    <n v="0"/>
    <n v="126.29422510230449"/>
  </r>
  <r>
    <x v="1"/>
    <x v="6"/>
    <x v="2"/>
    <s v="Økologisk"/>
    <x v="2"/>
    <s v="Roer"/>
    <n v="4.291265323546936"/>
    <n v="278.24769313834076"/>
    <n v="0"/>
    <n v="278.24769313834076"/>
  </r>
  <r>
    <x v="1"/>
    <x v="7"/>
    <x v="2"/>
    <s v="Økologisk"/>
    <x v="2"/>
    <s v="Majs"/>
    <n v="4.4076766719762936"/>
    <n v="227.96777023415052"/>
    <n v="0"/>
    <n v="227.96777023415052"/>
  </r>
  <r>
    <x v="1"/>
    <x v="8"/>
    <x v="2"/>
    <s v="Økologisk"/>
    <x v="2"/>
    <s v="Frugt"/>
    <n v="1.5994377541958094"/>
    <n v="10.836222773431693"/>
    <n v="0"/>
    <n v="10.836222773431693"/>
  </r>
  <r>
    <x v="1"/>
    <x v="9"/>
    <x v="2"/>
    <s v="Økologisk"/>
    <x v="2"/>
    <s v="Øvrige"/>
    <n v="11.420761310981984"/>
    <n v="271.55330235631408"/>
    <n v="0"/>
    <n v="271.55330235631408"/>
  </r>
  <r>
    <x v="1"/>
    <x v="10"/>
    <x v="2"/>
    <s v="Økologisk"/>
    <x v="2"/>
    <s v="Halm"/>
    <n v="106.87751176227387"/>
    <n v="1218.6719913460379"/>
    <n v="291.6747425280571"/>
    <n v="291.6747425280571"/>
  </r>
  <r>
    <x v="1"/>
    <x v="11"/>
    <x v="2"/>
    <s v="Økologisk"/>
    <x v="2"/>
    <s v="Juletræer"/>
    <n v="2.5063098590062625"/>
    <n v="100.00176337434986"/>
    <n v="0"/>
    <n v="100.00176337434986"/>
  </r>
  <r>
    <x v="1"/>
    <x v="12"/>
    <x v="2"/>
    <s v="Økologisk"/>
    <x v="2"/>
    <s v="Pil &amp; poppel"/>
    <n v="7.6452958500435964"/>
    <n v="148.80356313011683"/>
    <n v="0"/>
    <n v="148.80356313011683"/>
  </r>
  <r>
    <x v="1"/>
    <x v="13"/>
    <x v="2"/>
    <s v="Økologisk"/>
    <x v="2"/>
    <s v="Græs"/>
    <n v="686.45363005232821"/>
    <n v="13252.673781790247"/>
    <n v="0"/>
    <n v="13252.67378179024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x v="0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51598.780380153592"/>
    <n v="0"/>
    <n v="0"/>
    <n v="0"/>
    <n v="0"/>
    <n v="0"/>
    <n v="0"/>
    <n v="172971.62912568916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5656960.63475704"/>
    <n v="0"/>
    <n v="0"/>
    <n v="0"/>
    <n v="0"/>
    <n v="0"/>
    <n v="505656960.63475704"/>
    <n v="0"/>
    <n v="0"/>
    <n v="0"/>
    <n v="505656960.63475704"/>
    <n v="0"/>
    <n v="0"/>
    <n v="0"/>
    <n v="0"/>
    <n v="0"/>
    <n v="0"/>
    <n v="0"/>
    <n v="0"/>
    <x v="0"/>
  </r>
  <r>
    <x v="4"/>
    <s v=""/>
    <n v="0"/>
    <x v="1"/>
    <s v="Vestdanmark"/>
    <n v="22052758.669106159"/>
    <n v="0"/>
    <n v="0"/>
    <n v="0"/>
    <n v="0"/>
    <n v="19633758.54900625"/>
    <n v="0"/>
    <n v="0"/>
    <n v="2419000.1200999096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6674.1809084363849"/>
    <n v="0"/>
    <n v="0"/>
    <n v="0"/>
    <n v="6006.7628175927466"/>
    <n v="505.33084021018328"/>
    <n v="0"/>
    <n v="0"/>
    <n v="162.08725063345537"/>
    <n v="162.08725063345537"/>
    <n v="6006.7628175927466"/>
    <n v="7.6228013100407724E-5"/>
    <n v="2.9011484985861005E-3"/>
    <n v="2.8249204854856927E-3"/>
    <n v="7.6228013100407711E-5"/>
    <n v="10.211496789907688"/>
    <n v="388.63755429825073"/>
    <n v="378.42605750834304"/>
    <n v="10.211496789907699"/>
    <x v="0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8408153.283469509"/>
    <n v="9790151.9274066389"/>
    <n v="0"/>
    <n v="0"/>
    <n v="67006.096493213583"/>
    <n v="0"/>
    <n v="0"/>
    <n v="0"/>
    <n v="18550995.259569656"/>
    <n v="18550995.259569656"/>
    <n v="67006.096493213583"/>
    <n v="34.131512403200723"/>
    <n v="34.254795244986177"/>
    <n v="0.12328284178545135"/>
    <n v="34.131512403200723"/>
    <n v="5194278.6726795044"/>
    <n v="5213040.3796976041"/>
    <n v="18761.707018099805"/>
    <n v="5194278.6726795044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66243.8763621217"/>
    <n v="618468.71483434096"/>
    <n v="581579.9632190367"/>
    <n v="0"/>
    <n v="56757.88331613881"/>
    <n v="0"/>
    <n v="1709437.3149926052"/>
    <n v="0"/>
    <n v="0"/>
    <n v="0"/>
    <n v="1766195.198308744"/>
    <n v="0"/>
    <n v="17.99565288322793"/>
    <n v="0.32723984657453098"/>
    <n v="17.668413036653398"/>
    <n v="0"/>
    <n v="1501265.9185624323"/>
    <n v="48244.200818717989"/>
    <n v="1453021.7177437143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x v="1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4703372.1615964994"/>
    <n v="0"/>
    <n v="295933.04302308214"/>
    <n v="2914.9101192356643"/>
    <n v="0"/>
    <n v="0"/>
    <n v="0"/>
    <n v="379399.3889951203"/>
    <n v="379399.3889951203"/>
    <n v="2914.9101192356643"/>
    <n v="1.2993897913938279"/>
    <n v="1.3093729504647933"/>
    <n v="9.9831590709654593E-3"/>
    <n v="1.2993897913938279"/>
    <n v="117613.81058848729"/>
    <n v="118517.43272545036"/>
    <n v="903.62213696305594"/>
    <n v="117613.81058848731"/>
    <x v="0"/>
  </r>
  <r>
    <x v="23"/>
    <s v=""/>
    <n v="0"/>
    <x v="1"/>
    <s v="Vestdanmark"/>
    <n v="0"/>
    <n v="0"/>
    <n v="0"/>
    <n v="0"/>
    <n v="0"/>
    <n v="771875.25410193205"/>
    <n v="0"/>
    <n v="0"/>
    <n v="-771875.25410193205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386797.369068628"/>
    <n v="0"/>
    <n v="0"/>
    <n v="0"/>
    <n v="9348117.6321617663"/>
    <n v="688125.32570079644"/>
    <n v="0"/>
    <n v="0"/>
    <n v="350554.41120606475"/>
    <n v="350554.41120606475"/>
    <n v="9348117.6321617663"/>
    <n v="0.17744713740839793"/>
    <n v="4.9093708016323632"/>
    <n v="4.7319236642239648"/>
    <n v="0.17744713740839835"/>
    <n v="26642.135251660919"/>
    <n v="737099.07529595518"/>
    <n v="710456.94004429423"/>
    <n v="26642.135251660948"/>
    <x v="0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4525643.0291759707"/>
    <n v="0"/>
    <n v="0"/>
    <n v="255215.75389295255"/>
    <n v="0"/>
    <n v="0"/>
    <n v="0"/>
    <n v="1122630.616160715"/>
    <n v="1122630.616160715"/>
    <n v="255215.75389295255"/>
    <n v="4.0302439120169673"/>
    <n v="4.9464684684926672"/>
    <n v="0.91622455647569978"/>
    <n v="4.0302439120169673"/>
    <n v="336789.1848482145"/>
    <n v="413353.91101610026"/>
    <n v="76564.726167885761"/>
    <n v="336789.1848482145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x v="1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85245.1379714873"/>
    <n v="171279.2848730098"/>
    <n v="0"/>
    <n v="0"/>
    <n v="0"/>
    <n v="0"/>
    <n v="0"/>
    <n v="0"/>
    <n v="13965.853098477499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x v="0"/>
  </r>
  <r>
    <x v="38"/>
    <s v="Græs og urter"/>
    <n v="1"/>
    <x v="1"/>
    <s v="Vestdanmark"/>
    <n v="4923583.0761439931"/>
    <n v="672934.09412450308"/>
    <n v="0"/>
    <n v="0"/>
    <n v="21927.581361856195"/>
    <n v="0"/>
    <n v="0"/>
    <n v="0"/>
    <n v="4228721.4006576333"/>
    <n v="4228721.4006576333"/>
    <n v="21927.581361856195"/>
    <n v="11.476919030240843"/>
    <n v="11.536431363160176"/>
    <n v="5.9512332919332188E-2"/>
    <n v="11.476919030240843"/>
    <n v="845744.28013152676"/>
    <n v="850129.79640389793"/>
    <n v="4385.5162723712392"/>
    <n v="845744.28013152664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x v="0"/>
  </r>
  <r>
    <x v="42"/>
    <s v="Husdyrgødning"/>
    <n v="1"/>
    <x v="1"/>
    <s v="Vestdanmark"/>
    <n v="12059866.540704856"/>
    <n v="0"/>
    <n v="0"/>
    <n v="0"/>
    <n v="10853879.88663437"/>
    <n v="1205986.6540704854"/>
    <n v="0"/>
    <n v="0"/>
    <n v="0"/>
    <n v="0"/>
    <n v="10853879.88663437"/>
    <n v="0"/>
    <n v="4.6758514551620873"/>
    <n v="4.6758514551620873"/>
    <n v="0"/>
    <n v="0"/>
    <n v="542693.99433171854"/>
    <n v="542693.99433171854"/>
    <n v="0"/>
    <x v="0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16341.6308326661"/>
    <n v="0"/>
    <n v="0"/>
    <n v="0"/>
    <n v="0"/>
    <n v="0"/>
    <n v="2216341.6308326661"/>
    <n v="0"/>
    <n v="0"/>
    <n v="0"/>
    <n v="2216341.6308326661"/>
    <n v="0"/>
    <n v="32.122700134129985"/>
    <n v="0"/>
    <n v="32.122700134129985"/>
    <n v="0"/>
    <n v="1096165.6315826562"/>
    <n v="0"/>
    <n v="1096165.6315826562"/>
    <x v="0"/>
  </r>
  <r>
    <x v="47"/>
    <s v=""/>
    <n v="0"/>
    <x v="1"/>
    <s v="Vestdanmark"/>
    <n v="613803.17949896643"/>
    <n v="0"/>
    <n v="0"/>
    <n v="0"/>
    <n v="0"/>
    <n v="0"/>
    <n v="0"/>
    <n v="0"/>
    <n v="613803.17949896643"/>
    <n v="0"/>
    <n v="0"/>
    <n v="0"/>
    <n v="0"/>
    <n v="0"/>
    <n v="0"/>
    <n v="0"/>
    <n v="0"/>
    <n v="0"/>
    <n v="0"/>
    <x v="0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x v="0"/>
  </r>
  <r>
    <x v="1"/>
    <s v=""/>
    <n v="0"/>
    <x v="2"/>
    <s v="Vestdanmark"/>
    <n v="229440.63810667559"/>
    <n v="51598.780380153592"/>
    <n v="0"/>
    <n v="0"/>
    <n v="0"/>
    <n v="0"/>
    <n v="0"/>
    <n v="0"/>
    <n v="177841.85772652199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01057849.5712257"/>
    <n v="0"/>
    <n v="0"/>
    <n v="0"/>
    <n v="0"/>
    <n v="0"/>
    <n v="501057849.5712257"/>
    <n v="0"/>
    <n v="0"/>
    <n v="0"/>
    <n v="501057849.5712257"/>
    <n v="0"/>
    <n v="0"/>
    <n v="0"/>
    <n v="0"/>
    <n v="0"/>
    <n v="0"/>
    <n v="0"/>
    <n v="0"/>
    <x v="0"/>
  </r>
  <r>
    <x v="4"/>
    <s v=""/>
    <n v="0"/>
    <x v="2"/>
    <s v="Vestdanmark"/>
    <n v="21558531.376915034"/>
    <n v="0"/>
    <n v="0"/>
    <n v="0"/>
    <n v="0"/>
    <n v="19034352.153405923"/>
    <n v="0"/>
    <n v="0"/>
    <n v="2524179.2235091105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6892.4253779859373"/>
    <n v="0"/>
    <n v="0"/>
    <n v="0"/>
    <n v="6203.1828401873436"/>
    <n v="521.85506433322087"/>
    <n v="0"/>
    <n v="0"/>
    <n v="167.38747346537275"/>
    <n v="167.38747346537275"/>
    <n v="6203.1828401873436"/>
    <n v="7.8720654896030152E-5"/>
    <n v="2.9960155128077363E-3"/>
    <n v="2.917294857911706E-3"/>
    <n v="7.8720654896030206E-5"/>
    <n v="10.545410828318483"/>
    <n v="401.34592976012112"/>
    <n v="390.80051893180263"/>
    <n v="10.545410828318495"/>
    <x v="0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x v="0"/>
  </r>
  <r>
    <x v="10"/>
    <s v=""/>
    <n v="0"/>
    <x v="2"/>
    <s v="Vestdanmark"/>
    <n v="1145476.8591293055"/>
    <n v="0"/>
    <n v="0"/>
    <n v="0"/>
    <n v="0"/>
    <n v="0"/>
    <n v="0"/>
    <n v="0"/>
    <n v="1145476.8591293055"/>
    <n v="0"/>
    <n v="0"/>
    <n v="0"/>
    <n v="0"/>
    <n v="0"/>
    <n v="0"/>
    <n v="0"/>
    <n v="0"/>
    <n v="0"/>
    <n v="0"/>
    <x v="0"/>
  </r>
  <r>
    <x v="11"/>
    <s v=""/>
    <n v="0"/>
    <x v="2"/>
    <s v="Vestdanmark"/>
    <n v="32793.097303413146"/>
    <n v="0"/>
    <n v="0"/>
    <n v="267978.92035102146"/>
    <n v="0"/>
    <n v="0"/>
    <n v="0"/>
    <n v="0"/>
    <n v="-235185.82304760831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9404263.983943939"/>
    <n v="9790151.9274066389"/>
    <n v="0"/>
    <n v="0"/>
    <n v="66758.668734263701"/>
    <n v="0"/>
    <n v="0"/>
    <n v="0"/>
    <n v="19547353.387803037"/>
    <n v="19547353.387803037"/>
    <n v="66758.668734263701"/>
    <n v="35.964686814384116"/>
    <n v="36.08751442002157"/>
    <n v="0.12282760563745343"/>
    <n v="35.964686814384116"/>
    <n v="5473258.9485848509"/>
    <n v="5491951.3758304445"/>
    <n v="18692.427245593837"/>
    <n v="5473258.9485848509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220830.77573350482"/>
    <n v="0"/>
    <n v="0"/>
    <n v="280672.65868343826"/>
    <n v="0"/>
    <n v="0"/>
    <n v="0"/>
    <n v="0"/>
    <n v="-59841.882949933439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835213.6153094829"/>
    <n v="618468.71483434096"/>
    <n v="579210.80448009283"/>
    <n v="0"/>
    <n v="56360.409398816068"/>
    <n v="0"/>
    <n v="1581173.6865962329"/>
    <n v="0"/>
    <n v="0"/>
    <n v="0"/>
    <n v="1637534.095995049"/>
    <n v="0"/>
    <n v="16.667653207999045"/>
    <n v="0.32494819480525"/>
    <n v="16.342705013193797"/>
    <n v="0"/>
    <n v="1391903.9815957916"/>
    <n v="47906.347988993657"/>
    <n v="1343997.63360679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x v="1"/>
  </r>
  <r>
    <x v="20"/>
    <s v=""/>
    <n v="0"/>
    <x v="2"/>
    <s v="Vestdanmark"/>
    <n v="729011.95091777691"/>
    <n v="0"/>
    <n v="0"/>
    <n v="0"/>
    <n v="0"/>
    <n v="0"/>
    <n v="0"/>
    <n v="0"/>
    <n v="729011.95091777691"/>
    <n v="0"/>
    <n v="0"/>
    <n v="0"/>
    <n v="0"/>
    <n v="0"/>
    <n v="0"/>
    <n v="0"/>
    <n v="0"/>
    <n v="0"/>
    <n v="0"/>
    <x v="0"/>
  </r>
  <r>
    <x v="21"/>
    <s v=""/>
    <n v="0"/>
    <x v="2"/>
    <s v="Vestdanmark"/>
    <n v="1818589.8087592444"/>
    <n v="0"/>
    <n v="0"/>
    <n v="128347.79869443661"/>
    <n v="0"/>
    <n v="0"/>
    <n v="0"/>
    <n v="0"/>
    <n v="1690242.0100648077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523408.7197105791"/>
    <n v="4703372.1615964994"/>
    <n v="0"/>
    <n v="307470.55071854044"/>
    <n v="2901.770538547059"/>
    <n v="0"/>
    <n v="0"/>
    <n v="0"/>
    <n v="509664.23685699236"/>
    <n v="509664.23685699236"/>
    <n v="2901.770538547059"/>
    <n v="1.7455286582420391"/>
    <n v="1.7554668160886873"/>
    <n v="9.9381578466482823E-3"/>
    <n v="1.7455286582420391"/>
    <n v="157995.91342566762"/>
    <n v="158895.46229261722"/>
    <n v="899.54886694958827"/>
    <n v="157995.91342566762"/>
    <x v="0"/>
  </r>
  <r>
    <x v="23"/>
    <s v=""/>
    <n v="0"/>
    <x v="2"/>
    <s v="Vestdanmark"/>
    <n v="0"/>
    <n v="0"/>
    <n v="0"/>
    <n v="0"/>
    <n v="0"/>
    <n v="725594.03868632857"/>
    <n v="0"/>
    <n v="0"/>
    <n v="-725594.03868632857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0188325.202039858"/>
    <n v="0"/>
    <n v="0"/>
    <n v="0"/>
    <n v="9169492.6818358731"/>
    <n v="674976.54463514045"/>
    <n v="0"/>
    <n v="0"/>
    <n v="343855.97556884401"/>
    <n v="343855.97556884401"/>
    <n v="9169492.6818358731"/>
    <n v="0.17405645627319316"/>
    <n v="4.8155619568916936"/>
    <n v="4.6415055006185009"/>
    <n v="0.17405645627319277"/>
    <n v="26133.054143232144"/>
    <n v="723014.49796275853"/>
    <n v="696881.44381952635"/>
    <n v="26133.054143232177"/>
    <x v="0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6101831.6290168501"/>
    <n v="4525643.0291759707"/>
    <n v="0"/>
    <n v="0"/>
    <n v="254098.83749353027"/>
    <n v="0"/>
    <n v="0"/>
    <n v="0"/>
    <n v="1322089.762347349"/>
    <n v="1322089.762347349"/>
    <n v="254098.83749353027"/>
    <n v="4.7463022468269829"/>
    <n v="5.6585170734287562"/>
    <n v="0.91221482660177378"/>
    <n v="4.746302246826982"/>
    <n v="396626.92870420468"/>
    <n v="472856.57995226374"/>
    <n v="76229.651248059075"/>
    <n v="396626.92870420468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x v="1"/>
  </r>
  <r>
    <x v="30"/>
    <s v=""/>
    <n v="0"/>
    <x v="2"/>
    <s v="Vestdanmark"/>
    <n v="1048609.453845398"/>
    <n v="0"/>
    <n v="0"/>
    <n v="0"/>
    <n v="0"/>
    <n v="0"/>
    <n v="0"/>
    <n v="0"/>
    <n v="1048609.453845398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8491.06742829576"/>
    <n v="0"/>
    <n v="0"/>
    <n v="0"/>
    <n v="0"/>
    <n v="0"/>
    <n v="158491.06742829576"/>
    <n v="0"/>
    <n v="0"/>
    <n v="0"/>
    <n v="158491.06742829576"/>
    <n v="0"/>
    <n v="2.9162356406806413"/>
    <n v="0"/>
    <n v="2.9162356406806413"/>
    <n v="0"/>
    <n v="65773.792982742743"/>
    <n v="0"/>
    <n v="65773.79298274274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x v="0"/>
  </r>
  <r>
    <x v="35"/>
    <s v=""/>
    <n v="0"/>
    <x v="2"/>
    <s v="Vestdanmark"/>
    <n v="378080.80621229054"/>
    <n v="0"/>
    <n v="0"/>
    <n v="0"/>
    <n v="0"/>
    <n v="0"/>
    <n v="0"/>
    <n v="378080.8062122905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9040.40310614527"/>
    <n v="171279.2848730098"/>
    <n v="0"/>
    <n v="0"/>
    <n v="0"/>
    <n v="0"/>
    <n v="0"/>
    <n v="0"/>
    <n v="17761.118233135465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20985.85798793298"/>
    <n v="0"/>
    <n v="0"/>
    <n v="0"/>
    <n v="0"/>
    <n v="0"/>
    <n v="120985.85798793298"/>
    <n v="0"/>
    <n v="0"/>
    <n v="0"/>
    <n v="120985.85798793298"/>
    <n v="0"/>
    <n v="4.2345050295776536"/>
    <n v="0"/>
    <n v="4.2345050295776536"/>
    <n v="0"/>
    <n v="0"/>
    <n v="0"/>
    <n v="0"/>
    <x v="0"/>
  </r>
  <r>
    <x v="38"/>
    <s v="Græs og urter"/>
    <n v="1"/>
    <x v="2"/>
    <s v="Vestdanmark"/>
    <n v="5024574.3595380196"/>
    <n v="672934.09412450308"/>
    <n v="0"/>
    <n v="0"/>
    <n v="21821.426523041016"/>
    <n v="0"/>
    <n v="0"/>
    <n v="0"/>
    <n v="4329818.8388904752"/>
    <n v="4329818.8388904752"/>
    <n v="21821.426523041016"/>
    <n v="11.751301521502306"/>
    <n v="11.8105257459429"/>
    <n v="5.9224224440594241E-2"/>
    <n v="11.751301521502306"/>
    <n v="865963.76777809509"/>
    <n v="870328.05308270326"/>
    <n v="4364.2853046082037"/>
    <n v="865963.76777809509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x v="0"/>
  </r>
  <r>
    <x v="42"/>
    <s v="Husdyrgødning"/>
    <n v="1"/>
    <x v="2"/>
    <s v="Vestdanmark"/>
    <n v="11545833.414063649"/>
    <n v="0"/>
    <n v="0"/>
    <n v="0"/>
    <n v="10391250.072657285"/>
    <n v="1154583.3414063647"/>
    <n v="0"/>
    <n v="0"/>
    <n v="0"/>
    <n v="0"/>
    <n v="10391250.072657285"/>
    <n v="0"/>
    <n v="4.4765505313007594"/>
    <n v="4.4765505313007594"/>
    <n v="0"/>
    <n v="0"/>
    <n v="519562.50363286427"/>
    <n v="519562.50363286427"/>
    <n v="0"/>
    <x v="0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235295.9759470159"/>
    <n v="0"/>
    <n v="0"/>
    <n v="0"/>
    <n v="0"/>
    <n v="0"/>
    <n v="2235295.9759470159"/>
    <n v="0"/>
    <n v="0"/>
    <n v="0"/>
    <n v="2235295.9759470159"/>
    <n v="0"/>
    <n v="32.397416241013886"/>
    <n v="0"/>
    <n v="32.397416241013886"/>
    <n v="0"/>
    <n v="1105540.1347704616"/>
    <n v="0"/>
    <n v="1105540.1347704616"/>
    <x v="0"/>
  </r>
  <r>
    <x v="47"/>
    <s v=""/>
    <n v="0"/>
    <x v="2"/>
    <s v="Vestdanmark"/>
    <n v="687223.1739007252"/>
    <n v="0"/>
    <n v="0"/>
    <n v="0"/>
    <n v="0"/>
    <n v="0"/>
    <n v="0"/>
    <n v="0"/>
    <n v="687223.1739007252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x v="0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6333.2934029920762"/>
    <n v="0"/>
    <n v="0"/>
    <n v="0"/>
    <n v="0"/>
    <n v="0"/>
    <n v="0"/>
    <n v="59987.28217796616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17001032.45606402"/>
    <n v="0"/>
    <n v="0"/>
    <n v="0"/>
    <n v="0"/>
    <n v="0"/>
    <n v="117001032.45606402"/>
    <n v="0"/>
    <n v="0"/>
    <n v="0"/>
    <n v="117001032.45606402"/>
    <n v="0"/>
    <n v="0"/>
    <n v="0"/>
    <n v="0"/>
    <n v="0"/>
    <n v="0"/>
    <n v="0"/>
    <n v="0"/>
    <x v="0"/>
  </r>
  <r>
    <x v="4"/>
    <s v=""/>
    <n v="0"/>
    <x v="1"/>
    <s v="Østdanmark"/>
    <n v="3846030.9782367097"/>
    <n v="0"/>
    <n v="0"/>
    <n v="0"/>
    <n v="0"/>
    <n v="3424154.0812072256"/>
    <n v="0"/>
    <n v="0"/>
    <n v="421876.89702948416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560.16154012228367"/>
    <n v="0"/>
    <n v="0"/>
    <n v="0"/>
    <n v="504.14538611005531"/>
    <n v="42.412230894972893"/>
    <n v="0"/>
    <n v="0"/>
    <n v="13.603923117255476"/>
    <n v="13.603923117255476"/>
    <n v="504.14538611005531"/>
    <n v="6.397789002814078E-6"/>
    <n v="2.4349232263651198E-4"/>
    <n v="2.3709453363369792E-4"/>
    <n v="6.3977890028140653E-6"/>
    <n v="0.85704715638709505"/>
    <n v="32.618206481320577"/>
    <n v="31.761159324933484"/>
    <n v="0.85704715638709317"/>
    <x v="0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915785.5258047525"/>
    <n v="1201654.4608093714"/>
    <n v="0"/>
    <n v="0"/>
    <n v="18670.90350678641"/>
    <n v="0"/>
    <n v="0"/>
    <n v="0"/>
    <n v="6695460.1614885945"/>
    <n v="6695460.1614885945"/>
    <n v="18670.90350678641"/>
    <n v="12.318809764618829"/>
    <n v="12.353161893208377"/>
    <n v="3.4352128589548649E-2"/>
    <n v="12.318809764618829"/>
    <n v="1874728.8452168067"/>
    <n v="1879956.6981987068"/>
    <n v="5227.8529819001951"/>
    <n v="1874728.8452168067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88494.96140285372"/>
    <n v="75911.558427530035"/>
    <n v="82816.687681498166"/>
    <n v="0"/>
    <n v="19176.116683861201"/>
    <n v="0"/>
    <n v="710590.59860996436"/>
    <n v="0"/>
    <n v="0"/>
    <n v="0"/>
    <n v="729766.7152938256"/>
    <n v="0"/>
    <n v="7.455087481427622"/>
    <n v="0.11056066778546911"/>
    <n v="7.3445268136421529"/>
    <n v="0"/>
    <n v="620301.70799975179"/>
    <n v="16299.69918128202"/>
    <n v="604002.00881846971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x v="1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577297.28616440261"/>
    <n v="0"/>
    <n v="256234.83946537593"/>
    <n v="871.08988076433457"/>
    <n v="0"/>
    <n v="0"/>
    <n v="0"/>
    <n v="773836.52433290996"/>
    <n v="773836.52433290996"/>
    <n v="871.08988076433457"/>
    <n v="2.6502817587268104"/>
    <n v="2.653265119615845"/>
    <n v="2.9833608890345396E-3"/>
    <n v="2.6502817587268104"/>
    <n v="239889.32254320208"/>
    <n v="240159.36040623905"/>
    <n v="270.03786303694369"/>
    <n v="239889.32254320211"/>
    <x v="0"/>
  </r>
  <r>
    <x v="23"/>
    <s v=""/>
    <n v="0"/>
    <x v="1"/>
    <s v="Østdanmark"/>
    <n v="0"/>
    <n v="0"/>
    <n v="0"/>
    <n v="0"/>
    <n v="0"/>
    <n v="353758.48713435931"/>
    <n v="0"/>
    <n v="0"/>
    <n v="-353758.48713435931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38231.33813296724"/>
    <n v="0"/>
    <n v="0"/>
    <n v="0"/>
    <n v="664408.20431967056"/>
    <n v="48907.826151309069"/>
    <n v="0"/>
    <n v="0"/>
    <n v="24915.307661987608"/>
    <n v="24915.307661987608"/>
    <n v="664408.20431967056"/>
    <n v="1.2611879585421509E-2"/>
    <n v="0.3489286685299956"/>
    <n v="0.33631678894457406"/>
    <n v="1.2611879585421537E-2"/>
    <n v="1893.5633823110581"/>
    <n v="52388.58691060602"/>
    <n v="50495.023528294958"/>
    <n v="1893.563382311062"/>
    <x v="0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555482.60888742993"/>
    <n v="0"/>
    <n v="0"/>
    <n v="74810.246107047482"/>
    <n v="0"/>
    <n v="0"/>
    <n v="0"/>
    <n v="1100170.4416872659"/>
    <n v="1100170.4416872659"/>
    <n v="74810.246107047482"/>
    <n v="3.9496118856572848"/>
    <n v="4.2181806691815851"/>
    <n v="0.26856878352430047"/>
    <n v="3.9496118856572844"/>
    <n v="330051.13250617974"/>
    <n v="352494.20633829397"/>
    <n v="22443.073832114245"/>
    <n v="330051.13250617974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x v="1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5765.551104918435"/>
    <n v="21023.015601598698"/>
    <n v="0"/>
    <n v="0"/>
    <n v="0"/>
    <n v="0"/>
    <n v="0"/>
    <n v="0"/>
    <n v="34742.535503319741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x v="0"/>
  </r>
  <r>
    <x v="38"/>
    <s v="Græs og urter"/>
    <n v="1"/>
    <x v="1"/>
    <s v="Østdanmark"/>
    <n v="1508318.1394402247"/>
    <n v="82596.701464021666"/>
    <n v="0"/>
    <n v="0"/>
    <n v="6717.4186381438076"/>
    <n v="0"/>
    <n v="0"/>
    <n v="0"/>
    <n v="1419004.0193380592"/>
    <n v="1419004.0193380592"/>
    <n v="6717.4186381438076"/>
    <n v="3.8512336686442663"/>
    <n v="3.8694650115249343"/>
    <n v="1.8231342880667821E-2"/>
    <n v="3.8512336686442663"/>
    <n v="283800.80386761186"/>
    <n v="285144.28759524063"/>
    <n v="1343.4837276287617"/>
    <n v="283800.80386761186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x v="0"/>
  </r>
  <r>
    <x v="42"/>
    <s v="Husdyrgødning"/>
    <n v="1"/>
    <x v="1"/>
    <s v="Østdanmark"/>
    <n v="1747439.8704342765"/>
    <n v="0"/>
    <n v="0"/>
    <n v="0"/>
    <n v="1572695.883390849"/>
    <n v="174743.98704342762"/>
    <n v="0"/>
    <n v="0"/>
    <n v="0"/>
    <n v="0"/>
    <n v="1572695.883390849"/>
    <n v="0"/>
    <n v="0.67751738656477789"/>
    <n v="0.67751738656477789"/>
    <n v="0"/>
    <n v="0"/>
    <n v="78634.794169542452"/>
    <n v="78634.794169542452"/>
    <n v="0"/>
    <x v="0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088.73530897219"/>
    <n v="0"/>
    <n v="0"/>
    <n v="0"/>
    <n v="0"/>
    <n v="0"/>
    <n v="647088.73530897219"/>
    <n v="0"/>
    <n v="0"/>
    <n v="0"/>
    <n v="647088.73530897219"/>
    <n v="0"/>
    <n v="9.3786251701161518"/>
    <n v="0"/>
    <n v="9.3786251701161518"/>
    <n v="0"/>
    <n v="320039.30367156246"/>
    <n v="0"/>
    <n v="320039.30367156246"/>
    <x v="0"/>
  </r>
  <r>
    <x v="47"/>
    <s v=""/>
    <n v="0"/>
    <x v="1"/>
    <s v="Østdanmark"/>
    <n v="178637.61286448501"/>
    <n v="0"/>
    <n v="0"/>
    <n v="0"/>
    <n v="0"/>
    <n v="0"/>
    <n v="0"/>
    <n v="0"/>
    <n v="178637.61286448501"/>
    <n v="0"/>
    <n v="0"/>
    <n v="0"/>
    <n v="0"/>
    <n v="0"/>
    <n v="0"/>
    <n v="0"/>
    <n v="0"/>
    <n v="0"/>
    <n v="0"/>
    <x v="0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x v="0"/>
  </r>
  <r>
    <x v="1"/>
    <s v=""/>
    <n v="0"/>
    <x v="2"/>
    <s v="Østdanmark"/>
    <n v="69084.929808935805"/>
    <n v="6333.293402992078"/>
    <n v="0"/>
    <n v="0"/>
    <n v="0"/>
    <n v="0"/>
    <n v="0"/>
    <n v="0"/>
    <n v="62751.63640594372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17860054.55405192"/>
    <n v="0"/>
    <n v="0"/>
    <n v="0"/>
    <n v="0"/>
    <n v="0"/>
    <n v="117860054.55405192"/>
    <n v="0"/>
    <n v="0"/>
    <n v="0"/>
    <n v="117860054.55405192"/>
    <n v="0"/>
    <n v="0"/>
    <n v="0"/>
    <n v="0"/>
    <n v="0"/>
    <n v="0"/>
    <n v="0"/>
    <n v="0"/>
    <x v="0"/>
  </r>
  <r>
    <x v="4"/>
    <s v=""/>
    <n v="0"/>
    <x v="2"/>
    <s v="Østdanmark"/>
    <n v="3839450.0046601556"/>
    <n v="0"/>
    <n v="0"/>
    <n v="0"/>
    <n v="0"/>
    <n v="3389908.2542493283"/>
    <n v="0"/>
    <n v="0"/>
    <n v="449541.7504108273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578.47871789484248"/>
    <n v="0"/>
    <n v="0"/>
    <n v="0"/>
    <n v="520.63084610535827"/>
    <n v="43.799102926323776"/>
    <n v="0"/>
    <n v="0"/>
    <n v="14.048768863160376"/>
    <n v="14.048768863160376"/>
    <n v="520.63084610535827"/>
    <n v="6.6069955086556931E-6"/>
    <n v="2.5145447612354464E-4"/>
    <n v="2.4484748061488895E-4"/>
    <n v="6.6069955086556914E-6"/>
    <n v="0.88507243837910365"/>
    <n v="33.684815743016678"/>
    <n v="32.799743304637573"/>
    <n v="0.88507243837910465"/>
    <x v="0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57304.25157150667"/>
    <n v="0"/>
    <n v="0"/>
    <n v="0"/>
    <n v="0"/>
    <n v="0"/>
    <n v="0"/>
    <n v="0"/>
    <n v="357304.25157150667"/>
    <n v="0"/>
    <n v="0"/>
    <n v="0"/>
    <n v="0"/>
    <n v="0"/>
    <n v="0"/>
    <n v="0"/>
    <n v="0"/>
    <n v="0"/>
    <n v="0"/>
    <x v="0"/>
  </r>
  <r>
    <x v="11"/>
    <s v=""/>
    <n v="0"/>
    <x v="2"/>
    <s v="Østdanmark"/>
    <n v="10163.089759541812"/>
    <n v="0"/>
    <n v="0"/>
    <n v="233795.01599247381"/>
    <n v="0"/>
    <n v="0"/>
    <n v="0"/>
    <n v="0"/>
    <n v="-223631.926232931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8332694.7229536632"/>
    <n v="1201654.4608093717"/>
    <n v="0"/>
    <n v="0"/>
    <n v="18918.331265736317"/>
    <n v="0"/>
    <n v="0"/>
    <n v="0"/>
    <n v="7112121.9308785554"/>
    <n v="7112121.9308785554"/>
    <n v="18918.331265736317"/>
    <n v="13.085415337575183"/>
    <n v="13.120222702312729"/>
    <n v="3.4807364737546607E-2"/>
    <n v="13.085415337575183"/>
    <n v="1991394.1406459957"/>
    <n v="1996691.2734004019"/>
    <n v="5297.1327544061696"/>
    <n v="1991394.140645995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8513.709869912811"/>
    <n v="0"/>
    <n v="0"/>
    <n v="244869.51675001203"/>
    <n v="0"/>
    <n v="0"/>
    <n v="0"/>
    <n v="0"/>
    <n v="-176355.80688009923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865944.52172148146"/>
    <n v="75911.55842753005"/>
    <n v="82449.939525946174"/>
    <n v="0"/>
    <n v="19573.590601183951"/>
    <n v="0"/>
    <n v="688009.43316682125"/>
    <n v="0"/>
    <n v="0"/>
    <n v="0"/>
    <n v="707583.02376800519"/>
    <n v="0"/>
    <n v="7.2239845802646228"/>
    <n v="0.11285231955475013"/>
    <n v="7.1111322607098728"/>
    <n v="0"/>
    <n v="601445.5702028044"/>
    <n v="16637.552011006359"/>
    <n v="584808.018191798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x v="1"/>
  </r>
  <r>
    <x v="20"/>
    <s v=""/>
    <n v="0"/>
    <x v="2"/>
    <s v="Østdanmark"/>
    <n v="220334.04456617165"/>
    <n v="0"/>
    <n v="0"/>
    <n v="0"/>
    <n v="0"/>
    <n v="0"/>
    <n v="0"/>
    <n v="0"/>
    <n v="220334.04456617165"/>
    <n v="0"/>
    <n v="0"/>
    <n v="0"/>
    <n v="0"/>
    <n v="0"/>
    <n v="0"/>
    <n v="0"/>
    <n v="0"/>
    <n v="0"/>
    <n v="0"/>
    <x v="0"/>
  </r>
  <r>
    <x v="21"/>
    <s v=""/>
    <n v="0"/>
    <x v="2"/>
    <s v="Østdanmark"/>
    <n v="536733.47505489504"/>
    <n v="0"/>
    <n v="0"/>
    <n v="111975.50765955324"/>
    <n v="0"/>
    <n v="0"/>
    <n v="0"/>
    <n v="0"/>
    <n v="424757.96739534178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83096.8033949384"/>
    <n v="577297.28616440273"/>
    <n v="0"/>
    <n v="268249.01834925939"/>
    <n v="884.229461452941"/>
    <n v="0"/>
    <n v="0"/>
    <n v="0"/>
    <n v="836666.26941982331"/>
    <n v="836666.26941982331"/>
    <n v="884.229461452941"/>
    <n v="2.8654648394851767"/>
    <n v="2.8684932015985285"/>
    <n v="3.0283621133517201E-3"/>
    <n v="2.8654648394851767"/>
    <n v="259366.54352014523"/>
    <n v="259640.65465319564"/>
    <n v="274.11113305041169"/>
    <n v="259366.54352014523"/>
    <x v="0"/>
  </r>
  <r>
    <x v="23"/>
    <s v=""/>
    <n v="0"/>
    <x v="2"/>
    <s v="Østdanmark"/>
    <n v="0"/>
    <n v="0"/>
    <n v="0"/>
    <n v="0"/>
    <n v="0"/>
    <n v="343152.81118002941"/>
    <n v="0"/>
    <n v="0"/>
    <n v="-343152.8111800294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724125.12538599269"/>
    <n v="0"/>
    <n v="0"/>
    <n v="0"/>
    <n v="651712.6128473935"/>
    <n v="47973.289556822005"/>
    <n v="0"/>
    <n v="0"/>
    <n v="24439.222981777159"/>
    <n v="24439.222981777159"/>
    <n v="651712.6128473935"/>
    <n v="1.2370890281145781E-2"/>
    <n v="0.34226129777836795"/>
    <n v="0.32989040749722215"/>
    <n v="1.2370890281145797E-2"/>
    <n v="1857.380946615064"/>
    <n v="51387.539523016967"/>
    <n v="49530.158576401904"/>
    <n v="1857.3809466150633"/>
    <x v="0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23285.6405542411"/>
    <n v="555482.60888743005"/>
    <n v="0"/>
    <n v="0"/>
    <n v="75927.162506469729"/>
    <n v="0"/>
    <n v="0"/>
    <n v="0"/>
    <n v="1191875.8691603413"/>
    <n v="1191875.8691603413"/>
    <n v="75927.162506469729"/>
    <n v="4.278834370285626"/>
    <n v="4.5514128836838523"/>
    <n v="0.27257851339822636"/>
    <n v="4.278834370285626"/>
    <n v="357562.76074810239"/>
    <n v="380340.90950004332"/>
    <n v="22778.148751940917"/>
    <n v="357562.76074810239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x v="1"/>
  </r>
  <r>
    <x v="30"/>
    <s v=""/>
    <n v="0"/>
    <x v="2"/>
    <s v="Østdanmark"/>
    <n v="314116.08613367198"/>
    <n v="0"/>
    <n v="0"/>
    <n v="0"/>
    <n v="0"/>
    <n v="0"/>
    <n v="0"/>
    <n v="0"/>
    <n v="314116.0861336719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858.564110476924"/>
    <n v="0"/>
    <n v="0"/>
    <n v="0"/>
    <n v="0"/>
    <n v="0"/>
    <n v="43858.564110476924"/>
    <n v="0"/>
    <n v="0"/>
    <n v="0"/>
    <n v="43858.564110476924"/>
    <n v="0"/>
    <n v="0.8069975796327753"/>
    <n v="0"/>
    <n v="0.8069975796327753"/>
    <n v="0"/>
    <n v="18201.304105847925"/>
    <n v="0"/>
    <n v="18201.304105847925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x v="0"/>
  </r>
  <r>
    <x v="35"/>
    <s v=""/>
    <n v="0"/>
    <x v="2"/>
    <s v="Østdanmark"/>
    <n v="116086.90219815794"/>
    <n v="0"/>
    <n v="0"/>
    <n v="0"/>
    <n v="0"/>
    <n v="0"/>
    <n v="0"/>
    <n v="116086.90219815794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8043.451099078971"/>
    <n v="21023.015601598701"/>
    <n v="0"/>
    <n v="0"/>
    <n v="0"/>
    <n v="0"/>
    <n v="0"/>
    <n v="0"/>
    <n v="37020.43549748027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7147.808703410541"/>
    <n v="0"/>
    <n v="0"/>
    <n v="0"/>
    <n v="0"/>
    <n v="0"/>
    <n v="37147.808703410541"/>
    <n v="0"/>
    <n v="0"/>
    <n v="0"/>
    <n v="37147.808703410541"/>
    <n v="0"/>
    <n v="1.3001733046193689"/>
    <n v="0"/>
    <n v="1.3001733046193689"/>
    <n v="0"/>
    <n v="0"/>
    <n v="0"/>
    <n v="0"/>
    <x v="0"/>
  </r>
  <r>
    <x v="38"/>
    <s v="Græs og urter"/>
    <n v="1"/>
    <x v="2"/>
    <s v="Østdanmark"/>
    <n v="1571187.4884325294"/>
    <n v="82596.70146402168"/>
    <n v="0"/>
    <n v="0"/>
    <n v="6823.5734769589817"/>
    <n v="0"/>
    <n v="0"/>
    <n v="0"/>
    <n v="1481767.2134915488"/>
    <n v="1481767.2134915488"/>
    <n v="6823.5734769589817"/>
    <n v="4.0215754881046033"/>
    <n v="4.0400949394640087"/>
    <n v="1.8519451359405754E-2"/>
    <n v="4.0215754881046033"/>
    <n v="296353.44269830978"/>
    <n v="297718.15739370155"/>
    <n v="1364.7146953917963"/>
    <n v="296353.44269830978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x v="0"/>
  </r>
  <r>
    <x v="42"/>
    <s v="Husdyrgødning"/>
    <n v="1"/>
    <x v="2"/>
    <s v="Østdanmark"/>
    <n v="1672957.9533098161"/>
    <n v="0"/>
    <n v="0"/>
    <n v="0"/>
    <n v="1505662.1579788346"/>
    <n v="167295.79533098158"/>
    <n v="0"/>
    <n v="0"/>
    <n v="0"/>
    <n v="0"/>
    <n v="1505662.1579788346"/>
    <n v="0"/>
    <n v="0.64863925765728203"/>
    <n v="0.64863925765728203"/>
    <n v="0"/>
    <n v="0"/>
    <n v="75283.107898941729"/>
    <n v="75283.107898941729"/>
    <n v="0"/>
    <x v="0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24603.98534617631"/>
    <n v="0"/>
    <n v="0"/>
    <n v="0"/>
    <n v="0"/>
    <n v="0"/>
    <n v="624603.98534617631"/>
    <n v="0"/>
    <n v="0"/>
    <n v="0"/>
    <n v="624603.98534617631"/>
    <n v="0"/>
    <n v="9.0527408973136652"/>
    <n v="0"/>
    <n v="9.0527408973136652"/>
    <n v="0"/>
    <n v="308918.72108579637"/>
    <n v="0"/>
    <n v="308918.72108579637"/>
    <x v="0"/>
  </r>
  <r>
    <x v="47"/>
    <s v=""/>
    <n v="0"/>
    <x v="2"/>
    <s v="Østdanmark"/>
    <n v="184169.19735067486"/>
    <n v="0"/>
    <n v="0"/>
    <n v="0"/>
    <n v="0"/>
    <n v="0"/>
    <n v="0"/>
    <n v="0"/>
    <n v="184169.19735067486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51598.780380153592"/>
    <n v="0"/>
    <n v="0"/>
    <n v="0"/>
    <n v="0"/>
    <n v="0"/>
    <n v="0"/>
    <n v="172971.62912568916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5656960.63475704"/>
    <n v="0"/>
    <n v="0"/>
    <n v="0"/>
    <n v="0"/>
    <n v="0"/>
    <n v="505656960.63475704"/>
    <n v="0"/>
    <n v="0"/>
    <n v="0"/>
    <n v="505656960.63475704"/>
    <n v="0"/>
    <n v="0"/>
    <n v="0"/>
    <n v="0"/>
    <n v="0"/>
    <n v="0"/>
    <n v="0"/>
    <n v="0"/>
    <n v="0"/>
    <x v="1"/>
  </r>
  <r>
    <x v="4"/>
    <s v=""/>
    <n v="0"/>
    <x v="1"/>
    <s v="Vestdanmark"/>
    <n v="22052758.669106159"/>
    <n v="0"/>
    <n v="0"/>
    <n v="0"/>
    <n v="0"/>
    <n v="19633758.54900625"/>
    <n v="0"/>
    <n v="0"/>
    <n v="2419000.1200999096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6674.1809084363849"/>
    <n v="0"/>
    <n v="0"/>
    <n v="0"/>
    <n v="6006.7628175927466"/>
    <n v="505.33084021018328"/>
    <n v="0"/>
    <n v="0"/>
    <n v="162.08725063345537"/>
    <n v="162.08725063345537"/>
    <n v="6006.7628175927466"/>
    <n v="7.6228013100407724E-5"/>
    <n v="2.9011484985861005E-3"/>
    <n v="2.8249204854856927E-3"/>
    <n v="7.6228013100407711E-5"/>
    <n v="10.211496789907688"/>
    <n v="388.63755429825073"/>
    <n v="378.42605750834304"/>
    <n v="10.211496789907699"/>
    <n v="0"/>
    <x v="0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8408153.283469509"/>
    <n v="9790151.9274066389"/>
    <n v="0"/>
    <n v="0"/>
    <n v="67006.096493213583"/>
    <n v="0"/>
    <n v="0"/>
    <n v="0"/>
    <n v="18550995.259569656"/>
    <n v="18550995.259569656"/>
    <n v="67006.096493213583"/>
    <n v="34.131512403200723"/>
    <n v="34.254795244986177"/>
    <n v="0.12328284178545135"/>
    <n v="34.131512403200723"/>
    <n v="5194278.6726795044"/>
    <n v="5213040.3796976041"/>
    <n v="18761.707018099805"/>
    <n v="5194278.6726795044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66243.8763621217"/>
    <n v="618468.71483434096"/>
    <n v="581579.9632190367"/>
    <n v="0"/>
    <n v="56757.88331613881"/>
    <n v="0"/>
    <n v="1709437.3149926052"/>
    <n v="0"/>
    <n v="0"/>
    <n v="0"/>
    <n v="1766195.198308744"/>
    <n v="0"/>
    <n v="17.99565288322793"/>
    <n v="0.32723984657453098"/>
    <n v="17.668413036653398"/>
    <n v="0"/>
    <n v="1501265.9185624323"/>
    <n v="48244.200818717989"/>
    <n v="1453021.7177437143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n v="1"/>
    <x v="1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4703372.1615964994"/>
    <n v="0"/>
    <n v="295933.04302308214"/>
    <n v="2914.9101192356643"/>
    <n v="0"/>
    <n v="0"/>
    <n v="0"/>
    <n v="379399.3889951203"/>
    <n v="379399.3889951203"/>
    <n v="2914.9101192356643"/>
    <n v="1.2993897913938279"/>
    <n v="1.3093729504647933"/>
    <n v="9.9831590709654593E-3"/>
    <n v="1.2993897913938279"/>
    <n v="117613.81058848729"/>
    <n v="118517.43272545036"/>
    <n v="903.62213696305594"/>
    <n v="117613.81058848731"/>
    <n v="0"/>
    <x v="0"/>
  </r>
  <r>
    <x v="23"/>
    <s v=""/>
    <n v="0"/>
    <x v="1"/>
    <s v="Vestdanmark"/>
    <n v="0"/>
    <n v="0"/>
    <n v="0"/>
    <n v="0"/>
    <n v="0"/>
    <n v="771875.25410193205"/>
    <n v="0"/>
    <n v="0"/>
    <n v="-771875.25410193205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386797.369068628"/>
    <n v="0"/>
    <n v="0"/>
    <n v="0"/>
    <n v="9348117.6321617663"/>
    <n v="688125.32570079644"/>
    <n v="0"/>
    <n v="0"/>
    <n v="350554.41120606475"/>
    <n v="350554.41120606475"/>
    <n v="9348117.6321617663"/>
    <n v="0.17744713740839793"/>
    <n v="4.9093708016323632"/>
    <n v="4.7319236642239648"/>
    <n v="0.17744713740839835"/>
    <n v="26642.135251660919"/>
    <n v="737099.07529595518"/>
    <n v="710456.94004429423"/>
    <n v="26642.135251660948"/>
    <n v="0"/>
    <x v="0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4525643.0291759707"/>
    <n v="0"/>
    <n v="0"/>
    <n v="255215.75389295255"/>
    <n v="0"/>
    <n v="0"/>
    <n v="0"/>
    <n v="1122630.616160715"/>
    <n v="1122630.616160715"/>
    <n v="255215.75389295255"/>
    <n v="4.0302439120169673"/>
    <n v="4.9464684684926672"/>
    <n v="0.91622455647569978"/>
    <n v="4.0302439120169673"/>
    <n v="336789.1848482145"/>
    <n v="413353.91101610026"/>
    <n v="76564.726167885761"/>
    <n v="336789.1848482145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85245.1379714873"/>
    <n v="171279.2848730098"/>
    <n v="0"/>
    <n v="0"/>
    <n v="0"/>
    <n v="0"/>
    <n v="0"/>
    <n v="0"/>
    <n v="13965.853098477499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n v="0"/>
    <x v="1"/>
  </r>
  <r>
    <x v="38"/>
    <s v="Græs og urter"/>
    <n v="1"/>
    <x v="1"/>
    <s v="Vestdanmark"/>
    <n v="4923583.0761439931"/>
    <n v="672934.09412450308"/>
    <n v="0"/>
    <n v="0"/>
    <n v="21927.581361856195"/>
    <n v="0"/>
    <n v="0"/>
    <n v="0"/>
    <n v="4228721.4006576333"/>
    <n v="4228721.4006576333"/>
    <n v="21927.581361856195"/>
    <n v="11.476919030240843"/>
    <n v="11.536431363160176"/>
    <n v="5.9512332919332188E-2"/>
    <n v="11.476919030240843"/>
    <n v="845744.28013152676"/>
    <n v="850129.79640389793"/>
    <n v="4385.5162723712392"/>
    <n v="845744.28013152664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n v="0"/>
    <x v="0"/>
  </r>
  <r>
    <x v="42"/>
    <s v="Husdyrgødning"/>
    <n v="1"/>
    <x v="1"/>
    <s v="Vestdanmark"/>
    <n v="12059866.540704856"/>
    <n v="0"/>
    <n v="0"/>
    <n v="0"/>
    <n v="10853879.88663437"/>
    <n v="1205986.6540704854"/>
    <n v="0"/>
    <n v="0"/>
    <n v="0"/>
    <n v="0"/>
    <n v="10853879.88663437"/>
    <n v="0"/>
    <n v="4.6758514551620873"/>
    <n v="4.6758514551620873"/>
    <n v="0"/>
    <n v="0"/>
    <n v="542693.99433171854"/>
    <n v="542693.99433171854"/>
    <n v="0"/>
    <n v="0"/>
    <x v="1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16341.6308326661"/>
    <n v="0"/>
    <n v="0"/>
    <n v="0"/>
    <n v="0"/>
    <n v="0"/>
    <n v="2216341.6308326661"/>
    <n v="0"/>
    <n v="0"/>
    <n v="0"/>
    <n v="2216341.6308326661"/>
    <n v="0"/>
    <n v="32.122700134129985"/>
    <n v="0"/>
    <n v="32.122700134129985"/>
    <n v="0"/>
    <n v="1096165.6315826562"/>
    <n v="0"/>
    <n v="1096165.6315826562"/>
    <n v="0"/>
    <x v="1"/>
  </r>
  <r>
    <x v="47"/>
    <s v=""/>
    <n v="0"/>
    <x v="1"/>
    <s v="Vestdanmark"/>
    <n v="613803.17949896643"/>
    <n v="0"/>
    <n v="0"/>
    <n v="0"/>
    <n v="0"/>
    <n v="0"/>
    <n v="0"/>
    <n v="0"/>
    <n v="613803.17949896643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29440.63810667559"/>
    <n v="51598.780380153592"/>
    <n v="0"/>
    <n v="0"/>
    <n v="0"/>
    <n v="0"/>
    <n v="0"/>
    <n v="0"/>
    <n v="177841.8577265219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01057849.5712257"/>
    <n v="0"/>
    <n v="0"/>
    <n v="0"/>
    <n v="0"/>
    <n v="0"/>
    <n v="501057849.5712257"/>
    <n v="0"/>
    <n v="0"/>
    <n v="0"/>
    <n v="501057849.5712257"/>
    <n v="0"/>
    <n v="0"/>
    <n v="0"/>
    <n v="0"/>
    <n v="0"/>
    <n v="0"/>
    <n v="0"/>
    <n v="0"/>
    <n v="0"/>
    <x v="1"/>
  </r>
  <r>
    <x v="4"/>
    <s v=""/>
    <n v="0"/>
    <x v="2"/>
    <s v="Vestdanmark"/>
    <n v="21558531.376915034"/>
    <n v="0"/>
    <n v="0"/>
    <n v="0"/>
    <n v="0"/>
    <n v="19034352.153405923"/>
    <n v="0"/>
    <n v="0"/>
    <n v="2524179.2235091105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6892.4253779859373"/>
    <n v="0"/>
    <n v="0"/>
    <n v="0"/>
    <n v="6203.1828401873436"/>
    <n v="521.85506433322087"/>
    <n v="0"/>
    <n v="0"/>
    <n v="167.38747346537275"/>
    <n v="167.38747346537275"/>
    <n v="6203.1828401873436"/>
    <n v="7.8720654896030152E-5"/>
    <n v="2.9960155128077363E-3"/>
    <n v="2.917294857911706E-3"/>
    <n v="7.8720654896030206E-5"/>
    <n v="10.545410828318483"/>
    <n v="401.34592976012112"/>
    <n v="390.80051893180263"/>
    <n v="10.545410828318495"/>
    <n v="0"/>
    <x v="0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1145476.8591293055"/>
    <n v="0"/>
    <n v="0"/>
    <n v="0"/>
    <n v="0"/>
    <n v="0"/>
    <n v="0"/>
    <n v="0"/>
    <n v="1145476.859129305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32793.097303413146"/>
    <n v="0"/>
    <n v="0"/>
    <n v="267978.92035102146"/>
    <n v="0"/>
    <n v="0"/>
    <n v="0"/>
    <n v="0"/>
    <n v="-235185.82304760831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9404263.983943939"/>
    <n v="9790151.9274066389"/>
    <n v="0"/>
    <n v="0"/>
    <n v="66758.668734263701"/>
    <n v="0"/>
    <n v="0"/>
    <n v="0"/>
    <n v="19547353.387803037"/>
    <n v="19547353.387803037"/>
    <n v="66758.668734263701"/>
    <n v="35.964686814384116"/>
    <n v="36.08751442002157"/>
    <n v="0.12282760563745343"/>
    <n v="35.964686814384116"/>
    <n v="5473258.9485848509"/>
    <n v="5491951.3758304445"/>
    <n v="18692.427245593837"/>
    <n v="5473258.9485848509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220830.77573350482"/>
    <n v="0"/>
    <n v="0"/>
    <n v="280672.65868343826"/>
    <n v="0"/>
    <n v="0"/>
    <n v="0"/>
    <n v="0"/>
    <n v="-59841.882949933439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835213.6153094829"/>
    <n v="618468.71483434096"/>
    <n v="579210.80448009283"/>
    <n v="0"/>
    <n v="56360.409398816068"/>
    <n v="0"/>
    <n v="1581173.6865962329"/>
    <n v="0"/>
    <n v="0"/>
    <n v="0"/>
    <n v="1637534.095995049"/>
    <n v="0"/>
    <n v="16.667653207999045"/>
    <n v="0.32494819480525"/>
    <n v="16.342705013193797"/>
    <n v="0"/>
    <n v="1391903.9815957916"/>
    <n v="47906.347988993657"/>
    <n v="1343997.633606798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n v="1"/>
    <x v="1"/>
  </r>
  <r>
    <x v="20"/>
    <s v=""/>
    <n v="0"/>
    <x v="2"/>
    <s v="Vestdanmark"/>
    <n v="729011.95091777691"/>
    <n v="0"/>
    <n v="0"/>
    <n v="0"/>
    <n v="0"/>
    <n v="0"/>
    <n v="0"/>
    <n v="0"/>
    <n v="729011.9509177769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818589.8087592444"/>
    <n v="0"/>
    <n v="0"/>
    <n v="128347.79869443661"/>
    <n v="0"/>
    <n v="0"/>
    <n v="0"/>
    <n v="0"/>
    <n v="1690242.0100648077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523408.7197105791"/>
    <n v="4703372.1615964994"/>
    <n v="0"/>
    <n v="307470.55071854044"/>
    <n v="2901.770538547059"/>
    <n v="0"/>
    <n v="0"/>
    <n v="0"/>
    <n v="509664.23685699236"/>
    <n v="509664.23685699236"/>
    <n v="2901.770538547059"/>
    <n v="1.7455286582420391"/>
    <n v="1.7554668160886873"/>
    <n v="9.9381578466482823E-3"/>
    <n v="1.7455286582420391"/>
    <n v="157995.91342566762"/>
    <n v="158895.46229261722"/>
    <n v="899.54886694958827"/>
    <n v="157995.91342566762"/>
    <n v="0"/>
    <x v="0"/>
  </r>
  <r>
    <x v="23"/>
    <s v=""/>
    <n v="0"/>
    <x v="2"/>
    <s v="Vestdanmark"/>
    <n v="0"/>
    <n v="0"/>
    <n v="0"/>
    <n v="0"/>
    <n v="0"/>
    <n v="725594.03868632857"/>
    <n v="0"/>
    <n v="0"/>
    <n v="-725594.03868632857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0188325.202039858"/>
    <n v="0"/>
    <n v="0"/>
    <n v="0"/>
    <n v="9169492.6818358731"/>
    <n v="674976.54463514045"/>
    <n v="0"/>
    <n v="0"/>
    <n v="343855.97556884401"/>
    <n v="343855.97556884401"/>
    <n v="9169492.6818358731"/>
    <n v="0.17405645627319316"/>
    <n v="4.8155619568916936"/>
    <n v="4.6415055006185009"/>
    <n v="0.17405645627319277"/>
    <n v="26133.054143232144"/>
    <n v="723014.49796275853"/>
    <n v="696881.44381952635"/>
    <n v="26133.054143232177"/>
    <n v="0"/>
    <x v="0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6101831.6290168501"/>
    <n v="4525643.0291759707"/>
    <n v="0"/>
    <n v="0"/>
    <n v="254098.83749353027"/>
    <n v="0"/>
    <n v="0"/>
    <n v="0"/>
    <n v="1322089.762347349"/>
    <n v="1322089.762347349"/>
    <n v="254098.83749353027"/>
    <n v="4.7463022468269829"/>
    <n v="5.6585170734287562"/>
    <n v="0.91221482660177378"/>
    <n v="4.746302246826982"/>
    <n v="396626.92870420468"/>
    <n v="472856.57995226374"/>
    <n v="76229.651248059075"/>
    <n v="396626.92870420468"/>
    <n v="0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048609.453845398"/>
    <n v="0"/>
    <n v="0"/>
    <n v="0"/>
    <n v="0"/>
    <n v="0"/>
    <n v="0"/>
    <n v="0"/>
    <n v="1048609.453845398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8491.06742829576"/>
    <n v="0"/>
    <n v="0"/>
    <n v="0"/>
    <n v="0"/>
    <n v="0"/>
    <n v="158491.06742829576"/>
    <n v="0"/>
    <n v="0"/>
    <n v="0"/>
    <n v="158491.06742829576"/>
    <n v="0"/>
    <n v="2.9162356406806413"/>
    <n v="0"/>
    <n v="2.9162356406806413"/>
    <n v="0"/>
    <n v="65773.792982742743"/>
    <n v="0"/>
    <n v="65773.79298274274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78080.80621229054"/>
    <n v="0"/>
    <n v="0"/>
    <n v="0"/>
    <n v="0"/>
    <n v="0"/>
    <n v="0"/>
    <n v="378080.8062122905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9040.40310614527"/>
    <n v="171279.2848730098"/>
    <n v="0"/>
    <n v="0"/>
    <n v="0"/>
    <n v="0"/>
    <n v="0"/>
    <n v="0"/>
    <n v="17761.118233135465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20985.85798793298"/>
    <n v="0"/>
    <n v="0"/>
    <n v="0"/>
    <n v="0"/>
    <n v="0"/>
    <n v="120985.85798793298"/>
    <n v="0"/>
    <n v="0"/>
    <n v="0"/>
    <n v="120985.85798793298"/>
    <n v="0"/>
    <n v="4.2345050295776536"/>
    <n v="0"/>
    <n v="4.2345050295776536"/>
    <n v="0"/>
    <n v="0"/>
    <n v="0"/>
    <n v="0"/>
    <n v="0"/>
    <x v="1"/>
  </r>
  <r>
    <x v="38"/>
    <s v="Græs og urter"/>
    <n v="1"/>
    <x v="2"/>
    <s v="Vestdanmark"/>
    <n v="5024574.3595380196"/>
    <n v="672934.09412450308"/>
    <n v="0"/>
    <n v="0"/>
    <n v="21821.426523041016"/>
    <n v="0"/>
    <n v="0"/>
    <n v="0"/>
    <n v="4329818.8388904752"/>
    <n v="4329818.8388904752"/>
    <n v="21821.426523041016"/>
    <n v="11.751301521502306"/>
    <n v="11.8105257459429"/>
    <n v="5.9224224440594241E-2"/>
    <n v="11.751301521502306"/>
    <n v="865963.76777809509"/>
    <n v="870328.05308270326"/>
    <n v="4364.2853046082037"/>
    <n v="865963.76777809509"/>
    <n v="0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n v="0"/>
    <x v="0"/>
  </r>
  <r>
    <x v="42"/>
    <s v="Husdyrgødning"/>
    <n v="1"/>
    <x v="2"/>
    <s v="Vestdanmark"/>
    <n v="11545833.414063649"/>
    <n v="0"/>
    <n v="0"/>
    <n v="0"/>
    <n v="10391250.072657285"/>
    <n v="1154583.3414063647"/>
    <n v="0"/>
    <n v="0"/>
    <n v="0"/>
    <n v="0"/>
    <n v="10391250.072657285"/>
    <n v="0"/>
    <n v="4.4765505313007594"/>
    <n v="4.4765505313007594"/>
    <n v="0"/>
    <n v="0"/>
    <n v="519562.50363286427"/>
    <n v="519562.50363286427"/>
    <n v="0"/>
    <n v="0"/>
    <x v="1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235295.9759470159"/>
    <n v="0"/>
    <n v="0"/>
    <n v="0"/>
    <n v="0"/>
    <n v="0"/>
    <n v="2235295.9759470159"/>
    <n v="0"/>
    <n v="0"/>
    <n v="0"/>
    <n v="2235295.9759470159"/>
    <n v="0"/>
    <n v="32.397416241013886"/>
    <n v="0"/>
    <n v="32.397416241013886"/>
    <n v="0"/>
    <n v="1105540.1347704616"/>
    <n v="0"/>
    <n v="1105540.1347704616"/>
    <n v="0"/>
    <x v="1"/>
  </r>
  <r>
    <x v="47"/>
    <s v=""/>
    <n v="0"/>
    <x v="2"/>
    <s v="Vestdanmark"/>
    <n v="687223.1739007252"/>
    <n v="0"/>
    <n v="0"/>
    <n v="0"/>
    <n v="0"/>
    <n v="0"/>
    <n v="0"/>
    <n v="0"/>
    <n v="687223.1739007252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6333.2934029920762"/>
    <n v="0"/>
    <n v="0"/>
    <n v="0"/>
    <n v="0"/>
    <n v="0"/>
    <n v="0"/>
    <n v="59987.28217796616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17001032.45606402"/>
    <n v="0"/>
    <n v="0"/>
    <n v="0"/>
    <n v="0"/>
    <n v="0"/>
    <n v="117001032.45606402"/>
    <n v="0"/>
    <n v="0"/>
    <n v="0"/>
    <n v="117001032.45606402"/>
    <n v="0"/>
    <n v="0"/>
    <n v="0"/>
    <n v="0"/>
    <n v="0"/>
    <n v="0"/>
    <n v="0"/>
    <n v="0"/>
    <n v="0"/>
    <x v="1"/>
  </r>
  <r>
    <x v="4"/>
    <s v=""/>
    <n v="0"/>
    <x v="1"/>
    <s v="Østdanmark"/>
    <n v="3846030.9782367097"/>
    <n v="0"/>
    <n v="0"/>
    <n v="0"/>
    <n v="0"/>
    <n v="3424154.0812072256"/>
    <n v="0"/>
    <n v="0"/>
    <n v="421876.89702948416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560.16154012228367"/>
    <n v="0"/>
    <n v="0"/>
    <n v="0"/>
    <n v="504.14538611005531"/>
    <n v="42.412230894972893"/>
    <n v="0"/>
    <n v="0"/>
    <n v="13.603923117255476"/>
    <n v="13.603923117255476"/>
    <n v="504.14538611005531"/>
    <n v="6.397789002814078E-6"/>
    <n v="2.4349232263651198E-4"/>
    <n v="2.3709453363369792E-4"/>
    <n v="6.3977890028140653E-6"/>
    <n v="0.85704715638709505"/>
    <n v="32.618206481320577"/>
    <n v="31.761159324933484"/>
    <n v="0.85704715638709317"/>
    <n v="0"/>
    <x v="0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915785.5258047525"/>
    <n v="1201654.4608093714"/>
    <n v="0"/>
    <n v="0"/>
    <n v="18670.90350678641"/>
    <n v="0"/>
    <n v="0"/>
    <n v="0"/>
    <n v="6695460.1614885945"/>
    <n v="6695460.1614885945"/>
    <n v="18670.90350678641"/>
    <n v="12.318809764618829"/>
    <n v="12.353161893208377"/>
    <n v="3.4352128589548649E-2"/>
    <n v="12.318809764618829"/>
    <n v="1874728.8452168067"/>
    <n v="1879956.6981987068"/>
    <n v="5227.8529819001951"/>
    <n v="1874728.8452168067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88494.96140285372"/>
    <n v="75911.558427530035"/>
    <n v="82816.687681498166"/>
    <n v="0"/>
    <n v="19176.116683861201"/>
    <n v="0"/>
    <n v="710590.59860996436"/>
    <n v="0"/>
    <n v="0"/>
    <n v="0"/>
    <n v="729766.7152938256"/>
    <n v="0"/>
    <n v="7.455087481427622"/>
    <n v="0.11056066778546911"/>
    <n v="7.3445268136421529"/>
    <n v="0"/>
    <n v="620301.70799975179"/>
    <n v="16299.69918128202"/>
    <n v="604002.00881846971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n v="1"/>
    <x v="1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577297.28616440261"/>
    <n v="0"/>
    <n v="256234.83946537593"/>
    <n v="871.08988076433457"/>
    <n v="0"/>
    <n v="0"/>
    <n v="0"/>
    <n v="773836.52433290996"/>
    <n v="773836.52433290996"/>
    <n v="871.08988076433457"/>
    <n v="2.6502817587268104"/>
    <n v="2.653265119615845"/>
    <n v="2.9833608890345396E-3"/>
    <n v="2.6502817587268104"/>
    <n v="239889.32254320208"/>
    <n v="240159.36040623905"/>
    <n v="270.03786303694369"/>
    <n v="239889.32254320211"/>
    <n v="0"/>
    <x v="0"/>
  </r>
  <r>
    <x v="23"/>
    <s v=""/>
    <n v="0"/>
    <x v="1"/>
    <s v="Østdanmark"/>
    <n v="0"/>
    <n v="0"/>
    <n v="0"/>
    <n v="0"/>
    <n v="0"/>
    <n v="353758.48713435931"/>
    <n v="0"/>
    <n v="0"/>
    <n v="-353758.4871343593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38231.33813296724"/>
    <n v="0"/>
    <n v="0"/>
    <n v="0"/>
    <n v="664408.20431967056"/>
    <n v="48907.826151309069"/>
    <n v="0"/>
    <n v="0"/>
    <n v="24915.307661987608"/>
    <n v="24915.307661987608"/>
    <n v="664408.20431967056"/>
    <n v="1.2611879585421509E-2"/>
    <n v="0.3489286685299956"/>
    <n v="0.33631678894457406"/>
    <n v="1.2611879585421537E-2"/>
    <n v="1893.5633823110581"/>
    <n v="52388.58691060602"/>
    <n v="50495.023528294958"/>
    <n v="1893.563382311062"/>
    <n v="0"/>
    <x v="0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555482.60888742993"/>
    <n v="0"/>
    <n v="0"/>
    <n v="74810.246107047482"/>
    <n v="0"/>
    <n v="0"/>
    <n v="0"/>
    <n v="1100170.4416872659"/>
    <n v="1100170.4416872659"/>
    <n v="74810.246107047482"/>
    <n v="3.9496118856572848"/>
    <n v="4.2181806691815851"/>
    <n v="0.26856878352430047"/>
    <n v="3.9496118856572844"/>
    <n v="330051.13250617974"/>
    <n v="352494.20633829397"/>
    <n v="22443.073832114245"/>
    <n v="330051.13250617974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5765.551104918435"/>
    <n v="21023.015601598698"/>
    <n v="0"/>
    <n v="0"/>
    <n v="0"/>
    <n v="0"/>
    <n v="0"/>
    <n v="0"/>
    <n v="34742.535503319741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n v="0"/>
    <x v="1"/>
  </r>
  <r>
    <x v="38"/>
    <s v="Græs og urter"/>
    <n v="1"/>
    <x v="1"/>
    <s v="Østdanmark"/>
    <n v="1508318.1394402247"/>
    <n v="82596.701464021666"/>
    <n v="0"/>
    <n v="0"/>
    <n v="6717.4186381438076"/>
    <n v="0"/>
    <n v="0"/>
    <n v="0"/>
    <n v="1419004.0193380592"/>
    <n v="1419004.0193380592"/>
    <n v="6717.4186381438076"/>
    <n v="3.8512336686442663"/>
    <n v="3.8694650115249343"/>
    <n v="1.8231342880667821E-2"/>
    <n v="3.8512336686442663"/>
    <n v="283800.80386761186"/>
    <n v="285144.28759524063"/>
    <n v="1343.4837276287617"/>
    <n v="283800.80386761186"/>
    <n v="0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n v="0"/>
    <x v="0"/>
  </r>
  <r>
    <x v="42"/>
    <s v="Husdyrgødning"/>
    <n v="1"/>
    <x v="1"/>
    <s v="Østdanmark"/>
    <n v="1747439.8704342765"/>
    <n v="0"/>
    <n v="0"/>
    <n v="0"/>
    <n v="1572695.883390849"/>
    <n v="174743.98704342762"/>
    <n v="0"/>
    <n v="0"/>
    <n v="0"/>
    <n v="0"/>
    <n v="1572695.883390849"/>
    <n v="0"/>
    <n v="0.67751738656477789"/>
    <n v="0.67751738656477789"/>
    <n v="0"/>
    <n v="0"/>
    <n v="78634.794169542452"/>
    <n v="78634.794169542452"/>
    <n v="0"/>
    <n v="0"/>
    <x v="1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088.73530897219"/>
    <n v="0"/>
    <n v="0"/>
    <n v="0"/>
    <n v="0"/>
    <n v="0"/>
    <n v="647088.73530897219"/>
    <n v="0"/>
    <n v="0"/>
    <n v="0"/>
    <n v="647088.73530897219"/>
    <n v="0"/>
    <n v="9.3786251701161518"/>
    <n v="0"/>
    <n v="9.3786251701161518"/>
    <n v="0"/>
    <n v="320039.30367156246"/>
    <n v="0"/>
    <n v="320039.30367156246"/>
    <n v="0"/>
    <x v="1"/>
  </r>
  <r>
    <x v="47"/>
    <s v=""/>
    <n v="0"/>
    <x v="1"/>
    <s v="Østdanmark"/>
    <n v="178637.61286448501"/>
    <n v="0"/>
    <n v="0"/>
    <n v="0"/>
    <n v="0"/>
    <n v="0"/>
    <n v="0"/>
    <n v="0"/>
    <n v="178637.61286448501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9084.929808935805"/>
    <n v="6333.293402992078"/>
    <n v="0"/>
    <n v="0"/>
    <n v="0"/>
    <n v="0"/>
    <n v="0"/>
    <n v="0"/>
    <n v="62751.63640594372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17860054.55405192"/>
    <n v="0"/>
    <n v="0"/>
    <n v="0"/>
    <n v="0"/>
    <n v="0"/>
    <n v="117860054.55405192"/>
    <n v="0"/>
    <n v="0"/>
    <n v="0"/>
    <n v="117860054.55405192"/>
    <n v="0"/>
    <n v="0"/>
    <n v="0"/>
    <n v="0"/>
    <n v="0"/>
    <n v="0"/>
    <n v="0"/>
    <n v="0"/>
    <n v="0"/>
    <x v="1"/>
  </r>
  <r>
    <x v="4"/>
    <s v=""/>
    <n v="0"/>
    <x v="2"/>
    <s v="Østdanmark"/>
    <n v="3839450.0046601556"/>
    <n v="0"/>
    <n v="0"/>
    <n v="0"/>
    <n v="0"/>
    <n v="3389908.2542493283"/>
    <n v="0"/>
    <n v="0"/>
    <n v="449541.7504108273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578.47871789484248"/>
    <n v="0"/>
    <n v="0"/>
    <n v="0"/>
    <n v="520.63084610535827"/>
    <n v="43.799102926323776"/>
    <n v="0"/>
    <n v="0"/>
    <n v="14.048768863160376"/>
    <n v="14.048768863160376"/>
    <n v="520.63084610535827"/>
    <n v="6.6069955086556931E-6"/>
    <n v="2.5145447612354464E-4"/>
    <n v="2.4484748061488895E-4"/>
    <n v="6.6069955086556914E-6"/>
    <n v="0.88507243837910365"/>
    <n v="33.684815743016678"/>
    <n v="32.799743304637573"/>
    <n v="0.88507243837910465"/>
    <n v="0"/>
    <x v="0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57304.25157150667"/>
    <n v="0"/>
    <n v="0"/>
    <n v="0"/>
    <n v="0"/>
    <n v="0"/>
    <n v="0"/>
    <n v="0"/>
    <n v="357304.25157150667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0163.089759541812"/>
    <n v="0"/>
    <n v="0"/>
    <n v="233795.01599247381"/>
    <n v="0"/>
    <n v="0"/>
    <n v="0"/>
    <n v="0"/>
    <n v="-223631.926232931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8332694.7229536632"/>
    <n v="1201654.4608093717"/>
    <n v="0"/>
    <n v="0"/>
    <n v="18918.331265736317"/>
    <n v="0"/>
    <n v="0"/>
    <n v="0"/>
    <n v="7112121.9308785554"/>
    <n v="7112121.9308785554"/>
    <n v="18918.331265736317"/>
    <n v="13.085415337575183"/>
    <n v="13.120222702312729"/>
    <n v="3.4807364737546607E-2"/>
    <n v="13.085415337575183"/>
    <n v="1991394.1406459957"/>
    <n v="1996691.2734004019"/>
    <n v="5297.1327544061696"/>
    <n v="1991394.140645995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8513.709869912811"/>
    <n v="0"/>
    <n v="0"/>
    <n v="244869.51675001203"/>
    <n v="0"/>
    <n v="0"/>
    <n v="0"/>
    <n v="0"/>
    <n v="-176355.8068800992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865944.52172148146"/>
    <n v="75911.55842753005"/>
    <n v="82449.939525946174"/>
    <n v="0"/>
    <n v="19573.590601183951"/>
    <n v="0"/>
    <n v="688009.43316682125"/>
    <n v="0"/>
    <n v="0"/>
    <n v="0"/>
    <n v="707583.02376800519"/>
    <n v="0"/>
    <n v="7.2239845802646228"/>
    <n v="0.11285231955475013"/>
    <n v="7.1111322607098728"/>
    <n v="0"/>
    <n v="601445.5702028044"/>
    <n v="16637.552011006359"/>
    <n v="584808.01819179801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n v="1"/>
    <x v="1"/>
  </r>
  <r>
    <x v="20"/>
    <s v=""/>
    <n v="0"/>
    <x v="2"/>
    <s v="Østdanmark"/>
    <n v="220334.04456617165"/>
    <n v="0"/>
    <n v="0"/>
    <n v="0"/>
    <n v="0"/>
    <n v="0"/>
    <n v="0"/>
    <n v="0"/>
    <n v="220334.0445661716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36733.47505489504"/>
    <n v="0"/>
    <n v="0"/>
    <n v="111975.50765955324"/>
    <n v="0"/>
    <n v="0"/>
    <n v="0"/>
    <n v="0"/>
    <n v="424757.9673953417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83096.8033949384"/>
    <n v="577297.28616440273"/>
    <n v="0"/>
    <n v="268249.01834925939"/>
    <n v="884.229461452941"/>
    <n v="0"/>
    <n v="0"/>
    <n v="0"/>
    <n v="836666.26941982331"/>
    <n v="836666.26941982331"/>
    <n v="884.229461452941"/>
    <n v="2.8654648394851767"/>
    <n v="2.8684932015985285"/>
    <n v="3.0283621133517201E-3"/>
    <n v="2.8654648394851767"/>
    <n v="259366.54352014523"/>
    <n v="259640.65465319564"/>
    <n v="274.11113305041169"/>
    <n v="259366.54352014523"/>
    <n v="0"/>
    <x v="0"/>
  </r>
  <r>
    <x v="23"/>
    <s v=""/>
    <n v="0"/>
    <x v="2"/>
    <s v="Østdanmark"/>
    <n v="0"/>
    <n v="0"/>
    <n v="0"/>
    <n v="0"/>
    <n v="0"/>
    <n v="343152.81118002941"/>
    <n v="0"/>
    <n v="0"/>
    <n v="-343152.8111800294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724125.12538599269"/>
    <n v="0"/>
    <n v="0"/>
    <n v="0"/>
    <n v="651712.6128473935"/>
    <n v="47973.289556822005"/>
    <n v="0"/>
    <n v="0"/>
    <n v="24439.222981777159"/>
    <n v="24439.222981777159"/>
    <n v="651712.6128473935"/>
    <n v="1.2370890281145781E-2"/>
    <n v="0.34226129777836795"/>
    <n v="0.32989040749722215"/>
    <n v="1.2370890281145797E-2"/>
    <n v="1857.380946615064"/>
    <n v="51387.539523016967"/>
    <n v="49530.158576401904"/>
    <n v="1857.3809466150633"/>
    <n v="0"/>
    <x v="0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23285.6405542411"/>
    <n v="555482.60888743005"/>
    <n v="0"/>
    <n v="0"/>
    <n v="75927.162506469729"/>
    <n v="0"/>
    <n v="0"/>
    <n v="0"/>
    <n v="1191875.8691603413"/>
    <n v="1191875.8691603413"/>
    <n v="75927.162506469729"/>
    <n v="4.278834370285626"/>
    <n v="4.5514128836838523"/>
    <n v="0.27257851339822636"/>
    <n v="4.278834370285626"/>
    <n v="357562.76074810239"/>
    <n v="380340.90950004332"/>
    <n v="22778.148751940917"/>
    <n v="357562.76074810239"/>
    <n v="0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314116.08613367198"/>
    <n v="0"/>
    <n v="0"/>
    <n v="0"/>
    <n v="0"/>
    <n v="0"/>
    <n v="0"/>
    <n v="0"/>
    <n v="314116.0861336719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858.564110476924"/>
    <n v="0"/>
    <n v="0"/>
    <n v="0"/>
    <n v="0"/>
    <n v="0"/>
    <n v="43858.564110476924"/>
    <n v="0"/>
    <n v="0"/>
    <n v="0"/>
    <n v="43858.564110476924"/>
    <n v="0"/>
    <n v="0.8069975796327753"/>
    <n v="0"/>
    <n v="0.8069975796327753"/>
    <n v="0"/>
    <n v="18201.304105847925"/>
    <n v="0"/>
    <n v="18201.304105847925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6086.90219815794"/>
    <n v="0"/>
    <n v="0"/>
    <n v="0"/>
    <n v="0"/>
    <n v="0"/>
    <n v="0"/>
    <n v="116086.902198157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8043.451099078971"/>
    <n v="21023.015601598701"/>
    <n v="0"/>
    <n v="0"/>
    <n v="0"/>
    <n v="0"/>
    <n v="0"/>
    <n v="0"/>
    <n v="37020.43549748027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7147.808703410541"/>
    <n v="0"/>
    <n v="0"/>
    <n v="0"/>
    <n v="0"/>
    <n v="0"/>
    <n v="37147.808703410541"/>
    <n v="0"/>
    <n v="0"/>
    <n v="0"/>
    <n v="37147.808703410541"/>
    <n v="0"/>
    <n v="1.3001733046193689"/>
    <n v="0"/>
    <n v="1.3001733046193689"/>
    <n v="0"/>
    <n v="0"/>
    <n v="0"/>
    <n v="0"/>
    <n v="0"/>
    <x v="1"/>
  </r>
  <r>
    <x v="38"/>
    <s v="Græs og urter"/>
    <n v="1"/>
    <x v="2"/>
    <s v="Østdanmark"/>
    <n v="1571187.4884325294"/>
    <n v="82596.70146402168"/>
    <n v="0"/>
    <n v="0"/>
    <n v="6823.5734769589817"/>
    <n v="0"/>
    <n v="0"/>
    <n v="0"/>
    <n v="1481767.2134915488"/>
    <n v="1481767.2134915488"/>
    <n v="6823.5734769589817"/>
    <n v="4.0215754881046033"/>
    <n v="4.0400949394640087"/>
    <n v="1.8519451359405754E-2"/>
    <n v="4.0215754881046033"/>
    <n v="296353.44269830978"/>
    <n v="297718.15739370155"/>
    <n v="1364.7146953917963"/>
    <n v="296353.44269830978"/>
    <n v="0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n v="0"/>
    <x v="0"/>
  </r>
  <r>
    <x v="42"/>
    <s v="Husdyrgødning"/>
    <n v="1"/>
    <x v="2"/>
    <s v="Østdanmark"/>
    <n v="1672957.9533098161"/>
    <n v="0"/>
    <n v="0"/>
    <n v="0"/>
    <n v="1505662.1579788346"/>
    <n v="167295.79533098158"/>
    <n v="0"/>
    <n v="0"/>
    <n v="0"/>
    <n v="0"/>
    <n v="1505662.1579788346"/>
    <n v="0"/>
    <n v="0.64863925765728203"/>
    <n v="0.64863925765728203"/>
    <n v="0"/>
    <n v="0"/>
    <n v="75283.107898941729"/>
    <n v="75283.107898941729"/>
    <n v="0"/>
    <n v="0"/>
    <x v="1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24603.98534617631"/>
    <n v="0"/>
    <n v="0"/>
    <n v="0"/>
    <n v="0"/>
    <n v="0"/>
    <n v="624603.98534617631"/>
    <n v="0"/>
    <n v="0"/>
    <n v="0"/>
    <n v="624603.98534617631"/>
    <n v="0"/>
    <n v="9.0527408973136652"/>
    <n v="0"/>
    <n v="9.0527408973136652"/>
    <n v="0"/>
    <n v="308918.72108579637"/>
    <n v="0"/>
    <n v="308918.72108579637"/>
    <n v="0"/>
    <x v="1"/>
  </r>
  <r>
    <x v="47"/>
    <s v=""/>
    <n v="0"/>
    <x v="2"/>
    <s v="Østdanmark"/>
    <n v="184169.19735067486"/>
    <n v="0"/>
    <n v="0"/>
    <n v="0"/>
    <n v="0"/>
    <n v="0"/>
    <n v="0"/>
    <n v="0"/>
    <n v="184169.19735067486"/>
    <n v="0"/>
    <n v="0"/>
    <n v="0"/>
    <n v="0"/>
    <n v="0"/>
    <n v="0"/>
    <n v="0"/>
    <n v="0"/>
    <n v="0"/>
    <n v="0"/>
    <n v="0"/>
    <x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9460733.3446546644"/>
    <s v="CO2 - atmosfære"/>
    <x v="0"/>
  </r>
  <r>
    <s v="Vestdanmark"/>
    <x v="1"/>
    <n v="4046578.8260529838"/>
    <s v="Landbrug"/>
    <x v="1"/>
  </r>
  <r>
    <s v="Vestdanmark"/>
    <x v="1"/>
    <n v="4031787.1463158978"/>
    <s v="Landbrug"/>
    <x v="2"/>
  </r>
  <r>
    <s v="Vestdanmark"/>
    <x v="1"/>
    <n v="1088045.8124689222"/>
    <s v="Landbrug"/>
    <x v="2"/>
  </r>
  <r>
    <s v="Vestdanmark"/>
    <x v="1"/>
    <n v="2154506.8629341"/>
    <s v="Landbrug"/>
    <x v="2"/>
  </r>
  <r>
    <s v="Vestdanmark"/>
    <x v="1"/>
    <n v="-23936.112883057391"/>
    <s v="Hav"/>
    <x v="3"/>
  </r>
  <r>
    <s v="Vestdanmark"/>
    <x v="1"/>
    <n v="-1423024.3224583613"/>
    <s v="Skov"/>
    <x v="4"/>
  </r>
  <r>
    <s v="Vestdanmark"/>
    <x v="1"/>
    <n v="-413224.8677758188"/>
    <s v="Biogasanlæg"/>
    <x v="5"/>
  </r>
  <r>
    <s v="Vestdanmark"/>
    <x v="1"/>
    <n v="0"/>
    <s v="Pyrolyseproces"/>
    <x v="6"/>
  </r>
  <r>
    <s v="Vestdanmark"/>
    <x v="2"/>
    <n v="8895624.8229493164"/>
    <s v="CO2 - atmosfære"/>
    <x v="0"/>
  </r>
  <r>
    <s v="Vestdanmark"/>
    <x v="2"/>
    <n v="4029816.5016583097"/>
    <s v="Landbrug"/>
    <x v="1"/>
  </r>
  <r>
    <s v="Vestdanmark"/>
    <x v="2"/>
    <n v="3906669.7542952816"/>
    <s v="Landbrug"/>
    <x v="2"/>
  </r>
  <r>
    <s v="Vestdanmark"/>
    <x v="2"/>
    <n v="1088045.8124689227"/>
    <s v="Landbrug"/>
    <x v="2"/>
  </r>
  <r>
    <s v="Vestdanmark"/>
    <x v="2"/>
    <n v="2154506.8629340995"/>
    <s v="Landbrug"/>
    <x v="2"/>
  </r>
  <r>
    <s v="Vestdanmark"/>
    <x v="2"/>
    <n v="-32111.211335450222"/>
    <s v="Hav"/>
    <x v="3"/>
  </r>
  <r>
    <s v="Vestdanmark"/>
    <x v="2"/>
    <n v="-1849222.4776918571"/>
    <s v="Skov"/>
    <x v="4"/>
  </r>
  <r>
    <s v="Vestdanmark"/>
    <x v="2"/>
    <n v="-402080.41937998723"/>
    <s v="Biogasanlæg"/>
    <x v="5"/>
  </r>
  <r>
    <s v="Vestdanmark"/>
    <x v="2"/>
    <n v="0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612660.652553597"/>
    <s v="CO2 - atmosfære"/>
    <x v="0"/>
  </r>
  <r>
    <s v="Østdanmark"/>
    <x v="1"/>
    <n v="359274.67944464367"/>
    <s v="Landbrug"/>
    <x v="1"/>
  </r>
  <r>
    <s v="Østdanmark"/>
    <x v="1"/>
    <n v="1228927.7363285178"/>
    <s v="Landbrug"/>
    <x v="2"/>
  </r>
  <r>
    <s v="Østdanmark"/>
    <x v="1"/>
    <n v="117269.43380756295"/>
    <s v="Landbrug"/>
    <x v="2"/>
  </r>
  <r>
    <s v="Østdanmark"/>
    <x v="1"/>
    <n v="232146.66455890334"/>
    <s v="Landbrug"/>
    <x v="2"/>
  </r>
  <r>
    <s v="Østdanmark"/>
    <x v="1"/>
    <n v="-674.70029884327505"/>
    <s v="Hav"/>
    <x v="3"/>
  </r>
  <r>
    <s v="Østdanmark"/>
    <x v="1"/>
    <n v="-284715.40557504073"/>
    <s v="Skov"/>
    <x v="4"/>
  </r>
  <r>
    <s v="Østdanmark"/>
    <x v="1"/>
    <n v="-39567.755712146653"/>
    <s v="Biogasanlæg"/>
    <x v="5"/>
  </r>
  <r>
    <s v="Østdanmark"/>
    <x v="1"/>
    <n v="0"/>
    <s v="Pyrolyseproces"/>
    <x v="6"/>
  </r>
  <r>
    <s v="Østdanmark"/>
    <x v="2"/>
    <n v="1498435.4447871903"/>
    <s v="CO2 - atmosfære"/>
    <x v="0"/>
  </r>
  <r>
    <s v="Østdanmark"/>
    <x v="2"/>
    <n v="358368.22621777962"/>
    <s v="Landbrug"/>
    <x v="1"/>
  </r>
  <r>
    <s v="Østdanmark"/>
    <x v="2"/>
    <n v="1215442.6627868579"/>
    <s v="Landbrug"/>
    <x v="2"/>
  </r>
  <r>
    <s v="Østdanmark"/>
    <x v="2"/>
    <n v="117269.43380756291"/>
    <s v="Landbrug"/>
    <x v="2"/>
  </r>
  <r>
    <s v="Østdanmark"/>
    <x v="2"/>
    <n v="232146.66455890334"/>
    <s v="Landbrug"/>
    <x v="2"/>
  </r>
  <r>
    <s v="Østdanmark"/>
    <x v="2"/>
    <n v="-8067.9044826491263"/>
    <s v="Hav"/>
    <x v="3"/>
  </r>
  <r>
    <s v="Østdanmark"/>
    <x v="2"/>
    <n v="-378382.64581405697"/>
    <s v="Skov"/>
    <x v="4"/>
  </r>
  <r>
    <s v="Østdanmark"/>
    <x v="2"/>
    <n v="-38340.992287207751"/>
    <s v="Biogasanlæg"/>
    <x v="5"/>
  </r>
  <r>
    <s v="Østdanmark"/>
    <x v="2"/>
    <n v="0"/>
    <s v="Pyrolyseproces"/>
    <x v="6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</r>
  <r>
    <x v="0"/>
    <x v="10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</r>
  <r>
    <x v="1"/>
    <x v="10"/>
    <n v="0"/>
    <x v="1"/>
    <s v="Vestdanmark"/>
    <n v="224570.40950584275"/>
    <n v="51598.780380153592"/>
    <n v="0"/>
    <n v="0"/>
    <n v="0"/>
    <n v="0"/>
    <n v="0"/>
    <n v="0"/>
    <n v="172971.62912568916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5656960.63475704"/>
    <n v="0"/>
    <n v="0"/>
    <n v="0"/>
    <n v="0"/>
    <n v="0"/>
    <n v="505656960.63475704"/>
    <n v="0"/>
    <n v="0"/>
    <n v="0"/>
    <n v="505656960.63475704"/>
    <n v="0"/>
    <n v="0"/>
    <n v="0"/>
    <n v="0"/>
    <n v="0"/>
    <n v="0"/>
    <n v="0"/>
    <n v="0"/>
  </r>
  <r>
    <x v="4"/>
    <x v="10"/>
    <n v="0"/>
    <x v="1"/>
    <s v="Vestdanmark"/>
    <n v="22052758.669106159"/>
    <n v="0"/>
    <n v="0"/>
    <n v="0"/>
    <n v="0"/>
    <n v="19633758.54900625"/>
    <n v="0"/>
    <n v="0"/>
    <n v="2419000.1200999096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6674.1809084363849"/>
    <n v="0"/>
    <n v="0"/>
    <n v="0"/>
    <n v="6006.7628175927466"/>
    <n v="505.33084021018328"/>
    <n v="0"/>
    <n v="0"/>
    <n v="162.08725063345537"/>
    <n v="162.08725063345537"/>
    <n v="6006.7628175927466"/>
    <n v="7.6228013100407724E-5"/>
    <n v="2.9011484985861005E-3"/>
    <n v="2.8249204854856927E-3"/>
    <n v="7.6228013100407711E-5"/>
    <n v="10.211496789907688"/>
    <n v="388.63755429825073"/>
    <n v="378.42605750834304"/>
    <n v="10.211496789907699"/>
  </r>
  <r>
    <x v="9"/>
    <x v="10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</r>
  <r>
    <x v="10"/>
    <x v="10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</r>
  <r>
    <x v="11"/>
    <x v="10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8408153.283469509"/>
    <n v="9790151.9274066389"/>
    <n v="0"/>
    <n v="0"/>
    <n v="67006.096493213583"/>
    <n v="0"/>
    <n v="0"/>
    <n v="0"/>
    <n v="18550995.259569656"/>
    <n v="18550995.259569656"/>
    <n v="67006.096493213583"/>
    <n v="34.131512403200723"/>
    <n v="34.254795244986177"/>
    <n v="0.12328284178545135"/>
    <n v="34.131512403200723"/>
    <n v="5194278.6726795044"/>
    <n v="5213040.3796976041"/>
    <n v="18761.707018099805"/>
    <n v="5194278.6726795044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</r>
  <r>
    <x v="16"/>
    <x v="5"/>
    <n v="1"/>
    <x v="1"/>
    <s v="Vestdanmark"/>
    <n v="2966243.8763621217"/>
    <n v="618468.71483434096"/>
    <n v="581579.9632190367"/>
    <n v="0"/>
    <n v="56757.88331613881"/>
    <n v="0"/>
    <n v="1709437.3149926052"/>
    <n v="0"/>
    <n v="0"/>
    <n v="0"/>
    <n v="1766195.198308744"/>
    <n v="0"/>
    <n v="17.99565288322793"/>
    <n v="0.32723984657453098"/>
    <n v="17.668413036653398"/>
    <n v="0"/>
    <n v="1501265.9185624323"/>
    <n v="48244.200818717989"/>
    <n v="1453021.7177437143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</r>
  <r>
    <x v="20"/>
    <x v="10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</r>
  <r>
    <x v="21"/>
    <x v="10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</r>
  <r>
    <x v="22"/>
    <x v="5"/>
    <n v="1"/>
    <x v="1"/>
    <s v="Vestdanmark"/>
    <n v="5381619.5037339376"/>
    <n v="4703372.1615964994"/>
    <n v="0"/>
    <n v="295933.04302308214"/>
    <n v="2914.9101192356643"/>
    <n v="0"/>
    <n v="0"/>
    <n v="0"/>
    <n v="379399.3889951203"/>
    <n v="379399.3889951203"/>
    <n v="2914.9101192356643"/>
    <n v="1.2993897913938279"/>
    <n v="1.3093729504647933"/>
    <n v="9.9831590709654593E-3"/>
    <n v="1.2993897913938279"/>
    <n v="117613.81058848729"/>
    <n v="118517.43272545036"/>
    <n v="903.62213696305594"/>
    <n v="117613.81058848731"/>
  </r>
  <r>
    <x v="23"/>
    <x v="10"/>
    <n v="0"/>
    <x v="1"/>
    <s v="Vestdanmark"/>
    <n v="0"/>
    <n v="0"/>
    <n v="0"/>
    <n v="0"/>
    <n v="0"/>
    <n v="771875.25410193205"/>
    <n v="0"/>
    <n v="0"/>
    <n v="-771875.25410193205"/>
    <n v="0"/>
    <n v="0"/>
    <n v="0"/>
    <n v="0"/>
    <n v="0"/>
    <n v="0"/>
    <n v="0"/>
    <n v="0"/>
    <n v="0"/>
    <n v="0"/>
  </r>
  <r>
    <x v="24"/>
    <x v="2"/>
    <n v="1"/>
    <x v="1"/>
    <s v="Vestdanmark"/>
    <n v="10386797.369068628"/>
    <n v="0"/>
    <n v="0"/>
    <n v="0"/>
    <n v="9348117.6321617663"/>
    <n v="688125.32570079644"/>
    <n v="0"/>
    <n v="0"/>
    <n v="350554.41120606475"/>
    <n v="350554.41120606475"/>
    <n v="9348117.6321617663"/>
    <n v="0.17744713740839793"/>
    <n v="4.9093708016323632"/>
    <n v="4.7319236642239648"/>
    <n v="0.17744713740839835"/>
    <n v="26642.135251660919"/>
    <n v="737099.07529595518"/>
    <n v="710456.94004429423"/>
    <n v="26642.135251660948"/>
  </r>
  <r>
    <x v="25"/>
    <x v="10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</r>
  <r>
    <x v="26"/>
    <x v="4"/>
    <n v="1"/>
    <x v="1"/>
    <s v="Vestdanmark"/>
    <n v="5903489.3992296383"/>
    <n v="4525643.0291759707"/>
    <n v="0"/>
    <n v="0"/>
    <n v="255215.75389295255"/>
    <n v="0"/>
    <n v="0"/>
    <n v="0"/>
    <n v="1122630.616160715"/>
    <n v="1122630.616160715"/>
    <n v="255215.75389295255"/>
    <n v="4.0302439120169673"/>
    <n v="4.9464684684926672"/>
    <n v="0.91622455647569978"/>
    <n v="4.0302439120169673"/>
    <n v="336789.1848482145"/>
    <n v="413353.91101610026"/>
    <n v="76564.726167885761"/>
    <n v="336789.1848482145"/>
  </r>
  <r>
    <x v="27"/>
    <x v="10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</r>
  <r>
    <x v="30"/>
    <x v="10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</r>
  <r>
    <x v="31"/>
    <x v="7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</r>
  <r>
    <x v="35"/>
    <x v="10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85245.1379714873"/>
    <n v="171279.2848730098"/>
    <n v="0"/>
    <n v="0"/>
    <n v="0"/>
    <n v="0"/>
    <n v="0"/>
    <n v="0"/>
    <n v="13965.853098477499"/>
    <n v="0"/>
    <n v="0"/>
    <n v="0"/>
    <n v="0"/>
    <n v="0"/>
    <n v="0"/>
    <n v="0"/>
    <n v="0"/>
    <n v="0"/>
    <n v="0"/>
  </r>
  <r>
    <x v="37"/>
    <x v="9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</r>
  <r>
    <x v="38"/>
    <x v="4"/>
    <n v="1"/>
    <x v="1"/>
    <s v="Vestdanmark"/>
    <n v="4923583.0761439931"/>
    <n v="672934.09412450308"/>
    <n v="0"/>
    <n v="0"/>
    <n v="21927.581361856195"/>
    <n v="0"/>
    <n v="0"/>
    <n v="0"/>
    <n v="4228721.4006576333"/>
    <n v="4228721.4006576333"/>
    <n v="21927.581361856195"/>
    <n v="11.476919030240843"/>
    <n v="11.536431363160176"/>
    <n v="5.9512332919332188E-2"/>
    <n v="11.476919030240843"/>
    <n v="845744.28013152676"/>
    <n v="850129.79640389793"/>
    <n v="4385.5162723712392"/>
    <n v="845744.28013152664"/>
  </r>
  <r>
    <x v="39"/>
    <x v="10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</r>
  <r>
    <x v="40"/>
    <x v="10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</r>
  <r>
    <x v="41"/>
    <x v="1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</r>
  <r>
    <x v="42"/>
    <x v="2"/>
    <n v="1"/>
    <x v="1"/>
    <s v="Vestdanmark"/>
    <n v="12059866.540704856"/>
    <n v="0"/>
    <n v="0"/>
    <n v="0"/>
    <n v="10853879.88663437"/>
    <n v="1205986.6540704854"/>
    <n v="0"/>
    <n v="0"/>
    <n v="0"/>
    <n v="0"/>
    <n v="10853879.88663437"/>
    <n v="0"/>
    <n v="4.6758514551620873"/>
    <n v="4.6758514551620873"/>
    <n v="0"/>
    <n v="0"/>
    <n v="542693.99433171854"/>
    <n v="542693.99433171854"/>
    <n v="0"/>
  </r>
  <r>
    <x v="43"/>
    <x v="10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16341.6308326661"/>
    <n v="0"/>
    <n v="0"/>
    <n v="0"/>
    <n v="0"/>
    <n v="0"/>
    <n v="2216341.6308326661"/>
    <n v="0"/>
    <n v="0"/>
    <n v="0"/>
    <n v="2216341.6308326661"/>
    <n v="0"/>
    <n v="32.122700134129985"/>
    <n v="0"/>
    <n v="32.122700134129985"/>
    <n v="0"/>
    <n v="1096165.6315826562"/>
    <n v="0"/>
    <n v="1096165.6315826562"/>
  </r>
  <r>
    <x v="47"/>
    <x v="10"/>
    <n v="0"/>
    <x v="1"/>
    <s v="Vestdanmark"/>
    <n v="613803.17949896643"/>
    <n v="0"/>
    <n v="0"/>
    <n v="0"/>
    <n v="0"/>
    <n v="0"/>
    <n v="0"/>
    <n v="0"/>
    <n v="613803.17949896643"/>
    <n v="0"/>
    <n v="0"/>
    <n v="0"/>
    <n v="0"/>
    <n v="0"/>
    <n v="0"/>
    <n v="0"/>
    <n v="0"/>
    <n v="0"/>
    <n v="0"/>
  </r>
  <r>
    <x v="0"/>
    <x v="10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</r>
  <r>
    <x v="1"/>
    <x v="10"/>
    <n v="0"/>
    <x v="2"/>
    <s v="Vestdanmark"/>
    <n v="229440.63810667559"/>
    <n v="51598.780380153592"/>
    <n v="0"/>
    <n v="0"/>
    <n v="0"/>
    <n v="0"/>
    <n v="0"/>
    <n v="0"/>
    <n v="177841.85772652199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01057849.5712257"/>
    <n v="0"/>
    <n v="0"/>
    <n v="0"/>
    <n v="0"/>
    <n v="0"/>
    <n v="501057849.5712257"/>
    <n v="0"/>
    <n v="0"/>
    <n v="0"/>
    <n v="501057849.5712257"/>
    <n v="0"/>
    <n v="0"/>
    <n v="0"/>
    <n v="0"/>
    <n v="0"/>
    <n v="0"/>
    <n v="0"/>
    <n v="0"/>
  </r>
  <r>
    <x v="4"/>
    <x v="10"/>
    <n v="0"/>
    <x v="2"/>
    <s v="Vestdanmark"/>
    <n v="21558531.376915034"/>
    <n v="0"/>
    <n v="0"/>
    <n v="0"/>
    <n v="0"/>
    <n v="19034352.153405923"/>
    <n v="0"/>
    <n v="0"/>
    <n v="2524179.2235091105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6892.4253779859373"/>
    <n v="0"/>
    <n v="0"/>
    <n v="0"/>
    <n v="6203.1828401873436"/>
    <n v="521.85506433322087"/>
    <n v="0"/>
    <n v="0"/>
    <n v="167.38747346537275"/>
    <n v="167.38747346537275"/>
    <n v="6203.1828401873436"/>
    <n v="7.8720654896030152E-5"/>
    <n v="2.9960155128077363E-3"/>
    <n v="2.917294857911706E-3"/>
    <n v="7.8720654896030206E-5"/>
    <n v="10.545410828318483"/>
    <n v="401.34592976012112"/>
    <n v="390.80051893180263"/>
    <n v="10.545410828318495"/>
  </r>
  <r>
    <x v="9"/>
    <x v="10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</r>
  <r>
    <x v="10"/>
    <x v="10"/>
    <n v="0"/>
    <x v="2"/>
    <s v="Vestdanmark"/>
    <n v="1145476.8591293055"/>
    <n v="0"/>
    <n v="0"/>
    <n v="0"/>
    <n v="0"/>
    <n v="0"/>
    <n v="0"/>
    <n v="0"/>
    <n v="1145476.8591293055"/>
    <n v="0"/>
    <n v="0"/>
    <n v="0"/>
    <n v="0"/>
    <n v="0"/>
    <n v="0"/>
    <n v="0"/>
    <n v="0"/>
    <n v="0"/>
    <n v="0"/>
  </r>
  <r>
    <x v="11"/>
    <x v="10"/>
    <n v="0"/>
    <x v="2"/>
    <s v="Vestdanmark"/>
    <n v="32793.097303413146"/>
    <n v="0"/>
    <n v="0"/>
    <n v="267978.92035102146"/>
    <n v="0"/>
    <n v="0"/>
    <n v="0"/>
    <n v="0"/>
    <n v="-235185.82304760831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9404263.983943939"/>
    <n v="9790151.9274066389"/>
    <n v="0"/>
    <n v="0"/>
    <n v="66758.668734263701"/>
    <n v="0"/>
    <n v="0"/>
    <n v="0"/>
    <n v="19547353.387803037"/>
    <n v="19547353.387803037"/>
    <n v="66758.668734263701"/>
    <n v="35.964686814384116"/>
    <n v="36.08751442002157"/>
    <n v="0.12282760563745343"/>
    <n v="35.964686814384116"/>
    <n v="5473258.9485848509"/>
    <n v="5491951.3758304445"/>
    <n v="18692.427245593837"/>
    <n v="5473258.9485848509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220830.77573350482"/>
    <n v="0"/>
    <n v="0"/>
    <n v="280672.65868343826"/>
    <n v="0"/>
    <n v="0"/>
    <n v="0"/>
    <n v="0"/>
    <n v="-59841.882949933439"/>
    <n v="0"/>
    <n v="0"/>
    <n v="0"/>
    <n v="0"/>
    <n v="0"/>
    <n v="0"/>
    <n v="0"/>
    <n v="0"/>
    <n v="0"/>
    <n v="0"/>
  </r>
  <r>
    <x v="16"/>
    <x v="5"/>
    <n v="1"/>
    <x v="2"/>
    <s v="Vestdanmark"/>
    <n v="2835213.6153094829"/>
    <n v="618468.71483434096"/>
    <n v="579210.80448009283"/>
    <n v="0"/>
    <n v="56360.409398816068"/>
    <n v="0"/>
    <n v="1581173.6865962329"/>
    <n v="0"/>
    <n v="0"/>
    <n v="0"/>
    <n v="1637534.095995049"/>
    <n v="0"/>
    <n v="16.667653207999045"/>
    <n v="0.32494819480525"/>
    <n v="16.342705013193797"/>
    <n v="0"/>
    <n v="1391903.9815957916"/>
    <n v="47906.347988993657"/>
    <n v="1343997.63360679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</r>
  <r>
    <x v="20"/>
    <x v="10"/>
    <n v="0"/>
    <x v="2"/>
    <s v="Vestdanmark"/>
    <n v="729011.95091777691"/>
    <n v="0"/>
    <n v="0"/>
    <n v="0"/>
    <n v="0"/>
    <n v="0"/>
    <n v="0"/>
    <n v="0"/>
    <n v="729011.95091777691"/>
    <n v="0"/>
    <n v="0"/>
    <n v="0"/>
    <n v="0"/>
    <n v="0"/>
    <n v="0"/>
    <n v="0"/>
    <n v="0"/>
    <n v="0"/>
    <n v="0"/>
  </r>
  <r>
    <x v="21"/>
    <x v="10"/>
    <n v="0"/>
    <x v="2"/>
    <s v="Vestdanmark"/>
    <n v="1818589.8087592444"/>
    <n v="0"/>
    <n v="0"/>
    <n v="128347.79869443661"/>
    <n v="0"/>
    <n v="0"/>
    <n v="0"/>
    <n v="0"/>
    <n v="1690242.0100648077"/>
    <n v="0"/>
    <n v="0"/>
    <n v="0"/>
    <n v="0"/>
    <n v="0"/>
    <n v="0"/>
    <n v="0"/>
    <n v="0"/>
    <n v="0"/>
    <n v="0"/>
  </r>
  <r>
    <x v="22"/>
    <x v="5"/>
    <n v="1"/>
    <x v="2"/>
    <s v="Vestdanmark"/>
    <n v="5523408.7197105791"/>
    <n v="4703372.1615964994"/>
    <n v="0"/>
    <n v="307470.55071854044"/>
    <n v="2901.770538547059"/>
    <n v="0"/>
    <n v="0"/>
    <n v="0"/>
    <n v="509664.23685699236"/>
    <n v="509664.23685699236"/>
    <n v="2901.770538547059"/>
    <n v="1.7455286582420391"/>
    <n v="1.7554668160886873"/>
    <n v="9.9381578466482823E-3"/>
    <n v="1.7455286582420391"/>
    <n v="157995.91342566762"/>
    <n v="158895.46229261722"/>
    <n v="899.54886694958827"/>
    <n v="157995.91342566762"/>
  </r>
  <r>
    <x v="23"/>
    <x v="10"/>
    <n v="0"/>
    <x v="2"/>
    <s v="Vestdanmark"/>
    <n v="0"/>
    <n v="0"/>
    <n v="0"/>
    <n v="0"/>
    <n v="0"/>
    <n v="725594.03868632857"/>
    <n v="0"/>
    <n v="0"/>
    <n v="-725594.03868632857"/>
    <n v="0"/>
    <n v="0"/>
    <n v="0"/>
    <n v="0"/>
    <n v="0"/>
    <n v="0"/>
    <n v="0"/>
    <n v="0"/>
    <n v="0"/>
    <n v="0"/>
  </r>
  <r>
    <x v="24"/>
    <x v="2"/>
    <n v="1"/>
    <x v="2"/>
    <s v="Vestdanmark"/>
    <n v="10188325.202039858"/>
    <n v="0"/>
    <n v="0"/>
    <n v="0"/>
    <n v="9169492.6818358731"/>
    <n v="674976.54463514045"/>
    <n v="0"/>
    <n v="0"/>
    <n v="343855.97556884401"/>
    <n v="343855.97556884401"/>
    <n v="9169492.6818358731"/>
    <n v="0.17405645627319316"/>
    <n v="4.8155619568916936"/>
    <n v="4.6415055006185009"/>
    <n v="0.17405645627319277"/>
    <n v="26133.054143232144"/>
    <n v="723014.49796275853"/>
    <n v="696881.44381952635"/>
    <n v="26133.054143232177"/>
  </r>
  <r>
    <x v="25"/>
    <x v="10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</r>
  <r>
    <x v="26"/>
    <x v="4"/>
    <n v="1"/>
    <x v="2"/>
    <s v="Vestdanmark"/>
    <n v="6101831.6290168501"/>
    <n v="4525643.0291759707"/>
    <n v="0"/>
    <n v="0"/>
    <n v="254098.83749353027"/>
    <n v="0"/>
    <n v="0"/>
    <n v="0"/>
    <n v="1322089.762347349"/>
    <n v="1322089.762347349"/>
    <n v="254098.83749353027"/>
    <n v="4.7463022468269829"/>
    <n v="5.6585170734287562"/>
    <n v="0.91221482660177378"/>
    <n v="4.746302246826982"/>
    <n v="396626.92870420468"/>
    <n v="472856.57995226374"/>
    <n v="76229.651248059075"/>
    <n v="396626.92870420468"/>
  </r>
  <r>
    <x v="27"/>
    <x v="10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</r>
  <r>
    <x v="30"/>
    <x v="10"/>
    <n v="0"/>
    <x v="2"/>
    <s v="Vestdanmark"/>
    <n v="1048609.453845398"/>
    <n v="0"/>
    <n v="0"/>
    <n v="0"/>
    <n v="0"/>
    <n v="0"/>
    <n v="0"/>
    <n v="0"/>
    <n v="1048609.453845398"/>
    <n v="0"/>
    <n v="0"/>
    <n v="0"/>
    <n v="0"/>
    <n v="0"/>
    <n v="0"/>
    <n v="0"/>
    <n v="0"/>
    <n v="0"/>
    <n v="0"/>
  </r>
  <r>
    <x v="31"/>
    <x v="7"/>
    <n v="1"/>
    <x v="2"/>
    <s v="Vestdanmark"/>
    <n v="158491.06742829576"/>
    <n v="0"/>
    <n v="0"/>
    <n v="0"/>
    <n v="0"/>
    <n v="0"/>
    <n v="158491.06742829576"/>
    <n v="0"/>
    <n v="0"/>
    <n v="0"/>
    <n v="158491.06742829576"/>
    <n v="0"/>
    <n v="2.9162356406806413"/>
    <n v="0"/>
    <n v="2.9162356406806413"/>
    <n v="0"/>
    <n v="65773.792982742743"/>
    <n v="0"/>
    <n v="65773.79298274274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</r>
  <r>
    <x v="35"/>
    <x v="10"/>
    <n v="0"/>
    <x v="2"/>
    <s v="Vestdanmark"/>
    <n v="378080.80621229054"/>
    <n v="0"/>
    <n v="0"/>
    <n v="0"/>
    <n v="0"/>
    <n v="0"/>
    <n v="0"/>
    <n v="378080.8062122905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9040.40310614527"/>
    <n v="171279.2848730098"/>
    <n v="0"/>
    <n v="0"/>
    <n v="0"/>
    <n v="0"/>
    <n v="0"/>
    <n v="0"/>
    <n v="17761.118233135465"/>
    <n v="0"/>
    <n v="0"/>
    <n v="0"/>
    <n v="0"/>
    <n v="0"/>
    <n v="0"/>
    <n v="0"/>
    <n v="0"/>
    <n v="0"/>
    <n v="0"/>
  </r>
  <r>
    <x v="37"/>
    <x v="9"/>
    <n v="1"/>
    <x v="2"/>
    <s v="Vestdanmark"/>
    <n v="120985.85798793298"/>
    <n v="0"/>
    <n v="0"/>
    <n v="0"/>
    <n v="0"/>
    <n v="0"/>
    <n v="120985.85798793298"/>
    <n v="0"/>
    <n v="0"/>
    <n v="0"/>
    <n v="120985.85798793298"/>
    <n v="0"/>
    <n v="4.2345050295776536"/>
    <n v="0"/>
    <n v="4.2345050295776536"/>
    <n v="0"/>
    <n v="0"/>
    <n v="0"/>
    <n v="0"/>
  </r>
  <r>
    <x v="38"/>
    <x v="4"/>
    <n v="1"/>
    <x v="2"/>
    <s v="Vestdanmark"/>
    <n v="5024574.3595380196"/>
    <n v="672934.09412450308"/>
    <n v="0"/>
    <n v="0"/>
    <n v="21821.426523041016"/>
    <n v="0"/>
    <n v="0"/>
    <n v="0"/>
    <n v="4329818.8388904752"/>
    <n v="4329818.8388904752"/>
    <n v="21821.426523041016"/>
    <n v="11.751301521502306"/>
    <n v="11.8105257459429"/>
    <n v="5.9224224440594241E-2"/>
    <n v="11.751301521502306"/>
    <n v="865963.76777809509"/>
    <n v="870328.05308270326"/>
    <n v="4364.2853046082037"/>
    <n v="865963.76777809509"/>
  </r>
  <r>
    <x v="39"/>
    <x v="10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</r>
  <r>
    <x v="40"/>
    <x v="10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</r>
  <r>
    <x v="41"/>
    <x v="1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</r>
  <r>
    <x v="42"/>
    <x v="2"/>
    <n v="1"/>
    <x v="2"/>
    <s v="Vestdanmark"/>
    <n v="11545833.414063649"/>
    <n v="0"/>
    <n v="0"/>
    <n v="0"/>
    <n v="10391250.072657285"/>
    <n v="1154583.3414063647"/>
    <n v="0"/>
    <n v="0"/>
    <n v="0"/>
    <n v="0"/>
    <n v="10391250.072657285"/>
    <n v="0"/>
    <n v="4.4765505313007594"/>
    <n v="4.4765505313007594"/>
    <n v="0"/>
    <n v="0"/>
    <n v="519562.50363286427"/>
    <n v="519562.50363286427"/>
    <n v="0"/>
  </r>
  <r>
    <x v="43"/>
    <x v="10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235295.9759470159"/>
    <n v="0"/>
    <n v="0"/>
    <n v="0"/>
    <n v="0"/>
    <n v="0"/>
    <n v="2235295.9759470159"/>
    <n v="0"/>
    <n v="0"/>
    <n v="0"/>
    <n v="2235295.9759470159"/>
    <n v="0"/>
    <n v="32.397416241013886"/>
    <n v="0"/>
    <n v="32.397416241013886"/>
    <n v="0"/>
    <n v="1105540.1347704616"/>
    <n v="0"/>
    <n v="1105540.1347704616"/>
  </r>
  <r>
    <x v="47"/>
    <x v="10"/>
    <n v="0"/>
    <x v="2"/>
    <s v="Vestdanmark"/>
    <n v="687223.1739007252"/>
    <n v="0"/>
    <n v="0"/>
    <n v="0"/>
    <n v="0"/>
    <n v="0"/>
    <n v="0"/>
    <n v="0"/>
    <n v="687223.1739007252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</r>
  <r>
    <x v="0"/>
    <x v="10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</r>
  <r>
    <x v="1"/>
    <x v="10"/>
    <n v="0"/>
    <x v="1"/>
    <s v="Østdanmark"/>
    <n v="66320.575580958233"/>
    <n v="6333.2934029920762"/>
    <n v="0"/>
    <n v="0"/>
    <n v="0"/>
    <n v="0"/>
    <n v="0"/>
    <n v="0"/>
    <n v="59987.28217796616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17001032.45606402"/>
    <n v="0"/>
    <n v="0"/>
    <n v="0"/>
    <n v="0"/>
    <n v="0"/>
    <n v="117001032.45606402"/>
    <n v="0"/>
    <n v="0"/>
    <n v="0"/>
    <n v="117001032.45606402"/>
    <n v="0"/>
    <n v="0"/>
    <n v="0"/>
    <n v="0"/>
    <n v="0"/>
    <n v="0"/>
    <n v="0"/>
    <n v="0"/>
  </r>
  <r>
    <x v="4"/>
    <x v="10"/>
    <n v="0"/>
    <x v="1"/>
    <s v="Østdanmark"/>
    <n v="3846030.9782367097"/>
    <n v="0"/>
    <n v="0"/>
    <n v="0"/>
    <n v="0"/>
    <n v="3424154.0812072256"/>
    <n v="0"/>
    <n v="0"/>
    <n v="421876.89702948416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560.16154012228367"/>
    <n v="0"/>
    <n v="0"/>
    <n v="0"/>
    <n v="504.14538611005531"/>
    <n v="42.412230894972893"/>
    <n v="0"/>
    <n v="0"/>
    <n v="13.603923117255476"/>
    <n v="13.603923117255476"/>
    <n v="504.14538611005531"/>
    <n v="6.397789002814078E-6"/>
    <n v="2.4349232263651198E-4"/>
    <n v="2.3709453363369792E-4"/>
    <n v="6.3977890028140653E-6"/>
    <n v="0.85704715638709505"/>
    <n v="32.618206481320577"/>
    <n v="31.761159324933484"/>
    <n v="0.85704715638709317"/>
  </r>
  <r>
    <x v="9"/>
    <x v="10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</r>
  <r>
    <x v="10"/>
    <x v="10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</r>
  <r>
    <x v="11"/>
    <x v="10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915785.5258047525"/>
    <n v="1201654.4608093714"/>
    <n v="0"/>
    <n v="0"/>
    <n v="18670.90350678641"/>
    <n v="0"/>
    <n v="0"/>
    <n v="0"/>
    <n v="6695460.1614885945"/>
    <n v="6695460.1614885945"/>
    <n v="18670.90350678641"/>
    <n v="12.318809764618829"/>
    <n v="12.353161893208377"/>
    <n v="3.4352128589548649E-2"/>
    <n v="12.318809764618829"/>
    <n v="1874728.8452168067"/>
    <n v="1879956.6981987068"/>
    <n v="5227.8529819001951"/>
    <n v="1874728.8452168067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</r>
  <r>
    <x v="16"/>
    <x v="5"/>
    <n v="1"/>
    <x v="1"/>
    <s v="Østdanmark"/>
    <n v="888494.96140285372"/>
    <n v="75911.558427530035"/>
    <n v="82816.687681498166"/>
    <n v="0"/>
    <n v="19176.116683861201"/>
    <n v="0"/>
    <n v="710590.59860996436"/>
    <n v="0"/>
    <n v="0"/>
    <n v="0"/>
    <n v="729766.7152938256"/>
    <n v="0"/>
    <n v="7.455087481427622"/>
    <n v="0.11056066778546911"/>
    <n v="7.3445268136421529"/>
    <n v="0"/>
    <n v="620301.70799975179"/>
    <n v="16299.69918128202"/>
    <n v="604002.00881846971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</r>
  <r>
    <x v="19"/>
    <x v="1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</r>
  <r>
    <x v="20"/>
    <x v="10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</r>
  <r>
    <x v="21"/>
    <x v="10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</r>
  <r>
    <x v="22"/>
    <x v="5"/>
    <n v="1"/>
    <x v="1"/>
    <s v="Østdanmark"/>
    <n v="1608239.7398434528"/>
    <n v="577297.28616440261"/>
    <n v="0"/>
    <n v="256234.83946537593"/>
    <n v="871.08988076433457"/>
    <n v="0"/>
    <n v="0"/>
    <n v="0"/>
    <n v="773836.52433290996"/>
    <n v="773836.52433290996"/>
    <n v="871.08988076433457"/>
    <n v="2.6502817587268104"/>
    <n v="2.653265119615845"/>
    <n v="2.9833608890345396E-3"/>
    <n v="2.6502817587268104"/>
    <n v="239889.32254320208"/>
    <n v="240159.36040623905"/>
    <n v="270.03786303694369"/>
    <n v="239889.32254320211"/>
  </r>
  <r>
    <x v="23"/>
    <x v="10"/>
    <n v="0"/>
    <x v="1"/>
    <s v="Østdanmark"/>
    <n v="0"/>
    <n v="0"/>
    <n v="0"/>
    <n v="0"/>
    <n v="0"/>
    <n v="353758.48713435931"/>
    <n v="0"/>
    <n v="0"/>
    <n v="-353758.48713435931"/>
    <n v="0"/>
    <n v="0"/>
    <n v="0"/>
    <n v="0"/>
    <n v="0"/>
    <n v="0"/>
    <n v="0"/>
    <n v="0"/>
    <n v="0"/>
    <n v="0"/>
  </r>
  <r>
    <x v="24"/>
    <x v="2"/>
    <n v="1"/>
    <x v="1"/>
    <s v="Østdanmark"/>
    <n v="738231.33813296724"/>
    <n v="0"/>
    <n v="0"/>
    <n v="0"/>
    <n v="664408.20431967056"/>
    <n v="48907.826151309069"/>
    <n v="0"/>
    <n v="0"/>
    <n v="24915.307661987608"/>
    <n v="24915.307661987608"/>
    <n v="664408.20431967056"/>
    <n v="1.2611879585421509E-2"/>
    <n v="0.3489286685299956"/>
    <n v="0.33631678894457406"/>
    <n v="1.2611879585421537E-2"/>
    <n v="1893.5633823110581"/>
    <n v="52388.58691060602"/>
    <n v="50495.023528294958"/>
    <n v="1893.563382311062"/>
  </r>
  <r>
    <x v="25"/>
    <x v="10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</r>
  <r>
    <x v="26"/>
    <x v="4"/>
    <n v="1"/>
    <x v="1"/>
    <s v="Østdanmark"/>
    <n v="1730463.2966817433"/>
    <n v="555482.60888742993"/>
    <n v="0"/>
    <n v="0"/>
    <n v="74810.246107047482"/>
    <n v="0"/>
    <n v="0"/>
    <n v="0"/>
    <n v="1100170.4416872659"/>
    <n v="1100170.4416872659"/>
    <n v="74810.246107047482"/>
    <n v="3.9496118856572848"/>
    <n v="4.2181806691815851"/>
    <n v="0.26856878352430047"/>
    <n v="3.9496118856572844"/>
    <n v="330051.13250617974"/>
    <n v="352494.20633829397"/>
    <n v="22443.073832114245"/>
    <n v="330051.13250617974"/>
  </r>
  <r>
    <x v="27"/>
    <x v="10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</r>
  <r>
    <x v="30"/>
    <x v="10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</r>
  <r>
    <x v="31"/>
    <x v="7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</r>
  <r>
    <x v="35"/>
    <x v="10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5765.551104918435"/>
    <n v="21023.015601598698"/>
    <n v="0"/>
    <n v="0"/>
    <n v="0"/>
    <n v="0"/>
    <n v="0"/>
    <n v="0"/>
    <n v="34742.535503319741"/>
    <n v="0"/>
    <n v="0"/>
    <n v="0"/>
    <n v="0"/>
    <n v="0"/>
    <n v="0"/>
    <n v="0"/>
    <n v="0"/>
    <n v="0"/>
    <n v="0"/>
  </r>
  <r>
    <x v="37"/>
    <x v="9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</r>
  <r>
    <x v="38"/>
    <x v="4"/>
    <n v="1"/>
    <x v="1"/>
    <s v="Østdanmark"/>
    <n v="1508318.1394402247"/>
    <n v="82596.701464021666"/>
    <n v="0"/>
    <n v="0"/>
    <n v="6717.4186381438076"/>
    <n v="0"/>
    <n v="0"/>
    <n v="0"/>
    <n v="1419004.0193380592"/>
    <n v="1419004.0193380592"/>
    <n v="6717.4186381438076"/>
    <n v="3.8512336686442663"/>
    <n v="3.8694650115249343"/>
    <n v="1.8231342880667821E-2"/>
    <n v="3.8512336686442663"/>
    <n v="283800.80386761186"/>
    <n v="285144.28759524063"/>
    <n v="1343.4837276287617"/>
    <n v="283800.80386761186"/>
  </r>
  <r>
    <x v="39"/>
    <x v="10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</r>
  <r>
    <x v="40"/>
    <x v="10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</r>
  <r>
    <x v="41"/>
    <x v="1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</r>
  <r>
    <x v="42"/>
    <x v="2"/>
    <n v="1"/>
    <x v="1"/>
    <s v="Østdanmark"/>
    <n v="1747439.8704342765"/>
    <n v="0"/>
    <n v="0"/>
    <n v="0"/>
    <n v="1572695.883390849"/>
    <n v="174743.98704342762"/>
    <n v="0"/>
    <n v="0"/>
    <n v="0"/>
    <n v="0"/>
    <n v="1572695.883390849"/>
    <n v="0"/>
    <n v="0.67751738656477789"/>
    <n v="0.67751738656477789"/>
    <n v="0"/>
    <n v="0"/>
    <n v="78634.794169542452"/>
    <n v="78634.794169542452"/>
    <n v="0"/>
  </r>
  <r>
    <x v="43"/>
    <x v="10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088.73530897219"/>
    <n v="0"/>
    <n v="0"/>
    <n v="0"/>
    <n v="0"/>
    <n v="0"/>
    <n v="647088.73530897219"/>
    <n v="0"/>
    <n v="0"/>
    <n v="0"/>
    <n v="647088.73530897219"/>
    <n v="0"/>
    <n v="9.3786251701161518"/>
    <n v="0"/>
    <n v="9.3786251701161518"/>
    <n v="0"/>
    <n v="320039.30367156246"/>
    <n v="0"/>
    <n v="320039.30367156246"/>
  </r>
  <r>
    <x v="47"/>
    <x v="10"/>
    <n v="0"/>
    <x v="1"/>
    <s v="Østdanmark"/>
    <n v="178637.61286448501"/>
    <n v="0"/>
    <n v="0"/>
    <n v="0"/>
    <n v="0"/>
    <n v="0"/>
    <n v="0"/>
    <n v="0"/>
    <n v="178637.61286448501"/>
    <n v="0"/>
    <n v="0"/>
    <n v="0"/>
    <n v="0"/>
    <n v="0"/>
    <n v="0"/>
    <n v="0"/>
    <n v="0"/>
    <n v="0"/>
    <n v="0"/>
  </r>
  <r>
    <x v="0"/>
    <x v="10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</r>
  <r>
    <x v="1"/>
    <x v="10"/>
    <n v="0"/>
    <x v="2"/>
    <s v="Østdanmark"/>
    <n v="69084.929808935805"/>
    <n v="6333.293402992078"/>
    <n v="0"/>
    <n v="0"/>
    <n v="0"/>
    <n v="0"/>
    <n v="0"/>
    <n v="0"/>
    <n v="62751.636405943726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17860054.55405192"/>
    <n v="0"/>
    <n v="0"/>
    <n v="0"/>
    <n v="0"/>
    <n v="0"/>
    <n v="117860054.55405192"/>
    <n v="0"/>
    <n v="0"/>
    <n v="0"/>
    <n v="117860054.55405192"/>
    <n v="0"/>
    <n v="0"/>
    <n v="0"/>
    <n v="0"/>
    <n v="0"/>
    <n v="0"/>
    <n v="0"/>
    <n v="0"/>
  </r>
  <r>
    <x v="4"/>
    <x v="10"/>
    <n v="0"/>
    <x v="2"/>
    <s v="Østdanmark"/>
    <n v="3839450.0046601556"/>
    <n v="0"/>
    <n v="0"/>
    <n v="0"/>
    <n v="0"/>
    <n v="3389908.2542493283"/>
    <n v="0"/>
    <n v="0"/>
    <n v="449541.75041082734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578.47871789484248"/>
    <n v="0"/>
    <n v="0"/>
    <n v="0"/>
    <n v="520.63084610535827"/>
    <n v="43.799102926323776"/>
    <n v="0"/>
    <n v="0"/>
    <n v="14.048768863160376"/>
    <n v="14.048768863160376"/>
    <n v="520.63084610535827"/>
    <n v="6.6069955086556931E-6"/>
    <n v="2.5145447612354464E-4"/>
    <n v="2.4484748061488895E-4"/>
    <n v="6.6069955086556914E-6"/>
    <n v="0.88507243837910365"/>
    <n v="33.684815743016678"/>
    <n v="32.799743304637573"/>
    <n v="0.88507243837910465"/>
  </r>
  <r>
    <x v="9"/>
    <x v="10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</r>
  <r>
    <x v="10"/>
    <x v="10"/>
    <n v="0"/>
    <x v="2"/>
    <s v="Østdanmark"/>
    <n v="357304.25157150667"/>
    <n v="0"/>
    <n v="0"/>
    <n v="0"/>
    <n v="0"/>
    <n v="0"/>
    <n v="0"/>
    <n v="0"/>
    <n v="357304.25157150667"/>
    <n v="0"/>
    <n v="0"/>
    <n v="0"/>
    <n v="0"/>
    <n v="0"/>
    <n v="0"/>
    <n v="0"/>
    <n v="0"/>
    <n v="0"/>
    <n v="0"/>
  </r>
  <r>
    <x v="11"/>
    <x v="10"/>
    <n v="0"/>
    <x v="2"/>
    <s v="Østdanmark"/>
    <n v="10163.089759541812"/>
    <n v="0"/>
    <n v="0"/>
    <n v="233795.01599247381"/>
    <n v="0"/>
    <n v="0"/>
    <n v="0"/>
    <n v="0"/>
    <n v="-223631.926232931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8332694.7229536632"/>
    <n v="1201654.4608093717"/>
    <n v="0"/>
    <n v="0"/>
    <n v="18918.331265736317"/>
    <n v="0"/>
    <n v="0"/>
    <n v="0"/>
    <n v="7112121.9308785554"/>
    <n v="7112121.9308785554"/>
    <n v="18918.331265736317"/>
    <n v="13.085415337575183"/>
    <n v="13.120222702312729"/>
    <n v="3.4807364737546607E-2"/>
    <n v="13.085415337575183"/>
    <n v="1991394.1406459957"/>
    <n v="1996691.2734004019"/>
    <n v="5297.1327544061696"/>
    <n v="1991394.140645995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8513.709869912811"/>
    <n v="0"/>
    <n v="0"/>
    <n v="244869.51675001203"/>
    <n v="0"/>
    <n v="0"/>
    <n v="0"/>
    <n v="0"/>
    <n v="-176355.80688009923"/>
    <n v="0"/>
    <n v="0"/>
    <n v="0"/>
    <n v="0"/>
    <n v="0"/>
    <n v="0"/>
    <n v="0"/>
    <n v="0"/>
    <n v="0"/>
    <n v="0"/>
  </r>
  <r>
    <x v="16"/>
    <x v="5"/>
    <n v="1"/>
    <x v="2"/>
    <s v="Østdanmark"/>
    <n v="865944.52172148146"/>
    <n v="75911.55842753005"/>
    <n v="82449.939525946174"/>
    <n v="0"/>
    <n v="19573.590601183951"/>
    <n v="0"/>
    <n v="688009.43316682125"/>
    <n v="0"/>
    <n v="0"/>
    <n v="0"/>
    <n v="707583.02376800519"/>
    <n v="0"/>
    <n v="7.2239845802646228"/>
    <n v="0.11285231955475013"/>
    <n v="7.1111322607098728"/>
    <n v="0"/>
    <n v="601445.5702028044"/>
    <n v="16637.552011006359"/>
    <n v="584808.018191798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</r>
  <r>
    <x v="19"/>
    <x v="1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</r>
  <r>
    <x v="20"/>
    <x v="10"/>
    <n v="0"/>
    <x v="2"/>
    <s v="Østdanmark"/>
    <n v="220334.04456617165"/>
    <n v="0"/>
    <n v="0"/>
    <n v="0"/>
    <n v="0"/>
    <n v="0"/>
    <n v="0"/>
    <n v="0"/>
    <n v="220334.04456617165"/>
    <n v="0"/>
    <n v="0"/>
    <n v="0"/>
    <n v="0"/>
    <n v="0"/>
    <n v="0"/>
    <n v="0"/>
    <n v="0"/>
    <n v="0"/>
    <n v="0"/>
  </r>
  <r>
    <x v="21"/>
    <x v="10"/>
    <n v="0"/>
    <x v="2"/>
    <s v="Østdanmark"/>
    <n v="536733.47505489504"/>
    <n v="0"/>
    <n v="0"/>
    <n v="111975.50765955324"/>
    <n v="0"/>
    <n v="0"/>
    <n v="0"/>
    <n v="0"/>
    <n v="424757.96739534178"/>
    <n v="0"/>
    <n v="0"/>
    <n v="0"/>
    <n v="0"/>
    <n v="0"/>
    <n v="0"/>
    <n v="0"/>
    <n v="0"/>
    <n v="0"/>
    <n v="0"/>
  </r>
  <r>
    <x v="22"/>
    <x v="5"/>
    <n v="1"/>
    <x v="2"/>
    <s v="Østdanmark"/>
    <n v="1683096.8033949384"/>
    <n v="577297.28616440273"/>
    <n v="0"/>
    <n v="268249.01834925939"/>
    <n v="884.229461452941"/>
    <n v="0"/>
    <n v="0"/>
    <n v="0"/>
    <n v="836666.26941982331"/>
    <n v="836666.26941982331"/>
    <n v="884.229461452941"/>
    <n v="2.8654648394851767"/>
    <n v="2.8684932015985285"/>
    <n v="3.0283621133517201E-3"/>
    <n v="2.8654648394851767"/>
    <n v="259366.54352014523"/>
    <n v="259640.65465319564"/>
    <n v="274.11113305041169"/>
    <n v="259366.54352014523"/>
  </r>
  <r>
    <x v="23"/>
    <x v="10"/>
    <n v="0"/>
    <x v="2"/>
    <s v="Østdanmark"/>
    <n v="0"/>
    <n v="0"/>
    <n v="0"/>
    <n v="0"/>
    <n v="0"/>
    <n v="343152.81118002941"/>
    <n v="0"/>
    <n v="0"/>
    <n v="-343152.81118002941"/>
    <n v="0"/>
    <n v="0"/>
    <n v="0"/>
    <n v="0"/>
    <n v="0"/>
    <n v="0"/>
    <n v="0"/>
    <n v="0"/>
    <n v="0"/>
    <n v="0"/>
  </r>
  <r>
    <x v="24"/>
    <x v="2"/>
    <n v="1"/>
    <x v="2"/>
    <s v="Østdanmark"/>
    <n v="724125.12538599269"/>
    <n v="0"/>
    <n v="0"/>
    <n v="0"/>
    <n v="651712.6128473935"/>
    <n v="47973.289556822005"/>
    <n v="0"/>
    <n v="0"/>
    <n v="24439.222981777159"/>
    <n v="24439.222981777159"/>
    <n v="651712.6128473935"/>
    <n v="1.2370890281145781E-2"/>
    <n v="0.34226129777836795"/>
    <n v="0.32989040749722215"/>
    <n v="1.2370890281145797E-2"/>
    <n v="1857.380946615064"/>
    <n v="51387.539523016967"/>
    <n v="49530.158576401904"/>
    <n v="1857.3809466150633"/>
  </r>
  <r>
    <x v="25"/>
    <x v="10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</r>
  <r>
    <x v="26"/>
    <x v="4"/>
    <n v="1"/>
    <x v="2"/>
    <s v="Østdanmark"/>
    <n v="1823285.6405542411"/>
    <n v="555482.60888743005"/>
    <n v="0"/>
    <n v="0"/>
    <n v="75927.162506469729"/>
    <n v="0"/>
    <n v="0"/>
    <n v="0"/>
    <n v="1191875.8691603413"/>
    <n v="1191875.8691603413"/>
    <n v="75927.162506469729"/>
    <n v="4.278834370285626"/>
    <n v="4.5514128836838523"/>
    <n v="0.27257851339822636"/>
    <n v="4.278834370285626"/>
    <n v="357562.76074810239"/>
    <n v="380340.90950004332"/>
    <n v="22778.148751940917"/>
    <n v="357562.76074810239"/>
  </r>
  <r>
    <x v="27"/>
    <x v="10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</r>
  <r>
    <x v="30"/>
    <x v="10"/>
    <n v="0"/>
    <x v="2"/>
    <s v="Østdanmark"/>
    <n v="314116.08613367198"/>
    <n v="0"/>
    <n v="0"/>
    <n v="0"/>
    <n v="0"/>
    <n v="0"/>
    <n v="0"/>
    <n v="0"/>
    <n v="314116.08613367198"/>
    <n v="0"/>
    <n v="0"/>
    <n v="0"/>
    <n v="0"/>
    <n v="0"/>
    <n v="0"/>
    <n v="0"/>
    <n v="0"/>
    <n v="0"/>
    <n v="0"/>
  </r>
  <r>
    <x v="31"/>
    <x v="7"/>
    <n v="1"/>
    <x v="2"/>
    <s v="Østdanmark"/>
    <n v="43858.564110476924"/>
    <n v="0"/>
    <n v="0"/>
    <n v="0"/>
    <n v="0"/>
    <n v="0"/>
    <n v="43858.564110476924"/>
    <n v="0"/>
    <n v="0"/>
    <n v="0"/>
    <n v="43858.564110476924"/>
    <n v="0"/>
    <n v="0.8069975796327753"/>
    <n v="0"/>
    <n v="0.8069975796327753"/>
    <n v="0"/>
    <n v="18201.304105847925"/>
    <n v="0"/>
    <n v="18201.304105847925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</r>
  <r>
    <x v="35"/>
    <x v="10"/>
    <n v="0"/>
    <x v="2"/>
    <s v="Østdanmark"/>
    <n v="116086.90219815794"/>
    <n v="0"/>
    <n v="0"/>
    <n v="0"/>
    <n v="0"/>
    <n v="0"/>
    <n v="0"/>
    <n v="116086.90219815794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8043.451099078971"/>
    <n v="21023.015601598701"/>
    <n v="0"/>
    <n v="0"/>
    <n v="0"/>
    <n v="0"/>
    <n v="0"/>
    <n v="0"/>
    <n v="37020.43549748027"/>
    <n v="0"/>
    <n v="0"/>
    <n v="0"/>
    <n v="0"/>
    <n v="0"/>
    <n v="0"/>
    <n v="0"/>
    <n v="0"/>
    <n v="0"/>
    <n v="0"/>
  </r>
  <r>
    <x v="37"/>
    <x v="9"/>
    <n v="1"/>
    <x v="2"/>
    <s v="Østdanmark"/>
    <n v="37147.808703410541"/>
    <n v="0"/>
    <n v="0"/>
    <n v="0"/>
    <n v="0"/>
    <n v="0"/>
    <n v="37147.808703410541"/>
    <n v="0"/>
    <n v="0"/>
    <n v="0"/>
    <n v="37147.808703410541"/>
    <n v="0"/>
    <n v="1.3001733046193689"/>
    <n v="0"/>
    <n v="1.3001733046193689"/>
    <n v="0"/>
    <n v="0"/>
    <n v="0"/>
    <n v="0"/>
  </r>
  <r>
    <x v="38"/>
    <x v="4"/>
    <n v="1"/>
    <x v="2"/>
    <s v="Østdanmark"/>
    <n v="1571187.4884325294"/>
    <n v="82596.70146402168"/>
    <n v="0"/>
    <n v="0"/>
    <n v="6823.5734769589817"/>
    <n v="0"/>
    <n v="0"/>
    <n v="0"/>
    <n v="1481767.2134915488"/>
    <n v="1481767.2134915488"/>
    <n v="6823.5734769589817"/>
    <n v="4.0215754881046033"/>
    <n v="4.0400949394640087"/>
    <n v="1.8519451359405754E-2"/>
    <n v="4.0215754881046033"/>
    <n v="296353.44269830978"/>
    <n v="297718.15739370155"/>
    <n v="1364.7146953917963"/>
    <n v="296353.44269830978"/>
  </r>
  <r>
    <x v="39"/>
    <x v="10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</r>
  <r>
    <x v="40"/>
    <x v="10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</r>
  <r>
    <x v="41"/>
    <x v="1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</r>
  <r>
    <x v="42"/>
    <x v="2"/>
    <n v="1"/>
    <x v="2"/>
    <s v="Østdanmark"/>
    <n v="1672957.9533098161"/>
    <n v="0"/>
    <n v="0"/>
    <n v="0"/>
    <n v="1505662.1579788346"/>
    <n v="167295.79533098158"/>
    <n v="0"/>
    <n v="0"/>
    <n v="0"/>
    <n v="0"/>
    <n v="1505662.1579788346"/>
    <n v="0"/>
    <n v="0.64863925765728203"/>
    <n v="0.64863925765728203"/>
    <n v="0"/>
    <n v="0"/>
    <n v="75283.107898941729"/>
    <n v="75283.107898941729"/>
    <n v="0"/>
  </r>
  <r>
    <x v="43"/>
    <x v="10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24603.98534617631"/>
    <n v="0"/>
    <n v="0"/>
    <n v="0"/>
    <n v="0"/>
    <n v="0"/>
    <n v="624603.98534617631"/>
    <n v="0"/>
    <n v="0"/>
    <n v="0"/>
    <n v="624603.98534617631"/>
    <n v="0"/>
    <n v="9.0527408973136652"/>
    <n v="0"/>
    <n v="9.0527408973136652"/>
    <n v="0"/>
    <n v="308918.72108579637"/>
    <n v="0"/>
    <n v="308918.72108579637"/>
  </r>
  <r>
    <x v="47"/>
    <x v="10"/>
    <n v="0"/>
    <x v="2"/>
    <s v="Østdanmark"/>
    <n v="184169.19735067486"/>
    <n v="0"/>
    <n v="0"/>
    <n v="0"/>
    <n v="0"/>
    <n v="0"/>
    <n v="0"/>
    <n v="0"/>
    <n v="184169.19735067486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6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J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4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39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7"/>
        <item x="38"/>
        <item x="40"/>
        <item x="41"/>
        <item x="4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0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64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6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C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28"/>
    </i>
    <i>
      <x v="30"/>
    </i>
    <i>
      <x v="31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67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6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6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6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6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6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6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6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B2" sqref="B2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37" t="s">
        <v>279</v>
      </c>
      <c r="B1" s="337"/>
      <c r="D1" s="75" t="s">
        <v>292</v>
      </c>
    </row>
    <row r="2" spans="1:6" ht="30" x14ac:dyDescent="0.25">
      <c r="A2" s="6" t="s">
        <v>0</v>
      </c>
      <c r="B2" s="227" t="s">
        <v>338</v>
      </c>
    </row>
    <row r="4" spans="1:6" ht="30" customHeight="1" thickBot="1" x14ac:dyDescent="0.3">
      <c r="A4" s="336" t="s">
        <v>278</v>
      </c>
      <c r="B4" s="336"/>
      <c r="D4" s="75"/>
    </row>
    <row r="5" spans="1:6" ht="15.75" thickTop="1" x14ac:dyDescent="0.25">
      <c r="A5" s="259" t="s">
        <v>86</v>
      </c>
      <c r="B5" s="258" t="s">
        <v>312</v>
      </c>
      <c r="D5" s="215" t="s">
        <v>43</v>
      </c>
      <c r="E5" s="216"/>
      <c r="F5" s="12"/>
    </row>
    <row r="6" spans="1:6" x14ac:dyDescent="0.25">
      <c r="A6" s="209" t="s">
        <v>84</v>
      </c>
      <c r="B6" s="210" t="s">
        <v>262</v>
      </c>
      <c r="D6" s="217" t="str" cm="1">
        <f t="array" ref="D6">[1]!Jordbund1</f>
        <v>JB1-10</v>
      </c>
      <c r="E6" s="218" t="s">
        <v>44</v>
      </c>
      <c r="F6" s="12"/>
    </row>
    <row r="7" spans="1:6" x14ac:dyDescent="0.25">
      <c r="A7" s="209"/>
      <c r="B7" s="210" t="s">
        <v>2</v>
      </c>
      <c r="D7" s="217" t="str" cm="1">
        <f t="array" ref="D7">[1]!Organ6</f>
        <v>OC6</v>
      </c>
      <c r="E7" s="218" t="s">
        <v>45</v>
      </c>
      <c r="F7" s="12"/>
    </row>
    <row r="8" spans="1:6" x14ac:dyDescent="0.25">
      <c r="A8" s="225" t="s">
        <v>92</v>
      </c>
      <c r="B8" s="210" t="s">
        <v>263</v>
      </c>
      <c r="D8" s="217" t="str" cm="1">
        <f t="array" ref="D8">[1]!Organ12</f>
        <v>OC12</v>
      </c>
      <c r="E8" s="218" t="s">
        <v>46</v>
      </c>
      <c r="F8" s="12"/>
    </row>
    <row r="9" spans="1:6" x14ac:dyDescent="0.25">
      <c r="A9" s="211" t="s">
        <v>93</v>
      </c>
      <c r="B9" s="210" t="s">
        <v>264</v>
      </c>
      <c r="D9" s="217"/>
      <c r="E9" s="218"/>
      <c r="F9" s="12"/>
    </row>
    <row r="10" spans="1:6" x14ac:dyDescent="0.25">
      <c r="A10" s="209"/>
      <c r="B10" s="210"/>
      <c r="D10" s="219" t="s">
        <v>47</v>
      </c>
      <c r="E10" s="218"/>
      <c r="F10" s="12"/>
    </row>
    <row r="11" spans="1:6" x14ac:dyDescent="0.25">
      <c r="A11" s="225" t="s">
        <v>69</v>
      </c>
      <c r="B11" s="226" t="s">
        <v>265</v>
      </c>
      <c r="D11" s="217" t="str" cm="1">
        <f t="array" ref="D11">[1]!Bebyg</f>
        <v>Bebyggelse &amp; infrastruktur</v>
      </c>
      <c r="E11" s="218"/>
      <c r="F11" s="12"/>
    </row>
    <row r="12" spans="1:6" x14ac:dyDescent="0.25">
      <c r="A12" s="209" t="s">
        <v>259</v>
      </c>
      <c r="B12" s="210" t="s">
        <v>266</v>
      </c>
      <c r="D12" s="217" t="str" cm="1">
        <f t="array" ref="D12">[1]!Afgrøder</f>
        <v>Landbrugsafgrøder</v>
      </c>
      <c r="E12" s="218"/>
      <c r="F12" s="12"/>
    </row>
    <row r="13" spans="1:6" x14ac:dyDescent="0.25">
      <c r="A13" s="209"/>
      <c r="B13" s="210"/>
      <c r="D13" s="217" t="str" cm="1">
        <f t="array" ref="D13">[1]!SkovAreal</f>
        <v>Skov</v>
      </c>
      <c r="E13" s="218"/>
      <c r="F13" s="12"/>
    </row>
    <row r="14" spans="1:6" x14ac:dyDescent="0.25">
      <c r="A14" s="225" t="s">
        <v>70</v>
      </c>
      <c r="B14" s="226" t="s">
        <v>267</v>
      </c>
      <c r="D14" s="217" t="str" cm="1">
        <f t="array" ref="D14">[1]!NaturAreal</f>
        <v>Natur</v>
      </c>
      <c r="E14" s="218"/>
      <c r="F14" s="12"/>
    </row>
    <row r="15" spans="1:6" x14ac:dyDescent="0.25">
      <c r="A15" s="209" t="s">
        <v>71</v>
      </c>
      <c r="B15" s="210" t="s">
        <v>268</v>
      </c>
      <c r="D15" s="217" t="str" cm="1">
        <f t="array" ref="D15">[1]!IKareal</f>
        <v>Ikke klassificeret</v>
      </c>
      <c r="E15" s="218"/>
      <c r="F15" s="12"/>
    </row>
    <row r="16" spans="1:6" x14ac:dyDescent="0.25">
      <c r="A16" s="209" t="s">
        <v>72</v>
      </c>
      <c r="B16" s="210"/>
      <c r="D16" s="220"/>
      <c r="E16" s="218"/>
    </row>
    <row r="17" spans="1:5" x14ac:dyDescent="0.25">
      <c r="A17" s="209" t="s">
        <v>73</v>
      </c>
      <c r="B17" s="226" t="s">
        <v>275</v>
      </c>
      <c r="D17" s="221" t="s">
        <v>94</v>
      </c>
      <c r="E17" s="218"/>
    </row>
    <row r="18" spans="1:5" x14ac:dyDescent="0.25">
      <c r="A18" s="209" t="s">
        <v>74</v>
      </c>
      <c r="B18" s="338" t="s">
        <v>280</v>
      </c>
      <c r="D18" s="217" cm="1">
        <f t="array" ref="D18">[1]!År1</f>
        <v>2019</v>
      </c>
      <c r="E18" s="218"/>
    </row>
    <row r="19" spans="1:5" x14ac:dyDescent="0.25">
      <c r="A19" s="209" t="s">
        <v>260</v>
      </c>
      <c r="B19" s="338"/>
      <c r="D19" s="217" cm="1">
        <f t="array" ref="D19">[1]!År2</f>
        <v>2030</v>
      </c>
      <c r="E19" s="218"/>
    </row>
    <row r="20" spans="1:5" ht="15.75" thickBot="1" x14ac:dyDescent="0.3">
      <c r="A20" s="209" t="s">
        <v>261</v>
      </c>
      <c r="B20" s="210"/>
      <c r="D20" s="222" cm="1">
        <f t="array" ref="D20">[1]!År3</f>
        <v>2050</v>
      </c>
      <c r="E20" s="223"/>
    </row>
    <row r="21" spans="1:5" ht="15.75" thickTop="1" x14ac:dyDescent="0.25">
      <c r="A21" s="209" t="s">
        <v>75</v>
      </c>
      <c r="B21" s="210"/>
    </row>
    <row r="22" spans="1:5" x14ac:dyDescent="0.25">
      <c r="A22" s="209"/>
      <c r="B22" s="210"/>
    </row>
    <row r="23" spans="1:5" x14ac:dyDescent="0.25">
      <c r="A23" s="260" t="s">
        <v>313</v>
      </c>
      <c r="B23" s="210"/>
    </row>
    <row r="24" spans="1:5" ht="15.75" thickBot="1" x14ac:dyDescent="0.3">
      <c r="A24" s="212" t="s">
        <v>1</v>
      </c>
      <c r="B24" s="213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zoomScale="60" zoomScaleNormal="60" workbookViewId="0">
      <selection activeCell="T57" sqref="T57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384" width="9.140625" style="1"/>
  </cols>
  <sheetData>
    <row r="1" spans="1:17" ht="15" customHeight="1" x14ac:dyDescent="0.25">
      <c r="A1" s="257" t="s">
        <v>306</v>
      </c>
      <c r="B1" s="256"/>
      <c r="C1" s="339" t="s">
        <v>305</v>
      </c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</row>
    <row r="2" spans="1:17" ht="15" customHeight="1" x14ac:dyDescent="0.25">
      <c r="A2" s="256"/>
      <c r="B2" s="256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</row>
    <row r="3" spans="1:17" x14ac:dyDescent="0.25">
      <c r="A3" s="75"/>
    </row>
    <row r="123" spans="3:3" x14ac:dyDescent="0.25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5" sqref="C5:D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3" t="s">
        <v>281</v>
      </c>
      <c r="B1" s="75" t="s">
        <v>307</v>
      </c>
    </row>
    <row r="2" spans="1:18" ht="42.95" customHeight="1" x14ac:dyDescent="0.25">
      <c r="A2" s="228" t="s">
        <v>291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314</v>
      </c>
      <c r="K2" s="6"/>
      <c r="L2" s="6"/>
      <c r="M2" s="6"/>
      <c r="N2" s="6"/>
      <c r="O2" s="6"/>
      <c r="P2" s="6"/>
    </row>
    <row r="3" spans="1:18" x14ac:dyDescent="0.25">
      <c r="A3" s="2" t="s">
        <v>270</v>
      </c>
      <c r="B3" s="2" t="s">
        <v>272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271</v>
      </c>
      <c r="B4" s="2" t="s">
        <v>273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4" t="s">
        <v>276</v>
      </c>
      <c r="C5" s="9">
        <f>5600*11</f>
        <v>61600</v>
      </c>
      <c r="D5" s="9">
        <f>C5+11*5600</f>
        <v>123200</v>
      </c>
      <c r="E5" s="9" t="s">
        <v>277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2338036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2276436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623500</v>
      </c>
      <c r="N7" s="18">
        <f t="shared" si="2"/>
        <v>0</v>
      </c>
      <c r="O7" s="18">
        <f t="shared" si="2"/>
        <v>0</v>
      </c>
      <c r="P7" s="18">
        <f t="shared" si="2"/>
        <v>685100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61"/>
      <c r="J22" s="262" t="s">
        <v>308</v>
      </c>
      <c r="K22" s="262"/>
      <c r="L22" s="262"/>
      <c r="M22" s="262"/>
      <c r="N22" s="262"/>
      <c r="O22" s="262"/>
      <c r="P22" s="262"/>
      <c r="Q22" s="261"/>
      <c r="R22" s="261"/>
    </row>
    <row r="23" spans="1:18" hidden="1" x14ac:dyDescent="0.25">
      <c r="D23" s="15"/>
      <c r="E23" s="15"/>
      <c r="F23" s="15"/>
      <c r="G23" s="15"/>
      <c r="I23" s="263" t="s">
        <v>176</v>
      </c>
      <c r="J23" s="264">
        <f>År1</f>
        <v>2019</v>
      </c>
      <c r="K23" s="264">
        <f>År1</f>
        <v>2019</v>
      </c>
      <c r="L23" s="264">
        <f>År1</f>
        <v>2019</v>
      </c>
      <c r="M23" s="264">
        <f>År2</f>
        <v>2030</v>
      </c>
      <c r="N23" s="264">
        <f>År2</f>
        <v>2030</v>
      </c>
      <c r="O23" s="264">
        <f>År2</f>
        <v>2030</v>
      </c>
      <c r="P23" s="264">
        <f>År3</f>
        <v>2050</v>
      </c>
      <c r="Q23" s="264">
        <f>År3</f>
        <v>2050</v>
      </c>
      <c r="R23" s="264">
        <f>År3</f>
        <v>2050</v>
      </c>
    </row>
    <row r="24" spans="1:18" hidden="1" x14ac:dyDescent="0.25">
      <c r="D24" s="15"/>
      <c r="E24" s="15"/>
      <c r="F24" s="15"/>
      <c r="G24" s="15"/>
      <c r="I24" s="263"/>
      <c r="J24" s="264" t="str">
        <f>Jordbund1</f>
        <v>JB1-10</v>
      </c>
      <c r="K24" s="264" t="str">
        <f>Organ6</f>
        <v>OC6</v>
      </c>
      <c r="L24" s="264" t="str">
        <f>Organ12</f>
        <v>OC12</v>
      </c>
      <c r="M24" s="264" t="str">
        <f>Jordbund1</f>
        <v>JB1-10</v>
      </c>
      <c r="N24" s="264" t="str">
        <f>Organ6</f>
        <v>OC6</v>
      </c>
      <c r="O24" s="264" t="str">
        <f>Organ12</f>
        <v>OC12</v>
      </c>
      <c r="P24" s="264" t="str">
        <f>Jordbund1</f>
        <v>JB1-10</v>
      </c>
      <c r="Q24" s="264" t="str">
        <f>Organ6</f>
        <v>OC6</v>
      </c>
      <c r="R24" s="264" t="str">
        <f>Organ12</f>
        <v>OC12</v>
      </c>
    </row>
    <row r="25" spans="1:18" hidden="1" x14ac:dyDescent="0.25">
      <c r="D25" s="15"/>
      <c r="E25" s="15"/>
      <c r="F25" s="15"/>
      <c r="G25" s="15"/>
      <c r="I25" s="265" t="str">
        <f>Bebyg</f>
        <v>Bebyggelse &amp; infrastruktur</v>
      </c>
      <c r="J25" s="271">
        <f>SUMIF([1]Arealanvendelse!$B$15:$B$22,I25,[1]Arealanvendelse!$D$15:$D$22)-SUM(K25:L25)</f>
        <v>412730</v>
      </c>
      <c r="K25" s="271"/>
      <c r="L25" s="271"/>
      <c r="M25" s="274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4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4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4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4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4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5" t="str">
        <f>Afgrøder</f>
        <v>Landbrugsafgrøder</v>
      </c>
      <c r="J26" s="271">
        <f>SUMIF([1]Arealanvendelse!$B$15:$B$22,I26,[1]Arealanvendelse!$D$15:$D$22)-SUM(K26:L26)</f>
        <v>1847465.5978301479</v>
      </c>
      <c r="K26" s="271">
        <f>[1]Jordbundstypefordeling!$D$16*[1]Jordbundstypefordeling!$F$4</f>
        <v>90723.841613092387</v>
      </c>
      <c r="L26" s="271">
        <f>[1]Jordbundstypefordeling!$D$15*[1]Jordbundstypefordeling!$F$4</f>
        <v>70620.560556759505</v>
      </c>
      <c r="M26" s="274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1791858.8572342743</v>
      </c>
      <c r="N26" s="274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4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4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1736252.1166384006</v>
      </c>
      <c r="Q26" s="274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4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5" t="str">
        <f>SkovAreal</f>
        <v>Skov</v>
      </c>
      <c r="J27" s="271">
        <f>SUMIF([1]Arealanvendelse!$B$15:$B$22,I27,[1]Arealanvendelse!$D$15:$D$22)-SUM(K27:L27)</f>
        <v>434670</v>
      </c>
      <c r="K27" s="271"/>
      <c r="L27" s="271"/>
      <c r="M27" s="274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490276.74059587362</v>
      </c>
      <c r="N27" s="274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4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4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545883.48119174724</v>
      </c>
      <c r="Q27" s="274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4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5" t="str">
        <f>NaturAreal</f>
        <v>Natur</v>
      </c>
      <c r="J28" s="271">
        <f>SUMIF([1]Arealanvendelse!$B$15:$B$22,I28,[1]Arealanvendelse!$D$15:$D$22)-SUM(K28:L28)</f>
        <v>288846.71526402031</v>
      </c>
      <c r="K28" s="271">
        <f>([1]Jordbundstypefordeling!$E$16-[1]Jordbundstypefordeling!$D$16)*SUM([1]Jordbundstypefordeling!$D$3:$D$5)</f>
        <v>55514.664499432409</v>
      </c>
      <c r="L28" s="271">
        <f>([1]Jordbundstypefordeling!$E$15-[1]Jordbundstypefordeling!$D$15)*SUM([1]Jordbundstypefordeling!D3:D5)</f>
        <v>45828.620236547278</v>
      </c>
      <c r="M28" s="274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4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4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4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4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4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6" t="str">
        <f>IKareal</f>
        <v>Ikke klassificeret</v>
      </c>
      <c r="J29" s="272">
        <f>SUMIF([1]Arealanvendelse!$B$15:$B$22,I29,[1]Arealanvendelse!$D$15:$D$22)-SUM(K29:L29)</f>
        <v>46640</v>
      </c>
      <c r="K29" s="272"/>
      <c r="L29" s="272"/>
      <c r="M29" s="275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5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5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5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5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5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7" t="s">
        <v>30</v>
      </c>
      <c r="J30" s="273">
        <f t="shared" ref="J30:R30" si="6">SUM(J25:J29)</f>
        <v>3030352.3130941684</v>
      </c>
      <c r="K30" s="273">
        <f t="shared" si="6"/>
        <v>146238.5061125248</v>
      </c>
      <c r="L30" s="273">
        <f t="shared" si="6"/>
        <v>116449.18079330679</v>
      </c>
      <c r="M30" s="276">
        <f t="shared" si="6"/>
        <v>3030352.313094168</v>
      </c>
      <c r="N30" s="276">
        <f t="shared" si="6"/>
        <v>146238.5061125248</v>
      </c>
      <c r="O30" s="276">
        <f t="shared" si="6"/>
        <v>116449.18079330679</v>
      </c>
      <c r="P30" s="276">
        <f t="shared" si="6"/>
        <v>3030352.3130941684</v>
      </c>
      <c r="Q30" s="276">
        <f t="shared" si="6"/>
        <v>146238.5061125248</v>
      </c>
      <c r="R30" s="276">
        <f t="shared" si="6"/>
        <v>116449.18079330679</v>
      </c>
    </row>
    <row r="31" spans="1:18" hidden="1" x14ac:dyDescent="0.25">
      <c r="I31" s="268"/>
      <c r="J31" s="269"/>
      <c r="K31" s="269"/>
      <c r="L31" s="269"/>
      <c r="M31" s="270"/>
      <c r="N31" s="269"/>
      <c r="O31" s="269"/>
      <c r="P31" s="269"/>
      <c r="Q31" s="269"/>
      <c r="R31" s="269"/>
    </row>
    <row r="32" spans="1:18" hidden="1" x14ac:dyDescent="0.25">
      <c r="I32" s="268"/>
      <c r="J32" s="262" t="s">
        <v>309</v>
      </c>
      <c r="K32" s="262"/>
      <c r="L32" s="262"/>
      <c r="M32" s="262"/>
      <c r="N32" s="262"/>
      <c r="O32" s="262"/>
      <c r="P32" s="262"/>
      <c r="Q32" s="262"/>
      <c r="R32" s="262"/>
    </row>
    <row r="33" spans="9:18" hidden="1" x14ac:dyDescent="0.25">
      <c r="I33" s="263" t="s">
        <v>176</v>
      </c>
      <c r="J33" s="264">
        <f>År1</f>
        <v>2019</v>
      </c>
      <c r="K33" s="264">
        <f>År1</f>
        <v>2019</v>
      </c>
      <c r="L33" s="264">
        <f>År1</f>
        <v>2019</v>
      </c>
      <c r="M33" s="264">
        <v>2030</v>
      </c>
      <c r="N33" s="264">
        <v>2030</v>
      </c>
      <c r="O33" s="264">
        <v>2030</v>
      </c>
      <c r="P33" s="264">
        <f>År3</f>
        <v>2050</v>
      </c>
      <c r="Q33" s="264">
        <f>År3</f>
        <v>2050</v>
      </c>
      <c r="R33" s="264">
        <f>År3</f>
        <v>2050</v>
      </c>
    </row>
    <row r="34" spans="9:18" hidden="1" x14ac:dyDescent="0.25">
      <c r="I34" s="263"/>
      <c r="J34" s="264" t="str">
        <f>Jordbund1</f>
        <v>JB1-10</v>
      </c>
      <c r="K34" s="264" t="str">
        <f>Organ6</f>
        <v>OC6</v>
      </c>
      <c r="L34" s="264" t="str">
        <f>Organ12</f>
        <v>OC12</v>
      </c>
      <c r="M34" s="264" t="str">
        <f>Jordbund1</f>
        <v>JB1-10</v>
      </c>
      <c r="N34" s="264" t="str">
        <f>Organ6</f>
        <v>OC6</v>
      </c>
      <c r="O34" s="264" t="str">
        <f>Organ12</f>
        <v>OC12</v>
      </c>
      <c r="P34" s="264" t="str">
        <f>Jordbund1</f>
        <v>JB1-10</v>
      </c>
      <c r="Q34" s="264" t="str">
        <f>Organ6</f>
        <v>OC6</v>
      </c>
      <c r="R34" s="264" t="str">
        <f>Organ12</f>
        <v>OC12</v>
      </c>
    </row>
    <row r="35" spans="9:18" hidden="1" x14ac:dyDescent="0.25">
      <c r="I35" s="265" t="str">
        <f>Bebyg</f>
        <v>Bebyggelse &amp; infrastruktur</v>
      </c>
      <c r="J35" s="271">
        <f>SUMIF([1]Arealanvendelse!$B$15:$B$22,I35,[1]Arealanvendelse!$E$15:$E$22)-SUM(K35:L35)</f>
        <v>178500</v>
      </c>
      <c r="K35" s="271"/>
      <c r="L35" s="271"/>
      <c r="M35" s="274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4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4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4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4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4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5" t="str">
        <f>Afgrøder</f>
        <v>Landbrugsafgrøder</v>
      </c>
      <c r="J36" s="271">
        <f>SUMIF([1]Arealanvendelse!$B$15:$B$22,I36,[1]Arealanvendelse!$E$15:$E$22)-SUM(K36:L36)</f>
        <v>552170.40216985194</v>
      </c>
      <c r="K36" s="271">
        <f>[1]Jordbundstypefordeling!$D$16*[1]Jordbundstypefordeling!$G$4</f>
        <v>9778.158386907593</v>
      </c>
      <c r="L36" s="271">
        <f>[1]Jordbundstypefordeling!$D$15*[1]Jordbundstypefordeling!$G$4</f>
        <v>7611.4394432404806</v>
      </c>
      <c r="M36" s="274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546177.14276572561</v>
      </c>
      <c r="N36" s="274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4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4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540183.88336159918</v>
      </c>
      <c r="Q36" s="274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4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5" t="str">
        <f>SkovAreal</f>
        <v>Skov</v>
      </c>
      <c r="J37" s="271">
        <f>SUMIF([1]Arealanvendelse!$B$15:$B$22,I37,[1]Arealanvendelse!$E$15:$E$22)-SUM(K37:L37)</f>
        <v>127230</v>
      </c>
      <c r="K37" s="271"/>
      <c r="L37" s="271"/>
      <c r="M37" s="274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133223.25940412635</v>
      </c>
      <c r="N37" s="274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4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4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139216.51880825273</v>
      </c>
      <c r="Q37" s="274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4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5" t="str">
        <f>NaturAreal</f>
        <v>Natur</v>
      </c>
      <c r="J38" s="271">
        <f>SUMIF([1]Arealanvendelse!$B$15:$B$22,I38,[1]Arealanvendelse!$E$15:$E$22)-SUM(K38:L38)</f>
        <v>71807.284735979716</v>
      </c>
      <c r="K38" s="271">
        <f>([1]Jordbundstypefordeling!$E$16-[1]Jordbundstypefordeling!$D$16)*[1]Jordbundstypefordeling!$G$4</f>
        <v>5983.3355005675821</v>
      </c>
      <c r="L38" s="271">
        <f>([1]Jordbundstypefordeling!$E$15-[1]Jordbundstypefordeling!$D$15)*[1]Jordbundstypefordeling!$G$4</f>
        <v>4939.3797634527136</v>
      </c>
      <c r="M38" s="274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4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4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4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4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4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6" t="str">
        <f>IKareal</f>
        <v>Ikke klassificeret</v>
      </c>
      <c r="J39" s="272">
        <f>SUMIF([1]Arealanvendelse!$B$15:$B$22,I39,[1]Arealanvendelse!$E$15:$E$22)-SUM(K39:L39)</f>
        <v>19220</v>
      </c>
      <c r="K39" s="272"/>
      <c r="L39" s="272"/>
      <c r="M39" s="275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5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5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5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5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5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7" t="s">
        <v>30</v>
      </c>
      <c r="J40" s="273">
        <f t="shared" ref="J40:R40" si="7">SUM(J35:J39)</f>
        <v>948927.68690583168</v>
      </c>
      <c r="K40" s="273">
        <f t="shared" si="7"/>
        <v>15761.493887475175</v>
      </c>
      <c r="L40" s="273">
        <f t="shared" si="7"/>
        <v>12550.819206693195</v>
      </c>
      <c r="M40" s="276">
        <f t="shared" si="7"/>
        <v>948927.68690583168</v>
      </c>
      <c r="N40" s="276">
        <f t="shared" si="7"/>
        <v>15761.493887475175</v>
      </c>
      <c r="O40" s="276">
        <f t="shared" si="7"/>
        <v>12550.819206693195</v>
      </c>
      <c r="P40" s="276">
        <f t="shared" si="7"/>
        <v>948927.68690583168</v>
      </c>
      <c r="Q40" s="276">
        <f t="shared" si="7"/>
        <v>15761.493887475175</v>
      </c>
      <c r="R40" s="276">
        <f t="shared" si="7"/>
        <v>12550.819206693195</v>
      </c>
    </row>
    <row r="41" spans="9:18" hidden="1" x14ac:dyDescent="0.25"/>
  </sheetData>
  <conditionalFormatting sqref="J5:R9">
    <cfRule type="cellIs" dxfId="18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E11" sqref="E11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2" t="s">
        <v>281</v>
      </c>
    </row>
    <row r="2" spans="1:9" ht="15.75" x14ac:dyDescent="0.25">
      <c r="A2" s="229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0.8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0.8</v>
      </c>
      <c r="G12" s="12"/>
      <c r="I12" s="1"/>
    </row>
    <row r="13" spans="1:9" x14ac:dyDescent="0.25">
      <c r="B13" s="2" t="s">
        <v>4</v>
      </c>
      <c r="C13" s="7">
        <v>1</v>
      </c>
      <c r="D13" s="3">
        <v>0.8</v>
      </c>
      <c r="E13" s="3">
        <v>0.8</v>
      </c>
      <c r="G13" s="12"/>
      <c r="H13" s="14"/>
      <c r="I13" s="1"/>
    </row>
    <row r="14" spans="1:9" x14ac:dyDescent="0.25">
      <c r="B14" s="12"/>
      <c r="C14" s="315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85</v>
      </c>
      <c r="C17" s="87">
        <v>0.59345000000000003</v>
      </c>
      <c r="D17" s="3">
        <f>C17+15%</f>
        <v>0.74345000000000006</v>
      </c>
      <c r="E17" s="3">
        <f>D17</f>
        <v>0.74345000000000006</v>
      </c>
      <c r="F17" s="12" t="s">
        <v>274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1.1499999999999999</v>
      </c>
      <c r="F18" s="12"/>
      <c r="G18" s="182"/>
    </row>
    <row r="20" spans="2:11" x14ac:dyDescent="0.25">
      <c r="B20" s="342" t="s">
        <v>334</v>
      </c>
      <c r="C20" s="25"/>
      <c r="D20" s="25"/>
      <c r="E20" s="25"/>
      <c r="F20" s="12"/>
      <c r="I20" s="1"/>
    </row>
    <row r="21" spans="2:11" ht="29.45" customHeight="1" x14ac:dyDescent="0.25">
      <c r="B21" s="342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32" t="str">
        <f>CONCATENATE("Omlægning til permanent græs, ", Organ6,", hektar")</f>
        <v>Omlægning til permanent græs, OC6, hektar</v>
      </c>
      <c r="C24" s="333"/>
      <c r="D24" s="10">
        <f>D22*Arealanvendelse!N6-C22*Arealanvendelse!N6</f>
        <v>29217.064803275283</v>
      </c>
      <c r="E24" s="10">
        <f>E22*Arealanvendelse!Q6-C22*Arealanvendelse!Q6</f>
        <v>29217.064803275283</v>
      </c>
      <c r="F24" s="12"/>
      <c r="I24" s="1"/>
    </row>
    <row r="25" spans="2:11" x14ac:dyDescent="0.25">
      <c r="B25" s="332" t="str">
        <f>CONCATENATE("Omlægning til permanent græs, ", Organ12, ", hektar")</f>
        <v>Omlægning til permanent græs, OC12, hektar</v>
      </c>
      <c r="C25" s="333"/>
      <c r="D25" s="10">
        <f>D23*Arealanvendelse!O6-C23*Arealanvendelse!O6</f>
        <v>16321.747821639816</v>
      </c>
      <c r="E25" s="10">
        <f>E23*Arealanvendelse!R6-C23*Arealanvendelse!R6</f>
        <v>16321.747821639816</v>
      </c>
      <c r="F25" s="12"/>
      <c r="G25" s="118"/>
      <c r="I25" s="1"/>
    </row>
    <row r="26" spans="2:11" x14ac:dyDescent="0.25">
      <c r="B26" s="332" t="str">
        <f>CONCATENATE("Antal hektar som 1% svarer til, ", Organ6)</f>
        <v>Antal hektar som 1% svarer til, OC6</v>
      </c>
      <c r="C26" s="333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4" t="str">
        <f>CONCATENATE("Antal hektar som 1% svarer til, ", Organ12)</f>
        <v>Antal hektar som 1% svarer til, OC12</v>
      </c>
      <c r="C27" s="335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7" t="s">
        <v>269</v>
      </c>
      <c r="C28" s="238"/>
      <c r="D28" s="236">
        <f>SUM(D24:D25)</f>
        <v>45538.812624915096</v>
      </c>
      <c r="E28" s="236">
        <f>SUM(E24:E25)</f>
        <v>45538.812624915096</v>
      </c>
      <c r="F28" s="331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0" t="s">
        <v>333</v>
      </c>
      <c r="C30" s="25"/>
      <c r="D30" s="25"/>
      <c r="E30" s="25"/>
      <c r="K30" s="12"/>
    </row>
    <row r="31" spans="2:11" x14ac:dyDescent="0.25">
      <c r="B31" s="341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8">
        <f>'[1]Afgrødefordeling - jordtype'!$Y4</f>
        <v>0.53753334285647836</v>
      </c>
      <c r="D32" s="90">
        <f>C32-13.5%</f>
        <v>0.40253334285647835</v>
      </c>
      <c r="E32" s="90">
        <f>D32</f>
        <v>0.40253334285647835</v>
      </c>
      <c r="K32" s="12"/>
    </row>
    <row r="33" spans="2:11" x14ac:dyDescent="0.25">
      <c r="B33" s="2" t="str">
        <f>[1]Afgrødefordeling!$C3</f>
        <v>Bælgsæd</v>
      </c>
      <c r="C33" s="328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8">
        <f>'[1]Afgrødefordeling - jordtype'!$Y6</f>
        <v>6.5329688585482673E-2</v>
      </c>
      <c r="D34" s="90">
        <f>C34-2%</f>
        <v>4.5329688585482669E-2</v>
      </c>
      <c r="E34" s="90">
        <f t="shared" si="1"/>
        <v>4.5329688585482669E-2</v>
      </c>
      <c r="K34" s="12"/>
    </row>
    <row r="35" spans="2:11" x14ac:dyDescent="0.25">
      <c r="B35" s="2" t="str">
        <f>[1]Afgrødefordeling!$C5</f>
        <v>Græs</v>
      </c>
      <c r="C35" s="328">
        <f>'[1]Afgrødefordeling - jordtype'!$Y7</f>
        <v>0.10115967422642448</v>
      </c>
      <c r="D35" s="90">
        <v>0.251</v>
      </c>
      <c r="E35" s="90">
        <f t="shared" si="1"/>
        <v>0.251</v>
      </c>
      <c r="K35" s="12"/>
    </row>
    <row r="36" spans="2:11" x14ac:dyDescent="0.25">
      <c r="B36" s="2" t="str">
        <f>[1]Afgrødefordeling!$C6</f>
        <v>Grøntsager</v>
      </c>
      <c r="C36" s="328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8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8">
        <f>'[1]Afgrødefordeling - jordtype'!$Y10</f>
        <v>1.3466912404096722E-2</v>
      </c>
      <c r="D38" s="90">
        <f>C38+2%</f>
        <v>3.3466912404096723E-2</v>
      </c>
      <c r="E38" s="90">
        <f t="shared" si="1"/>
        <v>3.3466912404096723E-2</v>
      </c>
      <c r="K38" s="12"/>
    </row>
    <row r="39" spans="2:11" x14ac:dyDescent="0.25">
      <c r="B39" s="2" t="str">
        <f>[1]Afgrødefordeling!$C9</f>
        <v>Majs</v>
      </c>
      <c r="C39" s="328">
        <f>'[1]Afgrødefordeling - jordtype'!$Y11</f>
        <v>7.2759287296729286E-2</v>
      </c>
      <c r="D39" s="90">
        <f>C39-0.5%</f>
        <v>6.7759287296729281E-2</v>
      </c>
      <c r="E39" s="90">
        <f t="shared" si="1"/>
        <v>6.7759287296729281E-2</v>
      </c>
      <c r="K39" s="12"/>
    </row>
    <row r="40" spans="2:11" x14ac:dyDescent="0.25">
      <c r="B40" s="2" t="str">
        <f>[1]Afgrødefordeling!$C10</f>
        <v>Frugt</v>
      </c>
      <c r="C40" s="328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8">
        <f>'[1]Afgrødefordeling - jordtype'!$Y13</f>
        <v>2.7968670218625629E-2</v>
      </c>
      <c r="D41" s="90">
        <f>C41-1%</f>
        <v>1.7968670218625631E-2</v>
      </c>
      <c r="E41" s="90">
        <f t="shared" si="1"/>
        <v>1.7968670218625631E-2</v>
      </c>
      <c r="K41" s="12"/>
    </row>
    <row r="42" spans="2:11" x14ac:dyDescent="0.25">
      <c r="B42" s="2" t="str">
        <f>[1]Afgrødefordeling!$C12</f>
        <v>Frø</v>
      </c>
      <c r="C42" s="328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8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8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8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298</v>
      </c>
      <c r="C46" s="87"/>
      <c r="D46" s="89">
        <f>SUM(D32:D45)</f>
        <v>0.9998403257735754</v>
      </c>
      <c r="E46" s="89">
        <f>SUM(E32:E45)</f>
        <v>0.9998403257735754</v>
      </c>
      <c r="K46" s="12"/>
    </row>
    <row r="47" spans="2:11" x14ac:dyDescent="0.25">
      <c r="B47" s="25" t="s">
        <v>246</v>
      </c>
      <c r="C47" s="87"/>
      <c r="D47" s="115" cm="1">
        <f t="array" ref="D47">SUMPRODUCT((D32:D45&gt;$C$32:$C$45)*(D32:D45-$C$32:$C$45))*Arealanvendelse!M6</f>
        <v>397092.79591034743</v>
      </c>
      <c r="E47" s="115" cm="1">
        <f t="array" ref="E47">SUMPRODUCT((E32:E45&gt;$C$32:$C$45)*(E32:E45-$C$32:$C$45))*Arealanvendelse!P6</f>
        <v>386630.63184269518</v>
      </c>
      <c r="K47" s="12"/>
    </row>
    <row r="48" spans="2:11" x14ac:dyDescent="0.25">
      <c r="B48" s="25" t="s">
        <v>245</v>
      </c>
      <c r="C48" s="109"/>
      <c r="D48" s="115">
        <f>1%*Arealanvendelse!M6</f>
        <v>23380.36</v>
      </c>
      <c r="E48" s="115">
        <f>1%*Arealanvendelse!P6</f>
        <v>22764.36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4">
        <f>C51</f>
        <v>6.475478040220463E-3</v>
      </c>
      <c r="E51" s="214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14" sqref="E14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2" t="s">
        <v>281</v>
      </c>
    </row>
    <row r="2" spans="1:9" ht="15.75" thickBot="1" x14ac:dyDescent="0.3">
      <c r="A2" s="317"/>
      <c r="B2" s="317"/>
      <c r="C2" s="317">
        <f>År1</f>
        <v>2019</v>
      </c>
      <c r="D2" s="317">
        <f>År2</f>
        <v>2030</v>
      </c>
      <c r="E2" s="317">
        <f>År3</f>
        <v>2050</v>
      </c>
      <c r="F2" s="317" t="s">
        <v>324</v>
      </c>
    </row>
    <row r="3" spans="1:9" x14ac:dyDescent="0.25">
      <c r="A3" s="318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6">
        <f>C3</f>
        <v>0.39994582515067378</v>
      </c>
      <c r="E3" s="316">
        <f>D3</f>
        <v>0.39994582515067378</v>
      </c>
      <c r="I3" s="246"/>
    </row>
    <row r="4" spans="1:9" x14ac:dyDescent="0.25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6">
        <f t="shared" ref="D4:E17" si="0">C4</f>
        <v>1.1105844111871065E-2</v>
      </c>
      <c r="E4" s="316">
        <f t="shared" si="0"/>
        <v>1.1105844111871065E-2</v>
      </c>
      <c r="I4" s="246"/>
    </row>
    <row r="5" spans="1:9" x14ac:dyDescent="0.25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6">
        <f t="shared" si="0"/>
        <v>0</v>
      </c>
      <c r="E5" s="316">
        <f t="shared" si="0"/>
        <v>0</v>
      </c>
      <c r="I5" s="246"/>
    </row>
    <row r="6" spans="1:9" x14ac:dyDescent="0.25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6">
        <f t="shared" si="0"/>
        <v>5.2820478093045303E-3</v>
      </c>
      <c r="E6" s="316">
        <f t="shared" si="0"/>
        <v>5.2820478093045303E-3</v>
      </c>
      <c r="I6" s="246"/>
    </row>
    <row r="7" spans="1:9" x14ac:dyDescent="0.25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6">
        <f t="shared" si="0"/>
        <v>9.683754317058306E-3</v>
      </c>
      <c r="E7" s="316">
        <f t="shared" si="0"/>
        <v>9.683754317058306E-3</v>
      </c>
      <c r="I7" s="246"/>
    </row>
    <row r="8" spans="1:9" x14ac:dyDescent="0.25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6">
        <f t="shared" si="0"/>
        <v>0.1132931536534164</v>
      </c>
      <c r="E8" s="316">
        <f t="shared" si="0"/>
        <v>0.1132931536534164</v>
      </c>
      <c r="I8" s="246"/>
    </row>
    <row r="9" spans="1:9" x14ac:dyDescent="0.25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6">
        <f t="shared" si="0"/>
        <v>1.6320173359517843E-2</v>
      </c>
      <c r="E9" s="316">
        <f t="shared" si="0"/>
        <v>1.6320173359517843E-2</v>
      </c>
      <c r="I9" s="246"/>
    </row>
    <row r="10" spans="1:9" x14ac:dyDescent="0.25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6">
        <f t="shared" si="0"/>
        <v>0</v>
      </c>
      <c r="E10" s="316">
        <f t="shared" si="0"/>
        <v>0</v>
      </c>
      <c r="I10" s="246"/>
    </row>
    <row r="11" spans="1:9" x14ac:dyDescent="0.25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6">
        <f t="shared" si="0"/>
        <v>0</v>
      </c>
      <c r="E11" s="316">
        <f t="shared" si="0"/>
        <v>0</v>
      </c>
      <c r="I11" s="246"/>
    </row>
    <row r="12" spans="1:9" x14ac:dyDescent="0.25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6">
        <f t="shared" si="0"/>
        <v>0.15385657208640888</v>
      </c>
      <c r="E12" s="316">
        <f t="shared" si="0"/>
        <v>0.15385657208640888</v>
      </c>
    </row>
    <row r="13" spans="1:9" x14ac:dyDescent="0.25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6">
        <f t="shared" si="0"/>
        <v>1.1038125550213313E-2</v>
      </c>
      <c r="E13" s="316">
        <f t="shared" si="0"/>
        <v>1.1038125550213313E-2</v>
      </c>
    </row>
    <row r="14" spans="1:9" x14ac:dyDescent="0.25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data'!$H$430,4)</f>
        <v>0</v>
      </c>
      <c r="E14" s="119">
        <f>ROUND('[1]Processer - data'!J$469/'[1]Processer - data'!J$468*E15*'[1]Processer - data'!$H$429/'[1]Processer - data'!$H$430,4)</f>
        <v>0</v>
      </c>
      <c r="F14" s="1" t="s">
        <v>325</v>
      </c>
    </row>
    <row r="15" spans="1:9" x14ac:dyDescent="0.25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6">
        <f>C15</f>
        <v>0</v>
      </c>
      <c r="E15" s="316">
        <f t="shared" si="0"/>
        <v>0</v>
      </c>
    </row>
    <row r="16" spans="1:9" x14ac:dyDescent="0.25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6">
        <f t="shared" si="0"/>
        <v>8.1939459605877979E-3</v>
      </c>
      <c r="E16" s="316">
        <f t="shared" si="0"/>
        <v>8.1939459605877979E-3</v>
      </c>
    </row>
    <row r="17" spans="1:6" ht="15.75" thickBot="1" x14ac:dyDescent="0.3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6">
        <f t="shared" si="0"/>
        <v>0.27128055800094808</v>
      </c>
      <c r="E17" s="316">
        <f t="shared" si="0"/>
        <v>0.27128055800094808</v>
      </c>
      <c r="F17" s="317"/>
    </row>
    <row r="18" spans="1:6" ht="15.75" thickBot="1" x14ac:dyDescent="0.3">
      <c r="A18" s="247" t="s">
        <v>30</v>
      </c>
      <c r="B18" s="247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20" t="s">
        <v>326</v>
      </c>
    </row>
  </sheetData>
  <conditionalFormatting sqref="C18:E18">
    <cfRule type="cellIs" dxfId="17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M53"/>
  <sheetViews>
    <sheetView zoomScale="85" zoomScaleNormal="85" workbookViewId="0">
      <selection activeCell="C15" sqref="C15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31" t="s">
        <v>281</v>
      </c>
    </row>
    <row r="2" spans="1:4" x14ac:dyDescent="0.25">
      <c r="A2" s="103" t="s">
        <v>251</v>
      </c>
    </row>
    <row r="3" spans="1:4" x14ac:dyDescent="0.25">
      <c r="A3" s="6" t="s">
        <v>184</v>
      </c>
      <c r="B3" s="1" t="s">
        <v>171</v>
      </c>
    </row>
    <row r="4" spans="1:4" x14ac:dyDescent="0.25">
      <c r="A4" s="6" t="s">
        <v>178</v>
      </c>
      <c r="B4" s="1" t="s">
        <v>172</v>
      </c>
    </row>
    <row r="5" spans="1:4" x14ac:dyDescent="0.25">
      <c r="A5" s="6" t="s">
        <v>179</v>
      </c>
      <c r="B5" s="1" t="s">
        <v>173</v>
      </c>
    </row>
    <row r="6" spans="1:4" x14ac:dyDescent="0.25">
      <c r="A6" s="6" t="s">
        <v>180</v>
      </c>
      <c r="B6" s="1" t="s">
        <v>188</v>
      </c>
    </row>
    <row r="7" spans="1:4" x14ac:dyDescent="0.25">
      <c r="A7" s="6" t="s">
        <v>181</v>
      </c>
      <c r="B7" s="1" t="s">
        <v>189</v>
      </c>
    </row>
    <row r="8" spans="1:4" x14ac:dyDescent="0.25">
      <c r="A8" s="6" t="s">
        <v>182</v>
      </c>
      <c r="B8" s="1" t="s">
        <v>190</v>
      </c>
    </row>
    <row r="9" spans="1:4" x14ac:dyDescent="0.25">
      <c r="A9" s="2" t="s">
        <v>290</v>
      </c>
      <c r="B9" s="2"/>
      <c r="C9" s="21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289</v>
      </c>
      <c r="B11" s="2"/>
      <c r="C11" s="2"/>
      <c r="D11" s="2"/>
    </row>
    <row r="12" spans="1:4" x14ac:dyDescent="0.25">
      <c r="A12" s="2" t="s">
        <v>185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178</v>
      </c>
      <c r="B13" s="7">
        <v>0</v>
      </c>
      <c r="C13" s="8">
        <v>0</v>
      </c>
      <c r="D13" s="8">
        <v>0</v>
      </c>
    </row>
    <row r="14" spans="1:4" x14ac:dyDescent="0.25">
      <c r="A14" s="2" t="s">
        <v>179</v>
      </c>
      <c r="B14" s="7">
        <v>0</v>
      </c>
      <c r="C14" s="8">
        <v>1</v>
      </c>
      <c r="D14" s="8">
        <v>1</v>
      </c>
    </row>
    <row r="15" spans="1:4" x14ac:dyDescent="0.25">
      <c r="A15" s="2" t="s">
        <v>180</v>
      </c>
      <c r="B15" s="7">
        <v>0</v>
      </c>
      <c r="C15" s="8">
        <v>0</v>
      </c>
      <c r="D15" s="8">
        <v>0</v>
      </c>
    </row>
    <row r="16" spans="1:4" x14ac:dyDescent="0.25">
      <c r="A16" s="2" t="s">
        <v>181</v>
      </c>
      <c r="B16" s="7">
        <v>0</v>
      </c>
      <c r="C16" s="8">
        <v>0</v>
      </c>
      <c r="D16" s="8">
        <v>0</v>
      </c>
    </row>
    <row r="17" spans="1:13" x14ac:dyDescent="0.25">
      <c r="A17" s="2" t="s">
        <v>182</v>
      </c>
      <c r="B17" s="7">
        <v>0</v>
      </c>
      <c r="C17" s="8">
        <v>0</v>
      </c>
      <c r="D17" s="8">
        <v>0</v>
      </c>
    </row>
    <row r="18" spans="1:13" x14ac:dyDescent="0.25">
      <c r="A18" s="184" t="s">
        <v>30</v>
      </c>
      <c r="B18" s="185"/>
      <c r="C18" s="185">
        <f>SUM(C13:C17)</f>
        <v>1</v>
      </c>
      <c r="D18" s="185">
        <f>SUM(D13:D17)</f>
        <v>1</v>
      </c>
    </row>
    <row r="19" spans="1:13" x14ac:dyDescent="0.25">
      <c r="A19" s="2"/>
      <c r="B19" s="2"/>
      <c r="C19" s="2" t="s">
        <v>23</v>
      </c>
      <c r="D19" s="2" t="s">
        <v>23</v>
      </c>
      <c r="E19" s="2" t="s">
        <v>23</v>
      </c>
      <c r="F19" s="2" t="s">
        <v>24</v>
      </c>
      <c r="G19" s="2" t="s">
        <v>24</v>
      </c>
      <c r="H19" s="2" t="s">
        <v>24</v>
      </c>
    </row>
    <row r="20" spans="1:13" x14ac:dyDescent="0.25">
      <c r="A20" s="25" t="s">
        <v>186</v>
      </c>
      <c r="B20" s="186" t="s">
        <v>187</v>
      </c>
      <c r="C20" s="186">
        <f>År1</f>
        <v>2019</v>
      </c>
      <c r="D20" s="186">
        <f>År2</f>
        <v>2030</v>
      </c>
      <c r="E20" s="186">
        <f>År3</f>
        <v>2050</v>
      </c>
      <c r="F20" s="186">
        <f>År1</f>
        <v>2019</v>
      </c>
      <c r="G20" s="186">
        <f>År2</f>
        <v>2030</v>
      </c>
      <c r="H20" s="186">
        <f>År3</f>
        <v>2050</v>
      </c>
    </row>
    <row r="21" spans="1:13" x14ac:dyDescent="0.25">
      <c r="A21" s="2" t="s">
        <v>184</v>
      </c>
      <c r="B21" s="187" t="s">
        <v>183</v>
      </c>
      <c r="C21" s="109">
        <f>Arealanvendelse!J27</f>
        <v>434670</v>
      </c>
      <c r="D21" s="109">
        <f>C21*(1-$C$9)^(D20-C20)</f>
        <v>411351.94520750927</v>
      </c>
      <c r="E21" s="109">
        <f>D21*(1-$C$9)^(E20-D20)</f>
        <v>372113.28071606322</v>
      </c>
      <c r="F21" s="109">
        <f>Arealanvendelse!J37</f>
        <v>127230</v>
      </c>
      <c r="G21" s="109">
        <f>F21*(1-$C$9)^(G20-F20)</f>
        <v>120404.69318966437</v>
      </c>
      <c r="H21" s="109">
        <f>G21*(1-$C$9)^(H20-G20)</f>
        <v>108919.34733362029</v>
      </c>
    </row>
    <row r="22" spans="1:13" x14ac:dyDescent="0.25">
      <c r="A22" s="2" t="s">
        <v>178</v>
      </c>
      <c r="B22" s="188">
        <v>10</v>
      </c>
      <c r="C22" s="109">
        <v>0</v>
      </c>
      <c r="D22" s="109">
        <f>IF(D$20-C$20+10&gt;$B22,IF(D$20-C$20&lt;=10,VLOOKUP($A22,$A$13:$D$17,MATCH(D$20,$A$12:$D$12)),VLOOKUP($A22,$A$13:$D$17,MATCH(D$20,$A$12:$D$12))/(D$20-C$20)*IF($B22=10,10,D$20-C$20-$B21)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2" s="109">
        <f>IF(E$20-D$20+10&gt;$B22,IF(E$20-D$20&lt;=10,VLOOKUP($A22,$A$13:$D$17,MATCH(E$20,$A$12:$D$12)),VLOOKUP($A22,$A$13:$D$17,MATCH(E$20,$A$12:$D$12))/(E$20-D$20)*IF($B22=10,10,E$20-D$20-$B21)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20)</f>
        <v>0</v>
      </c>
      <c r="F22" s="109">
        <v>0</v>
      </c>
      <c r="G22" s="109">
        <f>IF(G$20-F$20+10&gt;$B22,IF(G$20-F$20&lt;=10,VLOOKUP($A22,$A$13:$D$17,MATCH(G$20,$A$12:$D$12)),VLOOKUP($A22,$A$13:$D$17,MATCH(G$20,$A$12:$D$12))/(G$20-F$20)*IF($B22=10,10,G$20-F$20-$B21)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2" s="109">
        <f>IF(H$20-G$20+10&gt;$B22,IF(H$20-G$20&lt;=10,VLOOKUP($A22,$A$13:$D$17,MATCH(H$20,$A$12:$D$12)),VLOOKUP($A22,$A$13:$D$17,MATCH(H$20,$A$12:$D$12))/(H$20-G$20)*IF($B22=10,10,H$20-G$20-$B21)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20)</f>
        <v>0</v>
      </c>
    </row>
    <row r="23" spans="1:13" x14ac:dyDescent="0.25">
      <c r="A23" s="2" t="s">
        <v>178</v>
      </c>
      <c r="B23" s="188">
        <v>20</v>
      </c>
      <c r="C23" s="109">
        <v>0</v>
      </c>
      <c r="D23" s="109">
        <f>IF(D$20-C$20+10&gt;$B23,IF(D$20-C$20&lt;=10,VLOOKUP($A23,$A$13:$D$17,MATCH(D$20,$A$12:$D$12)),VLOOKUP($A23,$A$13:$D$17,MATCH(D$20,$A$12:$D$12))/(D$20-C$20)*IF($B23=10,10,D$20-C$20-$B22)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3" s="109">
        <f>IF(E$20-D$20+10&gt;$B23,IF(E$20-D$20&lt;=10,VLOOKUP($A23,$A$13:$D$17,MATCH(E$20,$A$12:$D$12)),VLOOKUP($A23,$A$13:$D$17,MATCH(E$20,$A$12:$D$12))/(E$20-D$20)*IF($B23=10,10,E$20-D$20-$B22)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21)</f>
        <v>0</v>
      </c>
      <c r="F23" s="109">
        <v>0</v>
      </c>
      <c r="G23" s="109">
        <f>IF(G$20-F$20+10&gt;$B23,IF(G$20-F$20&lt;=10,VLOOKUP($A23,$A$13:$D$17,MATCH(G$20,$A$12:$D$12)),VLOOKUP($A23,$A$13:$D$17,MATCH(G$20,$A$12:$D$12))/(G$20-F$20)*IF($B23=10,10,G$20-F$20-$B22)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3" s="109">
        <f>IF(H$20-G$20+10&gt;$B23,IF(H$20-G$20&lt;=10,VLOOKUP($A23,$A$13:$D$17,MATCH(H$20,$A$12:$D$12)),VLOOKUP($A23,$A$13:$D$17,MATCH(H$20,$A$12:$D$12))/(H$20-G$20)*IF($B23=10,10,H$20-G$20-$B22)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21)</f>
        <v>0</v>
      </c>
    </row>
    <row r="24" spans="1:13" x14ac:dyDescent="0.25">
      <c r="A24" s="2" t="s">
        <v>178</v>
      </c>
      <c r="B24" s="188">
        <v>30</v>
      </c>
      <c r="C24" s="109">
        <v>0</v>
      </c>
      <c r="D24" s="109">
        <f>IF(D$20-C$20+10&gt;$B24,IF(D$20-C$20&lt;=10,VLOOKUP($A24,$A$13:$D$17,MATCH(D$20,$A$12:$D$12)),VLOOKUP($A24,$A$13:$D$17,MATCH(D$20,$A$12:$D$12))/(D$20-C$20)*IF($B24=10,10,D$20-C$20-$B23)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4" s="109">
        <f>IF(E$20-D$20+10&gt;$B24,IF(E$20-D$20&lt;=10,VLOOKUP($A24,$A$13:$D$17,MATCH(E$20,$A$12:$D$12)),VLOOKUP($A24,$A$13:$D$17,MATCH(E$20,$A$12:$D$12))/(E$20-D$20)*IF($B24=10,10,E$20-D$20-$B23)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22)</f>
        <v>0</v>
      </c>
      <c r="F24" s="109">
        <v>0</v>
      </c>
      <c r="G24" s="109">
        <f>IF(G$20-F$20+10&gt;$B24,IF(G$20-F$20&lt;=10,VLOOKUP($A24,$A$13:$D$17,MATCH(G$20,$A$12:$D$12)),VLOOKUP($A24,$A$13:$D$17,MATCH(G$20,$A$12:$D$12))/(G$20-F$20)*IF($B24=10,10,G$20-F$20-$B23)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4" s="109">
        <f>IF(H$20-G$20+10&gt;$B24,IF(H$20-G$20&lt;=10,VLOOKUP($A24,$A$13:$D$17,MATCH(H$20,$A$12:$D$12)),VLOOKUP($A24,$A$13:$D$17,MATCH(H$20,$A$12:$D$12))/(H$20-G$20)*IF($B24=10,10,H$20-G$20-$B23)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22)</f>
        <v>0</v>
      </c>
    </row>
    <row r="25" spans="1:13" x14ac:dyDescent="0.25">
      <c r="A25" s="2" t="s">
        <v>178</v>
      </c>
      <c r="B25" s="189">
        <v>40</v>
      </c>
      <c r="C25" s="109">
        <v>0</v>
      </c>
      <c r="D25" s="109">
        <f>IF(D$20-C$20+10&gt;$B25,IF(D$20-C$20&lt;=10,VLOOKUP($A25,$A$13:$D$17,MATCH(D$20,$A$12:$D$12)),VLOOKUP($A25,$A$13:$D$17,MATCH(D$20,$A$12:$D$12))/(D$20-C$20)*IF($B25=10,10,D$20-C$20-$B24)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5" s="109">
        <f>IF(E$20-D$20+10&gt;$B25,IF(E$20-D$20&lt;=10,VLOOKUP($A25,$A$13:$D$17,MATCH(E$20,$A$12:$D$12)),VLOOKUP($A25,$A$13:$D$17,MATCH(E$20,$A$12:$D$12))/(E$20-D$20)*IF($B25=10,10,E$20-D$20-$B24)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23)</f>
        <v>0</v>
      </c>
      <c r="F25" s="109">
        <v>0</v>
      </c>
      <c r="G25" s="109">
        <f>IF(G$20-F$20+10&gt;$B25,IF(G$20-F$20&lt;=10,VLOOKUP($A25,$A$13:$D$17,MATCH(G$20,$A$12:$D$12)),VLOOKUP($A25,$A$13:$D$17,MATCH(G$20,$A$12:$D$12))/(G$20-F$20)*IF($B25=10,10,G$20-F$20-$B24)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5" s="109">
        <f>IF(H$20-G$20+10&gt;$B25,IF(H$20-G$20&lt;=10,VLOOKUP($A25,$A$13:$D$17,MATCH(H$20,$A$12:$D$12)),VLOOKUP($A25,$A$13:$D$17,MATCH(H$20,$A$12:$D$12))/(H$20-G$20)*IF($B25=10,10,H$20-G$20-$B24)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23)</f>
        <v>0</v>
      </c>
    </row>
    <row r="26" spans="1:13" x14ac:dyDescent="0.25">
      <c r="A26" s="2" t="s">
        <v>179</v>
      </c>
      <c r="B26" s="188">
        <v>10</v>
      </c>
      <c r="C26" s="109">
        <v>0</v>
      </c>
      <c r="D26" s="109">
        <f>IF(D$20-C$20+10&gt;$B26,IF(D$20-C$20&lt;=10,VLOOKUP($A26,$A$13:$D$17,MATCH(D$20,$A$12:$D$12)),VLOOKUP($A26,$A$13:$D$17,MATCH(D$20,$A$12:$D$12))/(D$20-C$20)*IF($B26=10,10,D$20-C$20-$B25)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71749.813989422139</v>
      </c>
      <c r="E26" s="109">
        <f>IF(E$20-D$20+10&gt;$B26,IF(E$20-D$20&lt;=10,VLOOKUP($A26,$A$13:$D$17,MATCH(E$20,$A$12:$D$12)),VLOOKUP($A26,$A$13:$D$17,MATCH(E$20,$A$12:$D$12))/(E$20-D$20)*IF($B26=10,10,E$20-D$20-$B25)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24)</f>
        <v>47422.702543659834</v>
      </c>
      <c r="F26" s="109">
        <v>0</v>
      </c>
      <c r="G26" s="109">
        <f>IF(G$20-F$20+10&gt;$B26,IF(G$20-F$20&lt;=10,VLOOKUP($A26,$A$13:$D$17,MATCH(G$20,$A$12:$D$12)),VLOOKUP($A26,$A$13:$D$17,MATCH(G$20,$A$12:$D$12))/(G$20-F$20)*IF($B26=10,10,G$20-F$20-$B25)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11653.242013147261</v>
      </c>
      <c r="H26" s="109">
        <f>IF(H$20-G$20+10&gt;$B26,IF(H$20-G$20&lt;=10,VLOOKUP($A26,$A$13:$D$17,MATCH(H$20,$A$12:$D$12)),VLOOKUP($A26,$A$13:$D$17,MATCH(H$20,$A$12:$D$12))/(H$20-G$20)*IF($B26=10,10,H$20-G$20-$B25)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24)</f>
        <v>8739.3026300852289</v>
      </c>
      <c r="M26" s="1" t="s">
        <v>177</v>
      </c>
    </row>
    <row r="27" spans="1:13" x14ac:dyDescent="0.25">
      <c r="A27" s="2" t="s">
        <v>179</v>
      </c>
      <c r="B27" s="188">
        <v>20</v>
      </c>
      <c r="C27" s="109">
        <v>0</v>
      </c>
      <c r="D27" s="109">
        <f>IF(D$20-C$20+10&gt;$B27,IF(D$20-C$20&lt;=10,VLOOKUP($A27,$A$13:$D$17,MATCH(D$20,$A$12:$D$12)),VLOOKUP($A27,$A$13:$D$17,MATCH(D$20,$A$12:$D$12))/(D$20-C$20)*IF($B27=10,10,D$20-C$20-$B26)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7174.9813989422137</v>
      </c>
      <c r="E27" s="109">
        <f>IF(E$20-D$20+10&gt;$B27,IF(E$20-D$20&lt;=10,VLOOKUP($A27,$A$13:$D$17,MATCH(E$20,$A$12:$D$12)),VLOOKUP($A27,$A$13:$D$17,MATCH(E$20,$A$12:$D$12))/(E$20-D$20)*IF($B27=10,10,E$20-D$20-$B26)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25)</f>
        <v>47422.702543659834</v>
      </c>
      <c r="F27" s="109">
        <v>0</v>
      </c>
      <c r="G27" s="109">
        <f>IF(G$20-F$20+10&gt;$B27,IF(G$20-F$20&lt;=10,VLOOKUP($A27,$A$13:$D$17,MATCH(G$20,$A$12:$D$12)),VLOOKUP($A27,$A$13:$D$17,MATCH(G$20,$A$12:$D$12))/(G$20-F$20)*IF($B27=10,10,G$20-F$20-$B26)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1165.324201314726</v>
      </c>
      <c r="H27" s="109">
        <f>IF(H$20-G$20+10&gt;$B27,IF(H$20-G$20&lt;=10,VLOOKUP($A27,$A$13:$D$17,MATCH(H$20,$A$12:$D$12)),VLOOKUP($A27,$A$13:$D$17,MATCH(H$20,$A$12:$D$12))/(H$20-G$20)*IF($B27=10,10,H$20-G$20-$B26)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25)</f>
        <v>8739.3026300852289</v>
      </c>
    </row>
    <row r="28" spans="1:13" x14ac:dyDescent="0.25">
      <c r="A28" s="2" t="s">
        <v>179</v>
      </c>
      <c r="B28" s="188">
        <v>30</v>
      </c>
      <c r="C28" s="109">
        <v>0</v>
      </c>
      <c r="D28" s="109">
        <f>IF(D$20-C$20+10&gt;$B28,IF(D$20-C$20&lt;=10,VLOOKUP($A28,$A$13:$D$17,MATCH(D$20,$A$12:$D$12)),VLOOKUP($A28,$A$13:$D$17,MATCH(D$20,$A$12:$D$12))/(D$20-C$20)*IF($B28=10,10,D$20-C$20-$B27)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8" s="109">
        <f>IF(E$20-D$20+10&gt;$B28,IF(E$20-D$20&lt;=10,VLOOKUP($A28,$A$13:$D$17,MATCH(E$20,$A$12:$D$12)),VLOOKUP($A28,$A$13:$D$17,MATCH(E$20,$A$12:$D$12))/(E$20-D$20)*IF($B28=10,10,E$20-D$20-$B27)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26)</f>
        <v>71749.813989422139</v>
      </c>
      <c r="F28" s="109">
        <v>0</v>
      </c>
      <c r="G28" s="109">
        <f>IF(G$20-F$20+10&gt;$B28,IF(G$20-F$20&lt;=10,VLOOKUP($A28,$A$13:$D$17,MATCH(G$20,$A$12:$D$12)),VLOOKUP($A28,$A$13:$D$17,MATCH(G$20,$A$12:$D$12))/(G$20-F$20)*IF($B28=10,10,G$20-F$20-$B27)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8" s="109">
        <f>IF(H$20-G$20+10&gt;$B28,IF(H$20-G$20&lt;=10,VLOOKUP($A28,$A$13:$D$17,MATCH(H$20,$A$12:$D$12)),VLOOKUP($A28,$A$13:$D$17,MATCH(H$20,$A$12:$D$12))/(H$20-G$20)*IF($B28=10,10,H$20-G$20-$B27)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26)</f>
        <v>11653.242013147261</v>
      </c>
    </row>
    <row r="29" spans="1:13" x14ac:dyDescent="0.25">
      <c r="A29" s="2" t="s">
        <v>179</v>
      </c>
      <c r="B29" s="189">
        <v>40</v>
      </c>
      <c r="C29" s="109">
        <v>0</v>
      </c>
      <c r="D29" s="109">
        <f>IF(D$20-C$20+10&gt;$B29,IF(D$20-C$20&lt;=10,VLOOKUP($A29,$A$13:$D$17,MATCH(D$20,$A$12:$D$12)),VLOOKUP($A29,$A$13:$D$17,MATCH(D$20,$A$12:$D$12))/(D$20-C$20)*IF($B29=10,10,D$20-C$20-$B28)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9" s="109">
        <f>IF(E$20-D$20+10&gt;$B29,IF(E$20-D$20&lt;=10,VLOOKUP($A29,$A$13:$D$17,MATCH(E$20,$A$12:$D$12)),VLOOKUP($A29,$A$13:$D$17,MATCH(E$20,$A$12:$D$12))/(E$20-D$20)*IF($B29=10,10,E$20-D$20-$B28)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27)</f>
        <v>7174.9813989422137</v>
      </c>
      <c r="F29" s="109">
        <v>0</v>
      </c>
      <c r="G29" s="109">
        <f>IF(G$20-F$20+10&gt;$B29,IF(G$20-F$20&lt;=10,VLOOKUP($A29,$A$13:$D$17,MATCH(G$20,$A$12:$D$12)),VLOOKUP($A29,$A$13:$D$17,MATCH(G$20,$A$12:$D$12))/(G$20-F$20)*IF($B29=10,10,G$20-F$20-$B28)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9" s="109">
        <f>IF(H$20-G$20+10&gt;$B29,IF(H$20-G$20&lt;=10,VLOOKUP($A29,$A$13:$D$17,MATCH(H$20,$A$12:$D$12)),VLOOKUP($A29,$A$13:$D$17,MATCH(H$20,$A$12:$D$12))/(H$20-G$20)*IF($B29=10,10,H$20-G$20-$B28)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27)</f>
        <v>1165.324201314726</v>
      </c>
    </row>
    <row r="30" spans="1:13" x14ac:dyDescent="0.25">
      <c r="A30" s="2" t="s">
        <v>180</v>
      </c>
      <c r="B30" s="188">
        <v>10</v>
      </c>
      <c r="C30" s="109">
        <v>0</v>
      </c>
      <c r="D30" s="109">
        <f>IF(D$20-C$20+10&gt;$B30,IF(D$20-C$20&lt;=10,VLOOKUP($A30,$A$13:$D$17,MATCH(D$20,$A$12:$D$12)),VLOOKUP($A30,$A$13:$D$17,MATCH(D$20,$A$12:$D$12))/(D$20-C$20)*IF($B30=10,10,D$20-C$20-$B29)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0" s="109">
        <f>IF(E$20-D$20+10&gt;$B30,IF(E$20-D$20&lt;=10,VLOOKUP($A30,$A$13:$D$17,MATCH(E$20,$A$12:$D$12)),VLOOKUP($A30,$A$13:$D$17,MATCH(E$20,$A$12:$D$12))/(E$20-D$20)*IF($B30=10,10,E$20-D$20-$B29)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28)</f>
        <v>0</v>
      </c>
      <c r="F30" s="109">
        <v>0</v>
      </c>
      <c r="G30" s="109">
        <f>IF(G$20-F$20+10&gt;$B30,IF(G$20-F$20&lt;=10,VLOOKUP($A30,$A$13:$D$17,MATCH(G$20,$A$12:$D$12)),VLOOKUP($A30,$A$13:$D$17,MATCH(G$20,$A$12:$D$12))/(G$20-F$20)*IF($B30=10,10,G$20-F$20-$B29)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0" s="109">
        <f>IF(H$20-G$20+10&gt;$B30,IF(H$20-G$20&lt;=10,VLOOKUP($A30,$A$13:$D$17,MATCH(H$20,$A$12:$D$12)),VLOOKUP($A30,$A$13:$D$17,MATCH(H$20,$A$12:$D$12))/(H$20-G$20)*IF($B30=10,10,H$20-G$20-$B29)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28)</f>
        <v>0</v>
      </c>
    </row>
    <row r="31" spans="1:13" x14ac:dyDescent="0.25">
      <c r="A31" s="2" t="s">
        <v>180</v>
      </c>
      <c r="B31" s="188">
        <v>20</v>
      </c>
      <c r="C31" s="109">
        <v>0</v>
      </c>
      <c r="D31" s="109">
        <f>IF(D$20-C$20+10&gt;$B31,IF(D$20-C$20&lt;=10,VLOOKUP($A31,$A$13:$D$17,MATCH(D$20,$A$12:$D$12)),VLOOKUP($A31,$A$13:$D$17,MATCH(D$20,$A$12:$D$12))/(D$20-C$20)*IF($B31=10,10,D$20-C$20-$B30)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1" s="109">
        <f>IF(E$20-D$20+10&gt;$B31,IF(E$20-D$20&lt;=10,VLOOKUP($A31,$A$13:$D$17,MATCH(E$20,$A$12:$D$12)),VLOOKUP($A31,$A$13:$D$17,MATCH(E$20,$A$12:$D$12))/(E$20-D$20)*IF($B31=10,10,E$20-D$20-$B30)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29)</f>
        <v>0</v>
      </c>
      <c r="F31" s="109">
        <v>0</v>
      </c>
      <c r="G31" s="109">
        <f>IF(G$20-F$20+10&gt;$B31,IF(G$20-F$20&lt;=10,VLOOKUP($A31,$A$13:$D$17,MATCH(G$20,$A$12:$D$12)),VLOOKUP($A31,$A$13:$D$17,MATCH(G$20,$A$12:$D$12))/(G$20-F$20)*IF($B31=10,10,G$20-F$20-$B30)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1" s="109">
        <f>IF(H$20-G$20+10&gt;$B31,IF(H$20-G$20&lt;=10,VLOOKUP($A31,$A$13:$D$17,MATCH(H$20,$A$12:$D$12)),VLOOKUP($A31,$A$13:$D$17,MATCH(H$20,$A$12:$D$12))/(H$20-G$20)*IF($B31=10,10,H$20-G$20-$B30)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29)</f>
        <v>0</v>
      </c>
    </row>
    <row r="32" spans="1:13" x14ac:dyDescent="0.25">
      <c r="A32" s="2" t="s">
        <v>180</v>
      </c>
      <c r="B32" s="188">
        <v>30</v>
      </c>
      <c r="C32" s="109">
        <v>0</v>
      </c>
      <c r="D32" s="109">
        <f>IF(D$20-C$20+10&gt;$B32,IF(D$20-C$20&lt;=10,VLOOKUP($A32,$A$13:$D$17,MATCH(D$20,$A$12:$D$12)),VLOOKUP($A32,$A$13:$D$17,MATCH(D$20,$A$12:$D$12))/(D$20-C$20)*IF($B32=10,10,D$20-C$20-$B31)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2" s="109">
        <f>IF(E$20-D$20+10&gt;$B32,IF(E$20-D$20&lt;=10,VLOOKUP($A32,$A$13:$D$17,MATCH(E$20,$A$12:$D$12)),VLOOKUP($A32,$A$13:$D$17,MATCH(E$20,$A$12:$D$12))/(E$20-D$20)*IF($B32=10,10,E$20-D$20-$B31)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30)</f>
        <v>0</v>
      </c>
      <c r="F32" s="109">
        <v>0</v>
      </c>
      <c r="G32" s="109">
        <f>IF(G$20-F$20+10&gt;$B32,IF(G$20-F$20&lt;=10,VLOOKUP($A32,$A$13:$D$17,MATCH(G$20,$A$12:$D$12)),VLOOKUP($A32,$A$13:$D$17,MATCH(G$20,$A$12:$D$12))/(G$20-F$20)*IF($B32=10,10,G$20-F$20-$B31)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2" s="109">
        <f>IF(H$20-G$20+10&gt;$B32,IF(H$20-G$20&lt;=10,VLOOKUP($A32,$A$13:$D$17,MATCH(H$20,$A$12:$D$12)),VLOOKUP($A32,$A$13:$D$17,MATCH(H$20,$A$12:$D$12))/(H$20-G$20)*IF($B32=10,10,H$20-G$20-$B31)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30)</f>
        <v>0</v>
      </c>
    </row>
    <row r="33" spans="1:8" x14ac:dyDescent="0.25">
      <c r="A33" s="2" t="s">
        <v>180</v>
      </c>
      <c r="B33" s="189">
        <v>40</v>
      </c>
      <c r="C33" s="109">
        <v>0</v>
      </c>
      <c r="D33" s="109">
        <f>IF(D$20-C$20+10&gt;$B33,IF(D$20-C$20&lt;=10,VLOOKUP($A33,$A$13:$D$17,MATCH(D$20,$A$12:$D$12)),VLOOKUP($A33,$A$13:$D$17,MATCH(D$20,$A$12:$D$12))/(D$20-C$20)*IF($B33=10,10,D$20-C$20-$B32)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3" s="109">
        <f>IF(E$20-D$20+10&gt;$B33,IF(E$20-D$20&lt;=10,VLOOKUP($A33,$A$13:$D$17,MATCH(E$20,$A$12:$D$12)),VLOOKUP($A33,$A$13:$D$17,MATCH(E$20,$A$12:$D$12))/(E$20-D$20)*IF($B33=10,10,E$20-D$20-$B32)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31)</f>
        <v>0</v>
      </c>
      <c r="F33" s="109">
        <v>0</v>
      </c>
      <c r="G33" s="109">
        <f>IF(G$20-F$20+10&gt;$B33,IF(G$20-F$20&lt;=10,VLOOKUP($A33,$A$13:$D$17,MATCH(G$20,$A$12:$D$12)),VLOOKUP($A33,$A$13:$D$17,MATCH(G$20,$A$12:$D$12))/(G$20-F$20)*IF($B33=10,10,G$20-F$20-$B32)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3" s="109">
        <f>IF(H$20-G$20+10&gt;$B33,IF(H$20-G$20&lt;=10,VLOOKUP($A33,$A$13:$D$17,MATCH(H$20,$A$12:$D$12)),VLOOKUP($A33,$A$13:$D$17,MATCH(H$20,$A$12:$D$12))/(H$20-G$20)*IF($B33=10,10,H$20-G$20-$B32)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31)</f>
        <v>0</v>
      </c>
    </row>
    <row r="34" spans="1:8" x14ac:dyDescent="0.25">
      <c r="A34" s="2" t="s">
        <v>181</v>
      </c>
      <c r="B34" s="188">
        <v>10</v>
      </c>
      <c r="C34" s="109">
        <v>0</v>
      </c>
      <c r="D34" s="109">
        <f>IF(D$20-C$20+10&gt;$B34,IF(D$20-C$20&lt;=10,VLOOKUP($A34,$A$13:$D$17,MATCH(D$20,$A$12:$D$12)),VLOOKUP($A34,$A$13:$D$17,MATCH(D$20,$A$12:$D$12))/(D$20-C$20)*IF($B34=10,10,D$20-C$20-$B33)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4" s="109">
        <f>IF(E$20-D$20+10&gt;$B34,IF(E$20-D$20&lt;=10,VLOOKUP($A34,$A$13:$D$17,MATCH(E$20,$A$12:$D$12)),VLOOKUP($A34,$A$13:$D$17,MATCH(E$20,$A$12:$D$12))/(E$20-D$20)*IF($B34=10,10,E$20-D$20-$B33)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32)</f>
        <v>0</v>
      </c>
      <c r="F34" s="109">
        <v>0</v>
      </c>
      <c r="G34" s="109">
        <f>IF(G$20-F$20+10&gt;$B34,IF(G$20-F$20&lt;=10,VLOOKUP($A34,$A$13:$D$17,MATCH(G$20,$A$12:$D$12)),VLOOKUP($A34,$A$13:$D$17,MATCH(G$20,$A$12:$D$12))/(G$20-F$20)*IF($B34=10,10,G$20-F$20-$B33)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4" s="109">
        <f>IF(H$20-G$20+10&gt;$B34,IF(H$20-G$20&lt;=10,VLOOKUP($A34,$A$13:$D$17,MATCH(H$20,$A$12:$D$12)),VLOOKUP($A34,$A$13:$D$17,MATCH(H$20,$A$12:$D$12))/(H$20-G$20)*IF($B34=10,10,H$20-G$20-$B33)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32)</f>
        <v>0</v>
      </c>
    </row>
    <row r="35" spans="1:8" x14ac:dyDescent="0.25">
      <c r="A35" s="2" t="s">
        <v>181</v>
      </c>
      <c r="B35" s="188">
        <v>20</v>
      </c>
      <c r="C35" s="109">
        <v>0</v>
      </c>
      <c r="D35" s="109">
        <f>IF(D$20-C$20+10&gt;$B35,IF(D$20-C$20&lt;=10,VLOOKUP($A35,$A$13:$D$17,MATCH(D$20,$A$12:$D$12)),VLOOKUP($A35,$A$13:$D$17,MATCH(D$20,$A$12:$D$12))/(D$20-C$20)*IF($B35=10,10,D$20-C$20-$B34)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5" s="109">
        <f>IF(E$20-D$20+10&gt;$B35,IF(E$20-D$20&lt;=10,VLOOKUP($A35,$A$13:$D$17,MATCH(E$20,$A$12:$D$12)),VLOOKUP($A35,$A$13:$D$17,MATCH(E$20,$A$12:$D$12))/(E$20-D$20)*IF($B35=10,10,E$20-D$20-$B34)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33)</f>
        <v>0</v>
      </c>
      <c r="F35" s="109">
        <v>0</v>
      </c>
      <c r="G35" s="109">
        <f>IF(G$20-F$20+10&gt;$B35,IF(G$20-F$20&lt;=10,VLOOKUP($A35,$A$13:$D$17,MATCH(G$20,$A$12:$D$12)),VLOOKUP($A35,$A$13:$D$17,MATCH(G$20,$A$12:$D$12))/(G$20-F$20)*IF($B35=10,10,G$20-F$20-$B34)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5" s="109">
        <f>IF(H$20-G$20+10&gt;$B35,IF(H$20-G$20&lt;=10,VLOOKUP($A35,$A$13:$D$17,MATCH(H$20,$A$12:$D$12)),VLOOKUP($A35,$A$13:$D$17,MATCH(H$20,$A$12:$D$12))/(H$20-G$20)*IF($B35=10,10,H$20-G$20-$B34)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33)</f>
        <v>0</v>
      </c>
    </row>
    <row r="36" spans="1:8" x14ac:dyDescent="0.25">
      <c r="A36" s="2" t="s">
        <v>181</v>
      </c>
      <c r="B36" s="188">
        <v>30</v>
      </c>
      <c r="C36" s="109">
        <v>0</v>
      </c>
      <c r="D36" s="109">
        <f>IF(D$20-C$20+10&gt;$B36,IF(D$20-C$20&lt;=10,VLOOKUP($A36,$A$13:$D$17,MATCH(D$20,$A$12:$D$12)),VLOOKUP($A36,$A$13:$D$17,MATCH(D$20,$A$12:$D$12))/(D$20-C$20)*IF($B36=10,10,D$20-C$20-$B35)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6" s="109">
        <f>IF(E$20-D$20+10&gt;$B36,IF(E$20-D$20&lt;=10,VLOOKUP($A36,$A$13:$D$17,MATCH(E$20,$A$12:$D$12)),VLOOKUP($A36,$A$13:$D$17,MATCH(E$20,$A$12:$D$12))/(E$20-D$20)*IF($B36=10,10,E$20-D$20-$B35)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34)</f>
        <v>0</v>
      </c>
      <c r="F36" s="109">
        <v>0</v>
      </c>
      <c r="G36" s="109">
        <f>IF(G$20-F$20+10&gt;$B36,IF(G$20-F$20&lt;=10,VLOOKUP($A36,$A$13:$D$17,MATCH(G$20,$A$12:$D$12)),VLOOKUP($A36,$A$13:$D$17,MATCH(G$20,$A$12:$D$12))/(G$20-F$20)*IF($B36=10,10,G$20-F$20-$B35)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6" s="109">
        <f>IF(H$20-G$20+10&gt;$B36,IF(H$20-G$20&lt;=10,VLOOKUP($A36,$A$13:$D$17,MATCH(H$20,$A$12:$D$12)),VLOOKUP($A36,$A$13:$D$17,MATCH(H$20,$A$12:$D$12))/(H$20-G$20)*IF($B36=10,10,H$20-G$20-$B35)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34)</f>
        <v>0</v>
      </c>
    </row>
    <row r="37" spans="1:8" x14ac:dyDescent="0.25">
      <c r="A37" s="2" t="s">
        <v>181</v>
      </c>
      <c r="B37" s="189">
        <v>40</v>
      </c>
      <c r="C37" s="109">
        <v>0</v>
      </c>
      <c r="D37" s="109">
        <f>IF(D$20-C$20+10&gt;$B37,IF(D$20-C$20&lt;=10,VLOOKUP($A37,$A$13:$D$17,MATCH(D$20,$A$12:$D$12)),VLOOKUP($A37,$A$13:$D$17,MATCH(D$20,$A$12:$D$12))/(D$20-C$20)*IF($B37=10,10,D$20-C$20-$B36)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7" s="109">
        <f>IF(E$20-D$20+10&gt;$B37,IF(E$20-D$20&lt;=10,VLOOKUP($A37,$A$13:$D$17,MATCH(E$20,$A$12:$D$12)),VLOOKUP($A37,$A$13:$D$17,MATCH(E$20,$A$12:$D$12))/(E$20-D$20)*IF($B37=10,10,E$20-D$20-$B36)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35)</f>
        <v>0</v>
      </c>
      <c r="F37" s="109">
        <v>0</v>
      </c>
      <c r="G37" s="109">
        <f>IF(G$20-F$20+10&gt;$B37,IF(G$20-F$20&lt;=10,VLOOKUP($A37,$A$13:$D$17,MATCH(G$20,$A$12:$D$12)),VLOOKUP($A37,$A$13:$D$17,MATCH(G$20,$A$12:$D$12))/(G$20-F$20)*IF($B37=10,10,G$20-F$20-$B36)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7" s="109">
        <f>IF(H$20-G$20+10&gt;$B37,IF(H$20-G$20&lt;=10,VLOOKUP($A37,$A$13:$D$17,MATCH(H$20,$A$12:$D$12)),VLOOKUP($A37,$A$13:$D$17,MATCH(H$20,$A$12:$D$12))/(H$20-G$20)*IF($B37=10,10,H$20-G$20-$B36)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35)</f>
        <v>0</v>
      </c>
    </row>
    <row r="38" spans="1:8" x14ac:dyDescent="0.25">
      <c r="A38" s="2" t="s">
        <v>182</v>
      </c>
      <c r="B38" s="188">
        <v>10</v>
      </c>
      <c r="C38" s="109">
        <v>0</v>
      </c>
      <c r="D38" s="109">
        <f>IF(D$20-C$20+10&gt;$B38,IF(D$20-C$20&lt;=10,VLOOKUP($A38,$A$13:$D$17,MATCH(D$20,$A$12:$D$12)),VLOOKUP($A38,$A$13:$D$17,MATCH(D$20,$A$12:$D$12))/(D$20-C$20)*IF($B38=10,10,D$20-C$20-$B37)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8" s="109">
        <f>IF(E$20-D$20+10&gt;$B38,IF(E$20-D$20&lt;=10,VLOOKUP($A38,$A$13:$D$17,MATCH(E$20,$A$12:$D$12)),VLOOKUP($A38,$A$13:$D$17,MATCH(E$20,$A$12:$D$12))/(E$20-D$20)*IF($B38=10,10,E$20-D$20-$B37)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36)</f>
        <v>0</v>
      </c>
      <c r="F38" s="109">
        <v>0</v>
      </c>
      <c r="G38" s="109">
        <f>IF(G$20-F$20+10&gt;$B38,IF(G$20-F$20&lt;=10,VLOOKUP($A38,$A$13:$D$17,MATCH(G$20,$A$12:$D$12)),VLOOKUP($A38,$A$13:$D$17,MATCH(G$20,$A$12:$D$12))/(G$20-F$20)*IF($B38=10,10,G$20-F$20-$B37)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8" s="109">
        <f>IF(H$20-G$20+10&gt;$B38,IF(H$20-G$20&lt;=10,VLOOKUP($A38,$A$13:$D$17,MATCH(H$20,$A$12:$D$12)),VLOOKUP($A38,$A$13:$D$17,MATCH(H$20,$A$12:$D$12))/(H$20-G$20)*IF($B38=10,10,H$20-G$20-$B37)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36)</f>
        <v>0</v>
      </c>
    </row>
    <row r="39" spans="1:8" x14ac:dyDescent="0.25">
      <c r="A39" s="2" t="s">
        <v>182</v>
      </c>
      <c r="B39" s="188">
        <v>20</v>
      </c>
      <c r="C39" s="109">
        <v>0</v>
      </c>
      <c r="D39" s="109">
        <f>IF(D$20-C$20+10&gt;$B39,IF(D$20-C$20&lt;=10,VLOOKUP($A39,$A$13:$D$17,MATCH(D$20,$A$12:$D$12)),VLOOKUP($A39,$A$13:$D$17,MATCH(D$20,$A$12:$D$12))/(D$20-C$20)*IF($B39=10,10,D$20-C$20-$B38)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9" s="109">
        <f>IF(E$20-D$20+10&gt;$B39,IF(E$20-D$20&lt;=10,VLOOKUP($A39,$A$13:$D$17,MATCH(E$20,$A$12:$D$12)),VLOOKUP($A39,$A$13:$D$17,MATCH(E$20,$A$12:$D$12))/(E$20-D$20)*IF($B39=10,10,E$20-D$20-$B38)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37)</f>
        <v>0</v>
      </c>
      <c r="F39" s="109">
        <v>0</v>
      </c>
      <c r="G39" s="109">
        <f>IF(G$20-F$20+10&gt;$B39,IF(G$20-F$20&lt;=10,VLOOKUP($A39,$A$13:$D$17,MATCH(G$20,$A$12:$D$12)),VLOOKUP($A39,$A$13:$D$17,MATCH(G$20,$A$12:$D$12))/(G$20-F$20)*IF($B39=10,10,G$20-F$20-$B38)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9" s="109">
        <f>IF(H$20-G$20+10&gt;$B39,IF(H$20-G$20&lt;=10,VLOOKUP($A39,$A$13:$D$17,MATCH(H$20,$A$12:$D$12)),VLOOKUP($A39,$A$13:$D$17,MATCH(H$20,$A$12:$D$12))/(H$20-G$20)*IF($B39=10,10,H$20-G$20-$B38)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37)</f>
        <v>0</v>
      </c>
    </row>
    <row r="40" spans="1:8" x14ac:dyDescent="0.25">
      <c r="A40" s="2" t="s">
        <v>182</v>
      </c>
      <c r="B40" s="188">
        <v>30</v>
      </c>
      <c r="C40" s="109">
        <v>0</v>
      </c>
      <c r="D40" s="109">
        <f>IF(D$20-C$20+10&gt;$B40,IF(D$20-C$20&lt;=10,VLOOKUP($A40,$A$13:$D$17,MATCH(D$20,$A$12:$D$12)),VLOOKUP($A40,$A$13:$D$17,MATCH(D$20,$A$12:$D$12))/(D$20-C$20)*IF($B40=10,10,D$20-C$20-$B39)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0" s="109">
        <f>IF(E$20-D$20+10&gt;$B40,IF(E$20-D$20&lt;=10,VLOOKUP($A40,$A$13:$D$17,MATCH(E$20,$A$12:$D$12)),VLOOKUP($A40,$A$13:$D$17,MATCH(E$20,$A$12:$D$12))/(E$20-D$20)*IF($B40=10,10,E$20-D$20-$B39)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38)</f>
        <v>0</v>
      </c>
      <c r="F40" s="109">
        <v>0</v>
      </c>
      <c r="G40" s="109">
        <f>IF(G$20-F$20+10&gt;$B40,IF(G$20-F$20&lt;=10,VLOOKUP($A40,$A$13:$D$17,MATCH(G$20,$A$12:$D$12)),VLOOKUP($A40,$A$13:$D$17,MATCH(G$20,$A$12:$D$12))/(G$20-F$20)*IF($B40=10,10,G$20-F$20-$B39)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0" s="109">
        <f>IF(H$20-G$20+10&gt;$B40,IF(H$20-G$20&lt;=10,VLOOKUP($A40,$A$13:$D$17,MATCH(H$20,$A$12:$D$12)),VLOOKUP($A40,$A$13:$D$17,MATCH(H$20,$A$12:$D$12))/(H$20-G$20)*IF($B40=10,10,H$20-G$20-$B39)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38)</f>
        <v>0</v>
      </c>
    </row>
    <row r="41" spans="1:8" x14ac:dyDescent="0.25">
      <c r="A41" s="2" t="s">
        <v>182</v>
      </c>
      <c r="B41" s="109">
        <v>40</v>
      </c>
      <c r="C41" s="109">
        <v>0</v>
      </c>
      <c r="D41" s="109">
        <f>IF(D$20-C$20+10&gt;$B41,IF(D$20-C$20&lt;=10,VLOOKUP($A41,$A$13:$D$17,MATCH(D$20,$A$12:$D$12)),VLOOKUP($A41,$A$13:$D$17,MATCH(D$20,$A$12:$D$12))/(D$20-C$20)*IF($B41=10,10,D$20-C$20-$B40)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1" s="109">
        <f>IF(E$20-D$20+10&gt;$B41,IF(E$20-D$20&lt;=10,VLOOKUP($A41,$A$13:$D$17,MATCH(E$20,$A$12:$D$12)),VLOOKUP($A41,$A$13:$D$17,MATCH(E$20,$A$12:$D$12))/(E$20-D$20)*IF($B41=10,10,E$20-D$20-$B40)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39)</f>
        <v>0</v>
      </c>
      <c r="F41" s="109">
        <v>0</v>
      </c>
      <c r="G41" s="109">
        <f>IF(G$20-F$20+10&gt;$B41,IF(G$20-F$20&lt;=10,VLOOKUP($A41,$A$13:$D$17,MATCH(G$20,$A$12:$D$12)),VLOOKUP($A41,$A$13:$D$17,MATCH(G$20,$A$12:$D$12))/(G$20-F$20)*IF($B41=10,10,G$20-F$20-$B40)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1" s="109">
        <f>IF(H$20-G$20+10&gt;$B41,IF(H$20-G$20&lt;=10,VLOOKUP($A41,$A$13:$D$17,MATCH(H$20,$A$12:$D$12)),VLOOKUP($A41,$A$13:$D$17,MATCH(H$20,$A$12:$D$12))/(H$20-G$20)*IF($B41=10,10,H$20-G$20-$B40)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39)</f>
        <v>0</v>
      </c>
    </row>
    <row r="42" spans="1:8" x14ac:dyDescent="0.25">
      <c r="B42" s="153"/>
    </row>
    <row r="43" spans="1:8" x14ac:dyDescent="0.25">
      <c r="B43" s="153"/>
    </row>
    <row r="44" spans="1:8" x14ac:dyDescent="0.25">
      <c r="B44" s="153"/>
    </row>
    <row r="46" spans="1:8" x14ac:dyDescent="0.25">
      <c r="A46" s="343" t="s">
        <v>297</v>
      </c>
      <c r="B46" s="2" t="s">
        <v>23</v>
      </c>
      <c r="C46" s="2"/>
      <c r="D46" s="2"/>
      <c r="E46" s="2" t="s">
        <v>24</v>
      </c>
      <c r="F46" s="2"/>
      <c r="G46" s="2"/>
    </row>
    <row r="47" spans="1:8" x14ac:dyDescent="0.25">
      <c r="A47" s="344"/>
      <c r="B47" s="186">
        <f>År1</f>
        <v>2019</v>
      </c>
      <c r="C47" s="186">
        <f>År2</f>
        <v>2030</v>
      </c>
      <c r="D47" s="186">
        <f>År3</f>
        <v>2050</v>
      </c>
      <c r="E47" s="186">
        <f>År1</f>
        <v>2019</v>
      </c>
      <c r="F47" s="186">
        <f>År2</f>
        <v>2030</v>
      </c>
      <c r="G47" s="186">
        <f>År3</f>
        <v>2050</v>
      </c>
    </row>
    <row r="48" spans="1:8" x14ac:dyDescent="0.25">
      <c r="A48" s="2" t="s">
        <v>184</v>
      </c>
      <c r="B48" s="109">
        <f t="shared" ref="B48:G53" si="0">SUMIF($A$21:$A$41,$A48,C$21:C$41)</f>
        <v>434670</v>
      </c>
      <c r="C48" s="109">
        <f t="shared" si="0"/>
        <v>411351.94520750927</v>
      </c>
      <c r="D48" s="109">
        <f t="shared" si="0"/>
        <v>372113.28071606322</v>
      </c>
      <c r="E48" s="109">
        <f t="shared" si="0"/>
        <v>127230</v>
      </c>
      <c r="F48" s="109">
        <f t="shared" si="0"/>
        <v>120404.69318966437</v>
      </c>
      <c r="G48" s="109">
        <f t="shared" si="0"/>
        <v>108919.34733362029</v>
      </c>
    </row>
    <row r="49" spans="1:7" x14ac:dyDescent="0.25">
      <c r="A49" s="2" t="s">
        <v>178</v>
      </c>
      <c r="B49" s="109">
        <f t="shared" si="0"/>
        <v>0</v>
      </c>
      <c r="C49" s="109">
        <f t="shared" si="0"/>
        <v>0</v>
      </c>
      <c r="D49" s="109">
        <f t="shared" si="0"/>
        <v>0</v>
      </c>
      <c r="E49" s="109">
        <f t="shared" si="0"/>
        <v>0</v>
      </c>
      <c r="F49" s="109">
        <f t="shared" si="0"/>
        <v>0</v>
      </c>
      <c r="G49" s="109">
        <f t="shared" si="0"/>
        <v>0</v>
      </c>
    </row>
    <row r="50" spans="1:7" x14ac:dyDescent="0.25">
      <c r="A50" s="2" t="s">
        <v>179</v>
      </c>
      <c r="B50" s="109">
        <f t="shared" si="0"/>
        <v>0</v>
      </c>
      <c r="C50" s="109">
        <f t="shared" si="0"/>
        <v>78924.795388364349</v>
      </c>
      <c r="D50" s="109">
        <f t="shared" si="0"/>
        <v>173770.20047568402</v>
      </c>
      <c r="E50" s="109">
        <f t="shared" si="0"/>
        <v>0</v>
      </c>
      <c r="F50" s="109">
        <f t="shared" si="0"/>
        <v>12818.566214461987</v>
      </c>
      <c r="G50" s="109">
        <f t="shared" si="0"/>
        <v>30297.171474632443</v>
      </c>
    </row>
    <row r="51" spans="1:7" x14ac:dyDescent="0.25">
      <c r="A51" s="2" t="s">
        <v>180</v>
      </c>
      <c r="B51" s="109">
        <f t="shared" si="0"/>
        <v>0</v>
      </c>
      <c r="C51" s="109">
        <f t="shared" si="0"/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</row>
    <row r="52" spans="1:7" x14ac:dyDescent="0.25">
      <c r="A52" s="2" t="s">
        <v>181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</row>
    <row r="53" spans="1:7" x14ac:dyDescent="0.25">
      <c r="A53" s="2" t="s">
        <v>182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</row>
  </sheetData>
  <mergeCells count="1">
    <mergeCell ref="A46:A47"/>
  </mergeCells>
  <phoneticPr fontId="10" type="noConversion"/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I6" sqref="I6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21" t="s">
        <v>281</v>
      </c>
      <c r="F1" s="75" t="s">
        <v>244</v>
      </c>
    </row>
    <row r="2" spans="1:7" s="325" customFormat="1" x14ac:dyDescent="0.25">
      <c r="A2" s="324"/>
      <c r="C2" s="345" t="s">
        <v>327</v>
      </c>
      <c r="D2" s="345"/>
      <c r="E2" s="345"/>
    </row>
    <row r="3" spans="1:7" s="12" customFormat="1" x14ac:dyDescent="0.25">
      <c r="B3" s="329"/>
      <c r="C3" s="2">
        <f>År1</f>
        <v>2019</v>
      </c>
      <c r="D3" s="2">
        <f>År2</f>
        <v>2030</v>
      </c>
      <c r="E3" s="2">
        <f>År3</f>
        <v>2050</v>
      </c>
      <c r="F3" s="330" t="s">
        <v>328</v>
      </c>
      <c r="G3" s="12" t="s">
        <v>324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6">
        <f>(9.6+43.4+265+84.7+55.6+112.4+6.1+10.5+121.4+27.4+89.4+13.5+12.6+0.4+218.5+0.9+3.9+3.4+5+0.4)*100</f>
        <v>108410.00000000003</v>
      </c>
      <c r="G4" s="346" t="s">
        <v>329</v>
      </c>
    </row>
    <row r="5" spans="1:7" s="12" customFormat="1" x14ac:dyDescent="0.25">
      <c r="A5" s="108" t="s">
        <v>99</v>
      </c>
      <c r="B5" s="2" t="s">
        <v>24</v>
      </c>
      <c r="C5" s="327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46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6">
        <v>600</v>
      </c>
      <c r="G6" s="347" t="s">
        <v>242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6">
        <v>200</v>
      </c>
      <c r="G7" s="347"/>
    </row>
    <row r="8" spans="1:7" s="12" customFormat="1" x14ac:dyDescent="0.25">
      <c r="A8" s="322"/>
      <c r="C8" s="12" t="s">
        <v>243</v>
      </c>
      <c r="F8" s="323"/>
    </row>
    <row r="9" spans="1:7" x14ac:dyDescent="0.25">
      <c r="A9" s="322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E41" sqref="E4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31" t="s">
        <v>281</v>
      </c>
    </row>
    <row r="2" spans="1:10" ht="15.75" x14ac:dyDescent="0.25">
      <c r="A2" s="229" t="s">
        <v>25</v>
      </c>
    </row>
    <row r="3" spans="1:10" x14ac:dyDescent="0.25">
      <c r="A3" s="6" t="s">
        <v>311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222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232958.9113036553</v>
      </c>
      <c r="J5" s="10">
        <f>SUMIFS('Resultat-Produktion &amp; forbrug'!$N$3:$N$1000,'Resultat-Produktion &amp; forbrug'!$A$3:$A$1000,Adfærd!$G5,'Resultat-Produktion &amp; forbrug'!$D$3:$D$1000,Adfærd!J$4)</f>
        <v>240593.49413246571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208</v>
      </c>
      <c r="B8" s="87">
        <v>0</v>
      </c>
      <c r="C8" s="3"/>
      <c r="D8" s="3"/>
    </row>
    <row r="9" spans="1:10" x14ac:dyDescent="0.25">
      <c r="A9" s="1" t="s">
        <v>223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330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331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207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209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208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323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4" t="s">
        <v>30</v>
      </c>
      <c r="B31" s="313">
        <f>SUM(B17:B30)</f>
        <v>1267</v>
      </c>
      <c r="C31" s="313">
        <f>SUM(C17:C30)</f>
        <v>1267</v>
      </c>
      <c r="D31" s="313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D18" sqref="D18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30" t="s">
        <v>281</v>
      </c>
    </row>
    <row r="2" spans="1:29" ht="46.5" customHeight="1" x14ac:dyDescent="0.2">
      <c r="A2" s="234" t="s">
        <v>139</v>
      </c>
      <c r="B2" s="234">
        <f>År1</f>
        <v>2019</v>
      </c>
      <c r="C2" s="234">
        <f>År2</f>
        <v>2030</v>
      </c>
      <c r="D2" s="234">
        <f>År3</f>
        <v>2050</v>
      </c>
      <c r="E2" s="123"/>
      <c r="F2" s="351" t="s">
        <v>335</v>
      </c>
      <c r="G2" s="352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5">
        <f>N12/SUMIFS('Resultater - Danmark'!H$3:H$482,'Resultater - Danmark'!$F$3:$F$482,$A3)</f>
        <v>0.16508293217043288</v>
      </c>
      <c r="C3" s="181">
        <v>0.9</v>
      </c>
      <c r="D3" s="181">
        <f t="shared" ref="D3:D5" si="0">C3</f>
        <v>0.9</v>
      </c>
      <c r="E3" s="158"/>
      <c r="F3" s="174" t="s">
        <v>104</v>
      </c>
      <c r="G3" s="175">
        <v>0.85</v>
      </c>
      <c r="H3" s="150"/>
      <c r="N3" s="250"/>
      <c r="Z3" s="125" t="s">
        <v>111</v>
      </c>
      <c r="AA3" s="126">
        <f>SUM(C12:C14)/SUM(C12:C15)</f>
        <v>0.73155031690147754</v>
      </c>
      <c r="AB3" s="126">
        <f>SUM(D12:D14)/SUM(D12:D15)</f>
        <v>0.89030850260522276</v>
      </c>
      <c r="AC3" s="126">
        <f>SUM(E12:E14)/SUM(E12:E15)</f>
        <v>0.88291506599507918</v>
      </c>
    </row>
    <row r="4" spans="1:29" x14ac:dyDescent="0.2">
      <c r="A4" s="180" t="s">
        <v>137</v>
      </c>
      <c r="B4" s="235">
        <f>N13/SUMIFS('Resultater - Danmark'!H$3:H$482,'Resultater - Danmark'!$F$3:$F$482,$A4)</f>
        <v>0.30985833926453143</v>
      </c>
      <c r="C4" s="181">
        <v>0.9</v>
      </c>
      <c r="D4" s="181">
        <f t="shared" si="0"/>
        <v>0.9</v>
      </c>
      <c r="E4" s="158"/>
      <c r="F4" s="174"/>
      <c r="G4" s="175"/>
      <c r="N4" s="250"/>
      <c r="Z4" s="124" t="s">
        <v>204</v>
      </c>
    </row>
    <row r="5" spans="1:29" x14ac:dyDescent="0.2">
      <c r="A5" s="180" t="s">
        <v>138</v>
      </c>
      <c r="B5" s="235">
        <v>0.5</v>
      </c>
      <c r="C5" s="181">
        <v>0.9</v>
      </c>
      <c r="D5" s="181">
        <f t="shared" si="0"/>
        <v>0.9</v>
      </c>
      <c r="E5" s="158"/>
      <c r="F5" s="174"/>
      <c r="G5" s="175"/>
      <c r="H5" s="127"/>
      <c r="N5" s="250"/>
      <c r="Z5" s="125" t="s">
        <v>136</v>
      </c>
      <c r="AA5" s="147">
        <f t="shared" ref="AA5:AC6" si="1">C12/C$29</f>
        <v>0.22267199142680771</v>
      </c>
      <c r="AB5" s="147">
        <f t="shared" si="1"/>
        <v>0.44109208426101976</v>
      </c>
      <c r="AC5" s="147">
        <f t="shared" si="1"/>
        <v>0.43061813650898434</v>
      </c>
    </row>
    <row r="6" spans="1:29" x14ac:dyDescent="0.2">
      <c r="A6" s="180" t="s">
        <v>141</v>
      </c>
      <c r="B6" s="235">
        <f>N15/SUMIFS('Resultater - Danmark'!H$3:H$482,'Resultater - Danmark'!$F$3:$F$482,$A6)</f>
        <v>0.37924884410556858</v>
      </c>
      <c r="C6" s="181">
        <f t="shared" ref="C6" si="2">B6</f>
        <v>0.37924884410556858</v>
      </c>
      <c r="D6" s="181">
        <f>C6</f>
        <v>0.37924884410556858</v>
      </c>
      <c r="E6" s="158"/>
      <c r="F6" s="174"/>
      <c r="G6" s="175"/>
      <c r="H6" s="128"/>
      <c r="Z6" s="129" t="s">
        <v>137</v>
      </c>
      <c r="AA6" s="147">
        <f t="shared" si="1"/>
        <v>0.33257225498473725</v>
      </c>
      <c r="AB6" s="147">
        <f t="shared" si="1"/>
        <v>0.35540328821589312</v>
      </c>
      <c r="AC6" s="147">
        <f t="shared" si="1"/>
        <v>0.35548628419548717</v>
      </c>
    </row>
    <row r="7" spans="1:29" x14ac:dyDescent="0.2">
      <c r="A7" s="180" t="s">
        <v>102</v>
      </c>
      <c r="B7" s="235">
        <f>N16/SUMIFS('Resultater - Danmark'!H$3:H$482,'Resultater - Danmark'!$F$3:$F$482,$A7)</f>
        <v>0.25812101313640656</v>
      </c>
      <c r="C7" s="181">
        <v>0.5</v>
      </c>
      <c r="D7" s="181">
        <f>C7</f>
        <v>0.5</v>
      </c>
      <c r="F7" s="174"/>
      <c r="G7" s="176"/>
      <c r="N7" s="159"/>
    </row>
    <row r="8" spans="1:29" ht="12.75" thickBot="1" x14ac:dyDescent="0.25">
      <c r="A8" s="180" t="s">
        <v>210</v>
      </c>
      <c r="B8" s="235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49" t="s">
        <v>212</v>
      </c>
      <c r="D10" s="349"/>
      <c r="E10" s="349"/>
      <c r="F10" s="348" t="s">
        <v>336</v>
      </c>
      <c r="G10" s="348"/>
      <c r="J10" s="350" t="s">
        <v>213</v>
      </c>
      <c r="K10" s="350"/>
      <c r="L10" s="350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216</v>
      </c>
    </row>
    <row r="12" spans="1:29" x14ac:dyDescent="0.2">
      <c r="A12" s="132" t="s">
        <v>136</v>
      </c>
      <c r="B12" s="132" t="s">
        <v>140</v>
      </c>
      <c r="C12" s="133">
        <f>SUMIFS('Resultater - Danmark'!H$3:H$482,'Resultater - Danmark'!$F$3:$F$482,$A12)*B3</f>
        <v>2914869.3333333335</v>
      </c>
      <c r="D12" s="133">
        <f>SUMIFS('Resultater - Danmark'!I$3:I$482,'Resultater - Danmark'!$F$3:$F$482,$A12)*C3</f>
        <v>12426575.77002522</v>
      </c>
      <c r="E12" s="133">
        <f>SUMIFS('Resultater - Danmark'!J$3:J$482,'Resultater - Danmark'!$F$3:$F$482,$A12)*D3</f>
        <v>11896912.230636118</v>
      </c>
      <c r="F12" s="243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1380730.6411139127</v>
      </c>
      <c r="G12" s="243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1321879.1367373448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3">C12/C$29</f>
        <v>0.22267199142680771</v>
      </c>
      <c r="K12" s="134">
        <f t="shared" ref="K12:K28" si="4">D12/D$29</f>
        <v>0.44109208426101976</v>
      </c>
      <c r="L12" s="134">
        <f t="shared" ref="L12:L28" si="5">E12/E$29</f>
        <v>0.43061813650898434</v>
      </c>
      <c r="M12" s="125" t="s">
        <v>214</v>
      </c>
      <c r="N12" s="125">
        <f>S12+2/3*T12</f>
        <v>2914869.3333333335</v>
      </c>
      <c r="O12" s="152">
        <f t="shared" ref="O12:O16" si="6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>
        <f>SUMIFS('Resultater - Danmark'!H$3:H$482,'Resultater - Danmark'!$F$3:$F$482,$A13)*B4</f>
        <v>4353509.666666667</v>
      </c>
      <c r="D13" s="136">
        <f>SUMIFS('Resultater - Danmark'!I$3:I$482,'Resultater - Danmark'!$F$3:$F$482,$A13)*C4</f>
        <v>10012525.836481437</v>
      </c>
      <c r="E13" s="136">
        <f>SUMIFS('Resultater - Danmark'!J$3:J$482,'Resultater - Danmark'!$F$3:$F$482,$A13)*D4</f>
        <v>9821205.2946832664</v>
      </c>
      <c r="F13" s="244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1112502.8707201593</v>
      </c>
      <c r="G13" s="244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1091245.0327425841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3"/>
        <v>0.33257225498473725</v>
      </c>
      <c r="K13" s="137">
        <f t="shared" si="4"/>
        <v>0.35540328821589312</v>
      </c>
      <c r="L13" s="137">
        <f t="shared" si="5"/>
        <v>0.35548628419548717</v>
      </c>
      <c r="M13" s="125" t="s">
        <v>215</v>
      </c>
      <c r="N13" s="125">
        <f>S13+1/3*T13</f>
        <v>4353509.666666667</v>
      </c>
      <c r="O13" s="152">
        <f t="shared" si="6"/>
        <v>0</v>
      </c>
      <c r="P13" s="141">
        <f t="shared" ref="P13:P28" si="7">C13*I13</f>
        <v>61384486.300000004</v>
      </c>
      <c r="Q13" s="125">
        <f t="shared" ref="Q13:Q28" si="8">P13*35.9/1000000000</f>
        <v>2.2037030581699999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>
        <f>SUMIFS('Resultater - Danmark'!H$3:H$482,'Resultater - Danmark'!$F$3:$F$482,$A14)*B5</f>
        <v>4441.5</v>
      </c>
      <c r="D14" s="136">
        <f>SUMIFS('Resultater - Danmark'!I$3:I$482,'Resultater - Danmark'!$F$3:$F$482,$A14)*C5</f>
        <v>6510.9082037028029</v>
      </c>
      <c r="E14" s="136">
        <f>SUMIFS('Resultater - Danmark'!J$3:J$482,'Resultater - Danmark'!$F$3:$F$482,$A14)*D5</f>
        <v>6723.8136862927013</v>
      </c>
      <c r="F14" s="244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723.43424485586638</v>
      </c>
      <c r="G14" s="244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747.09040958807782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3"/>
        <v>3.3929399119623192E-4</v>
      </c>
      <c r="K14" s="137">
        <f t="shared" si="4"/>
        <v>2.3111033346216928E-4</v>
      </c>
      <c r="L14" s="137">
        <f t="shared" si="5"/>
        <v>2.4337374805278808E-4</v>
      </c>
      <c r="M14" s="129" t="s">
        <v>146</v>
      </c>
      <c r="N14" s="130">
        <v>11417</v>
      </c>
      <c r="O14" s="152">
        <f t="shared" si="6"/>
        <v>6975.5</v>
      </c>
      <c r="P14" s="141">
        <f t="shared" si="7"/>
        <v>58183.65</v>
      </c>
      <c r="Q14" s="125">
        <f t="shared" si="8"/>
        <v>2.0887930350000001E-3</v>
      </c>
    </row>
    <row r="15" spans="1:29" x14ac:dyDescent="0.2">
      <c r="A15" s="127" t="s">
        <v>141</v>
      </c>
      <c r="B15" s="127" t="s">
        <v>140</v>
      </c>
      <c r="C15" s="136">
        <f>SUMIFS('Resultater - Danmark'!H$3:H$482,'Resultater - Danmark'!$F$3:$F$482,$A15)*B6</f>
        <v>2668834</v>
      </c>
      <c r="D15" s="136">
        <f>SUMIFS('Resultater - Danmark'!I$3:I$482,'Resultater - Danmark'!$F$3:$F$482,$A15)*C6</f>
        <v>2765437.8672976275</v>
      </c>
      <c r="E15" s="136">
        <f>SUMIFS('Resultater - Danmark'!J$3:J$482,'Resultater - Danmark'!$F$3:$F$482,$A15)*D6</f>
        <v>2880969.7698136591</v>
      </c>
      <c r="F15" s="244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4526444.2578007793</v>
      </c>
      <c r="G15" s="244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4715545.854665623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3"/>
        <v>0.20387691989197443</v>
      </c>
      <c r="K15" s="137">
        <f t="shared" si="4"/>
        <v>9.8161615504975444E-2</v>
      </c>
      <c r="L15" s="137">
        <f t="shared" si="5"/>
        <v>0.10427897672651332</v>
      </c>
      <c r="M15" s="139" t="s">
        <v>301</v>
      </c>
      <c r="N15" s="140">
        <f>SUM(S15:Z15)</f>
        <v>2668834</v>
      </c>
      <c r="O15" s="152">
        <f t="shared" si="6"/>
        <v>0</v>
      </c>
      <c r="P15" s="141">
        <f>C15*I15</f>
        <v>37096792.600000001</v>
      </c>
      <c r="Q15" s="125">
        <f t="shared" si="8"/>
        <v>1.3317748543399999</v>
      </c>
      <c r="S15" s="167">
        <v>2666649</v>
      </c>
      <c r="T15" s="125">
        <v>2185</v>
      </c>
      <c r="U15" s="167" t="s">
        <v>303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>
        <f>SUMIFS('Resultater - Danmark'!H$3:H$482,'Resultater - Danmark'!$F$3:$F$482,$A16)*B7</f>
        <v>757087</v>
      </c>
      <c r="D16" s="136">
        <f>SUMIFS('Resultater - Danmark'!I$3:I$482,'Resultater - Danmark'!$F$3:$F$482,$A16)*C7</f>
        <v>1204392.371220411</v>
      </c>
      <c r="E16" s="136">
        <f>SUMIFS('Resultater - Danmark'!J$3:J$482,'Resultater - Danmark'!$F$3:$F$482,$A16)*D7</f>
        <v>1262014.3338818299</v>
      </c>
      <c r="F16" s="244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1204392.371220411</v>
      </c>
      <c r="G16" s="244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1262014.3338818299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3"/>
        <v>5.7835206554718369E-2</v>
      </c>
      <c r="K16" s="137">
        <f t="shared" si="4"/>
        <v>4.2750951760269572E-2</v>
      </c>
      <c r="L16" s="137">
        <f t="shared" si="5"/>
        <v>4.567960578076511E-2</v>
      </c>
      <c r="M16" s="248" t="s">
        <v>157</v>
      </c>
      <c r="N16" s="249">
        <v>757087</v>
      </c>
      <c r="O16" s="152">
        <f t="shared" si="6"/>
        <v>0</v>
      </c>
      <c r="P16" s="141">
        <f t="shared" si="7"/>
        <v>45425220</v>
      </c>
      <c r="Q16" s="125">
        <f t="shared" si="8"/>
        <v>1.6307653980000001</v>
      </c>
    </row>
    <row r="17" spans="1:23" x14ac:dyDescent="0.2">
      <c r="A17" s="128" t="s">
        <v>210</v>
      </c>
      <c r="B17" s="127" t="s">
        <v>140</v>
      </c>
      <c r="C17" s="136">
        <f>SUMIFS('Resultater - Danmark'!H$3:H$482,'Resultater - Danmark'!$F$3:$F$482,$A17)*B8</f>
        <v>0</v>
      </c>
      <c r="D17" s="136">
        <f>SUMIFS('Resultater - Danmark'!I$3:I$482,'Resultater - Danmark'!$F$3:$F$482,$A17)*C8</f>
        <v>0</v>
      </c>
      <c r="E17" s="136">
        <f>SUMIFS('Resultater - Danmark'!J$3:J$482,'Resultater - Danmark'!$F$3:$F$482,$A17)*D8</f>
        <v>0</v>
      </c>
      <c r="F17" s="244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4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3"/>
        <v>0</v>
      </c>
      <c r="K17" s="137">
        <f t="shared" si="4"/>
        <v>0</v>
      </c>
      <c r="L17" s="137">
        <f t="shared" si="5"/>
        <v>0</v>
      </c>
      <c r="M17" s="125" t="s">
        <v>150</v>
      </c>
      <c r="N17" s="141"/>
      <c r="O17" s="152"/>
      <c r="P17" s="141">
        <f t="shared" si="7"/>
        <v>0</v>
      </c>
      <c r="Q17" s="125">
        <f t="shared" si="8"/>
        <v>0</v>
      </c>
    </row>
    <row r="18" spans="1:23" x14ac:dyDescent="0.2">
      <c r="A18" s="127" t="s">
        <v>103</v>
      </c>
      <c r="B18" s="127" t="s">
        <v>140</v>
      </c>
      <c r="C18" s="251">
        <f t="shared" ref="C18" si="9">N18</f>
        <v>729134</v>
      </c>
      <c r="D18" s="252">
        <v>363995</v>
      </c>
      <c r="E18" s="252">
        <v>369777</v>
      </c>
      <c r="F18" s="244" t="e">
        <f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#REF!</v>
      </c>
      <c r="G18" s="244" t="e">
        <f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#REF!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3"/>
        <v>5.5699827755684647E-2</v>
      </c>
      <c r="K18" s="137">
        <f t="shared" si="4"/>
        <v>1.2920318210095623E-2</v>
      </c>
      <c r="L18" s="137">
        <f t="shared" si="5"/>
        <v>1.3384370631384297E-2</v>
      </c>
      <c r="M18" s="161" t="s">
        <v>299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51">
        <f>N19</f>
        <v>995654</v>
      </c>
      <c r="D19" s="252">
        <v>725968</v>
      </c>
      <c r="E19" s="252">
        <v>723032</v>
      </c>
      <c r="F19" s="244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-74189.67769150075</v>
      </c>
      <c r="G19" s="244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-73602.891942499205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3"/>
        <v>7.6059758980185313E-2</v>
      </c>
      <c r="K19" s="137">
        <f t="shared" si="4"/>
        <v>2.5768863776553796E-2</v>
      </c>
      <c r="L19" s="137">
        <f t="shared" si="5"/>
        <v>2.6170714420721275E-2</v>
      </c>
      <c r="M19" s="163" t="s">
        <v>300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51">
        <f>N20</f>
        <v>75934</v>
      </c>
      <c r="D20" s="252">
        <v>75934</v>
      </c>
      <c r="E20" s="252">
        <v>75934</v>
      </c>
      <c r="F20" s="244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2420027.9136025696</v>
      </c>
      <c r="G20" s="244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2269183.1197630544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3"/>
        <v>5.8007317184497744E-3</v>
      </c>
      <c r="K20" s="137">
        <f t="shared" si="4"/>
        <v>2.6953431859377216E-3</v>
      </c>
      <c r="L20" s="137">
        <f t="shared" si="5"/>
        <v>2.7484911163310186E-3</v>
      </c>
      <c r="M20" s="125" t="s">
        <v>147</v>
      </c>
      <c r="N20" s="141">
        <v>75934</v>
      </c>
      <c r="O20" s="152">
        <f t="shared" ref="O20:O28" si="10">N20-C20</f>
        <v>0</v>
      </c>
      <c r="P20" s="141">
        <f t="shared" si="7"/>
        <v>12195000.4</v>
      </c>
      <c r="Q20" s="125">
        <f t="shared" si="8"/>
        <v>0.43780051436</v>
      </c>
    </row>
    <row r="21" spans="1:23" x14ac:dyDescent="0.2">
      <c r="A21" s="127" t="s">
        <v>48</v>
      </c>
      <c r="B21" s="127" t="s">
        <v>140</v>
      </c>
      <c r="C21" s="251">
        <f t="shared" ref="C21:C28" si="11">N21</f>
        <v>3786</v>
      </c>
      <c r="D21" s="252">
        <v>3786</v>
      </c>
      <c r="E21" s="252">
        <v>3786</v>
      </c>
      <c r="F21" s="244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1153235.9133280306</v>
      </c>
      <c r="G21" s="244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1346330.5062768147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3"/>
        <v>2.8921919411661239E-4</v>
      </c>
      <c r="K21" s="137">
        <f t="shared" si="4"/>
        <v>1.3438735351700443E-4</v>
      </c>
      <c r="L21" s="137">
        <f t="shared" si="5"/>
        <v>1.3703726086376639E-4</v>
      </c>
      <c r="M21" s="125" t="s">
        <v>158</v>
      </c>
      <c r="N21" s="141">
        <v>3786</v>
      </c>
      <c r="O21" s="152">
        <f t="shared" si="10"/>
        <v>0</v>
      </c>
      <c r="P21" s="141">
        <f t="shared" si="7"/>
        <v>361184.4</v>
      </c>
      <c r="Q21" s="125">
        <f t="shared" si="8"/>
        <v>1.2966519960000001E-2</v>
      </c>
    </row>
    <row r="22" spans="1:23" x14ac:dyDescent="0.2">
      <c r="A22" s="127" t="s">
        <v>51</v>
      </c>
      <c r="B22" s="127" t="s">
        <v>140</v>
      </c>
      <c r="C22" s="251">
        <f t="shared" si="11"/>
        <v>85677</v>
      </c>
      <c r="D22" s="252">
        <v>85677</v>
      </c>
      <c r="E22" s="252">
        <v>85677</v>
      </c>
      <c r="F22" s="244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25246455.421058252</v>
      </c>
      <c r="G22" s="244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26659475.31868159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3"/>
        <v>6.5450166123425784E-3</v>
      </c>
      <c r="K22" s="137">
        <f t="shared" si="4"/>
        <v>3.0411794208337001E-3</v>
      </c>
      <c r="L22" s="137">
        <f t="shared" si="5"/>
        <v>3.1011466981048369E-3</v>
      </c>
      <c r="M22" s="165" t="s">
        <v>302</v>
      </c>
      <c r="N22" s="166">
        <f>SUM(S22:Z22)</f>
        <v>85677</v>
      </c>
      <c r="O22" s="152">
        <f t="shared" si="10"/>
        <v>0</v>
      </c>
      <c r="P22" s="141">
        <f t="shared" si="7"/>
        <v>4390946.25</v>
      </c>
      <c r="Q22" s="125">
        <f t="shared" si="8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51">
        <f t="shared" si="11"/>
        <v>330026</v>
      </c>
      <c r="D23" s="252">
        <v>330026</v>
      </c>
      <c r="E23" s="252">
        <v>330026</v>
      </c>
      <c r="F23" s="244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2222801.0578479804</v>
      </c>
      <c r="G23" s="244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2513965.6315076901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3"/>
        <v>2.5211266180012976E-2</v>
      </c>
      <c r="K23" s="137">
        <f t="shared" si="4"/>
        <v>1.1714559094506843E-2</v>
      </c>
      <c r="L23" s="137">
        <f t="shared" si="5"/>
        <v>1.1945551783894708E-2</v>
      </c>
      <c r="M23" s="125" t="s">
        <v>148</v>
      </c>
      <c r="N23" s="141">
        <v>330026</v>
      </c>
      <c r="O23" s="152">
        <f t="shared" si="10"/>
        <v>0</v>
      </c>
      <c r="P23" s="141">
        <f t="shared" si="7"/>
        <v>33002600</v>
      </c>
      <c r="Q23" s="125">
        <f t="shared" si="8"/>
        <v>1.1847933399999999</v>
      </c>
    </row>
    <row r="24" spans="1:23" x14ac:dyDescent="0.2">
      <c r="A24" s="127" t="s">
        <v>52</v>
      </c>
      <c r="B24" s="127" t="s">
        <v>140</v>
      </c>
      <c r="C24" s="251">
        <f t="shared" si="11"/>
        <v>28645</v>
      </c>
      <c r="D24" s="252">
        <v>28645</v>
      </c>
      <c r="E24" s="252">
        <v>28645</v>
      </c>
      <c r="F24" s="244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5647725.4199956926</v>
      </c>
      <c r="G24" s="244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5811586.052382024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3"/>
        <v>2.1882418952642265E-3</v>
      </c>
      <c r="K24" s="137">
        <f t="shared" si="4"/>
        <v>1.0167791181971981E-3</v>
      </c>
      <c r="L24" s="137">
        <f t="shared" si="5"/>
        <v>1.0368284039732141E-3</v>
      </c>
      <c r="M24" s="125" t="s">
        <v>149</v>
      </c>
      <c r="N24" s="141">
        <v>28645</v>
      </c>
      <c r="O24" s="152">
        <f t="shared" si="10"/>
        <v>0</v>
      </c>
      <c r="P24" s="141">
        <f t="shared" si="7"/>
        <v>2165562</v>
      </c>
      <c r="Q24" s="125">
        <f t="shared" si="8"/>
        <v>7.7743675799999995E-2</v>
      </c>
    </row>
    <row r="25" spans="1:23" x14ac:dyDescent="0.2">
      <c r="A25" s="128" t="s">
        <v>163</v>
      </c>
      <c r="B25" s="127" t="s">
        <v>140</v>
      </c>
      <c r="C25" s="251">
        <f t="shared" si="11"/>
        <v>78</v>
      </c>
      <c r="D25" s="252">
        <v>78</v>
      </c>
      <c r="E25" s="252">
        <v>78</v>
      </c>
      <c r="F25" s="244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4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3"/>
        <v>5.9585570895657067E-6</v>
      </c>
      <c r="K25" s="137">
        <f t="shared" si="4"/>
        <v>2.7686776477354319E-6</v>
      </c>
      <c r="L25" s="137">
        <f t="shared" si="5"/>
        <v>2.8232716184294185E-6</v>
      </c>
      <c r="M25" s="125" t="s">
        <v>164</v>
      </c>
      <c r="N25" s="141">
        <v>78</v>
      </c>
      <c r="O25" s="152">
        <f t="shared" si="10"/>
        <v>0</v>
      </c>
      <c r="P25" s="141">
        <f t="shared" si="7"/>
        <v>3689.3999999999996</v>
      </c>
      <c r="Q25" s="125">
        <f t="shared" si="8"/>
        <v>1.3244945999999998E-4</v>
      </c>
    </row>
    <row r="26" spans="1:23" x14ac:dyDescent="0.2">
      <c r="A26" s="128" t="s">
        <v>159</v>
      </c>
      <c r="B26" s="128" t="s">
        <v>140</v>
      </c>
      <c r="C26" s="251">
        <f t="shared" si="11"/>
        <v>142742</v>
      </c>
      <c r="D26" s="252">
        <v>142742</v>
      </c>
      <c r="E26" s="252">
        <v>142742</v>
      </c>
      <c r="F26" s="244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4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3"/>
        <v>1.090431225742036E-2</v>
      </c>
      <c r="K26" s="137">
        <f t="shared" si="4"/>
        <v>5.0667510870903978E-3</v>
      </c>
      <c r="L26" s="137">
        <f t="shared" si="5"/>
        <v>5.1666594533057953E-3</v>
      </c>
      <c r="M26" s="125" t="s">
        <v>162</v>
      </c>
      <c r="N26" s="125">
        <v>142742</v>
      </c>
      <c r="O26" s="152">
        <f t="shared" si="10"/>
        <v>0</v>
      </c>
      <c r="P26" s="141">
        <f t="shared" si="7"/>
        <v>60431253.120000005</v>
      </c>
      <c r="Q26" s="125">
        <f t="shared" si="8"/>
        <v>2.169481987008</v>
      </c>
    </row>
    <row r="27" spans="1:23" x14ac:dyDescent="0.2">
      <c r="A27" s="127" t="s">
        <v>107</v>
      </c>
      <c r="B27" s="127" t="s">
        <v>140</v>
      </c>
      <c r="C27" s="251">
        <f t="shared" si="11"/>
        <v>0</v>
      </c>
      <c r="D27" s="252">
        <v>0</v>
      </c>
      <c r="E27" s="252">
        <v>0</v>
      </c>
      <c r="F27" s="244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4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3"/>
        <v>0</v>
      </c>
      <c r="K27" s="137">
        <f t="shared" si="4"/>
        <v>0</v>
      </c>
      <c r="L27" s="137">
        <f t="shared" si="5"/>
        <v>0</v>
      </c>
      <c r="M27" s="125" t="s">
        <v>150</v>
      </c>
      <c r="O27" s="152">
        <f t="shared" si="10"/>
        <v>0</v>
      </c>
      <c r="P27" s="141">
        <f t="shared" si="7"/>
        <v>0</v>
      </c>
      <c r="Q27" s="125">
        <f t="shared" si="8"/>
        <v>0</v>
      </c>
    </row>
    <row r="28" spans="1:23" ht="12.75" thickBot="1" x14ac:dyDescent="0.25">
      <c r="A28" s="142" t="s">
        <v>100</v>
      </c>
      <c r="B28" s="142" t="s">
        <v>140</v>
      </c>
      <c r="C28" s="253">
        <f t="shared" si="11"/>
        <v>0</v>
      </c>
      <c r="D28" s="254">
        <v>0</v>
      </c>
      <c r="E28" s="254">
        <v>0</v>
      </c>
      <c r="F28" s="245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5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3"/>
        <v>0</v>
      </c>
      <c r="K28" s="143">
        <f t="shared" si="4"/>
        <v>0</v>
      </c>
      <c r="L28" s="143">
        <f t="shared" si="5"/>
        <v>0</v>
      </c>
      <c r="M28" s="125" t="s">
        <v>150</v>
      </c>
      <c r="O28" s="152">
        <f t="shared" si="10"/>
        <v>0</v>
      </c>
      <c r="P28" s="141">
        <f t="shared" si="7"/>
        <v>0</v>
      </c>
      <c r="Q28" s="125">
        <f t="shared" si="8"/>
        <v>0</v>
      </c>
    </row>
    <row r="29" spans="1:23" x14ac:dyDescent="0.2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28172293.753228396</v>
      </c>
      <c r="E29" s="145">
        <f>SUM(E12:E28)</f>
        <v>27627522.442701165</v>
      </c>
      <c r="F29" s="145"/>
      <c r="G29" s="145"/>
      <c r="H29" s="146"/>
      <c r="I29" s="146"/>
      <c r="J29" s="147">
        <f>SUM(J12:J28)</f>
        <v>1</v>
      </c>
      <c r="K29" s="147">
        <f>SUM(K12:K28)</f>
        <v>1</v>
      </c>
      <c r="L29" s="147">
        <f>SUM(L12:L28)</f>
        <v>1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2">
      <c r="A30" s="148" t="s">
        <v>124</v>
      </c>
      <c r="C30" s="149">
        <f>SUMPRODUCT(C12:C28,$H$12:$H$28)/C29</f>
        <v>0.13822427556900557</v>
      </c>
      <c r="D30" s="149">
        <f>SUMPRODUCT(D12:D28,$H$12:$H$28)/D29</f>
        <v>9.3698270570963679E-2</v>
      </c>
      <c r="E30" s="149">
        <f>SUMPRODUCT(E12:E28,$H$12:$H$28)/E29</f>
        <v>9.4952032922386728E-2</v>
      </c>
      <c r="F30" s="160"/>
      <c r="G30" s="160"/>
    </row>
    <row r="31" spans="1:23" x14ac:dyDescent="0.2">
      <c r="A31" s="148" t="s">
        <v>161</v>
      </c>
      <c r="C31" s="149">
        <f>SUM(C21:C24)/C29</f>
        <v>3.4233743881736389E-2</v>
      </c>
      <c r="D31" s="149">
        <f>SUM(D21:D24)/D29</f>
        <v>1.5906904987054743E-2</v>
      </c>
      <c r="E31" s="149">
        <f>SUM(E21:E24)/E29</f>
        <v>1.6220564146836525E-2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622657993.09082103</v>
      </c>
      <c r="E32" s="125">
        <f>SUMPRODUCT(E12:E28,$I$12:$I$28)</f>
        <v>618917904.12527752</v>
      </c>
    </row>
    <row r="33" spans="1:15" x14ac:dyDescent="0.2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22.353421951960478</v>
      </c>
      <c r="E33" s="125">
        <f>E32*[1]Energiindhold!$C$10</f>
        <v>22.219152758097465</v>
      </c>
    </row>
    <row r="34" spans="1:15" x14ac:dyDescent="0.2">
      <c r="C34" s="255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2">A12</f>
        <v>Svinegylle</v>
      </c>
      <c r="B39" s="132" t="s">
        <v>140</v>
      </c>
      <c r="C39" s="133">
        <f>SUMIFS('Resultater - Vestdanmark'!H$3:H$482,'Resultater - Vestdanmark'!$F$3:$F$482,$A39)*B3</f>
        <v>2534442.072977222</v>
      </c>
      <c r="D39" s="133">
        <f>SUMIFS('Resultater - Vestdanmark'!I$3:I$482,'Resultater - Vestdanmark'!$F$3:$F$482,$A39)*C3</f>
        <v>10853879.88663437</v>
      </c>
      <c r="E39" s="133">
        <f>SUMIFS('Resultater - Vestdanmark'!J$3:J$482,'Resultater - Vestdanmark'!$F$3:$F$482,$A39)*D3</f>
        <v>10391250.072657285</v>
      </c>
      <c r="F39" s="134">
        <f>VLOOKUP(A39,[1]Biogasudbytte!$A$2:$C$18,3,FALSE)</f>
        <v>0.05</v>
      </c>
      <c r="G39" s="135">
        <f t="shared" ref="G39:G55" si="13">I12</f>
        <v>12</v>
      </c>
      <c r="I39" s="132" t="str">
        <f>A39</f>
        <v>Svinegylle</v>
      </c>
      <c r="J39" s="132" t="s">
        <v>140</v>
      </c>
      <c r="K39" s="133">
        <f>SUMIFS('Resultater - Østdanmark'!H$3:H$482,'Resultater - Østdanmark'!$F$3:$F$482,$A39)*B3</f>
        <v>380427.26035611134</v>
      </c>
      <c r="L39" s="133">
        <f>SUMIFS('Resultater - Østdanmark'!I$3:I$482,'Resultater - Østdanmark'!$F$3:$F$482,$A39)*C3</f>
        <v>1572695.883390849</v>
      </c>
      <c r="M39" s="133">
        <f>SUMIFS('Resultater - Østdanmark'!J$3:J$482,'Resultater - Østdanmark'!$F$3:$F$482,$A39)*D3</f>
        <v>1505662.1579788346</v>
      </c>
      <c r="N39" s="134">
        <f>VLOOKUP(I39,[1]Biogasudbytte!$A$2:$C$18,3,FALSE)</f>
        <v>0.05</v>
      </c>
      <c r="O39" s="135">
        <f t="shared" ref="O39:O55" si="14">I12</f>
        <v>12</v>
      </c>
    </row>
    <row r="40" spans="1:15" hidden="1" x14ac:dyDescent="0.2">
      <c r="A40" s="127" t="str">
        <f t="shared" si="12"/>
        <v>Kvæggylle</v>
      </c>
      <c r="B40" s="127" t="s">
        <v>140</v>
      </c>
      <c r="C40" s="136">
        <f>SUMIFS('Resultater - Vestdanmark'!H$3:H$482,'Resultater - Vestdanmark'!$F$3:$F$482,$A40)*B4</f>
        <v>4066864.6068164087</v>
      </c>
      <c r="D40" s="136">
        <f>SUMIFS('Resultater - Vestdanmark'!I$3:I$482,'Resultater - Vestdanmark'!$F$3:$F$482,$A40)*C4</f>
        <v>9348117.6321617663</v>
      </c>
      <c r="E40" s="136">
        <f>SUMIFS('Resultater - Vestdanmark'!J$3:J$482,'Resultater - Vestdanmark'!$F$3:$F$482,$A40)*D4</f>
        <v>9169492.6818358731</v>
      </c>
      <c r="F40" s="137">
        <f>VLOOKUP(A40,[1]Biogasudbytte!$A$2:$C$18,3,FALSE)</f>
        <v>7.5999999999999998E-2</v>
      </c>
      <c r="G40" s="138">
        <f t="shared" si="13"/>
        <v>14.1</v>
      </c>
      <c r="I40" s="127" t="str">
        <f t="shared" ref="I40:I55" si="15">A40</f>
        <v>Kvæggylle</v>
      </c>
      <c r="J40" s="127" t="s">
        <v>140</v>
      </c>
      <c r="K40" s="136">
        <f>SUMIFS('Resultater - Østdanmark'!H$3:H$482,'Resultater - Østdanmark'!$F$3:$F$482,$A40)*B4</f>
        <v>286645.05985025823</v>
      </c>
      <c r="L40" s="136">
        <f>SUMIFS('Resultater - Østdanmark'!I$3:I$482,'Resultater - Østdanmark'!$F$3:$F$482,$A40)*C4</f>
        <v>664408.20431967056</v>
      </c>
      <c r="M40" s="136">
        <f>SUMIFS('Resultater - Østdanmark'!J$3:J$482,'Resultater - Østdanmark'!$F$3:$F$482,$A40)*D4</f>
        <v>651712.6128473935</v>
      </c>
      <c r="N40" s="137">
        <f>VLOOKUP(I40,[1]Biogasudbytte!$A$2:$C$18,3,FALSE)</f>
        <v>7.5999999999999998E-2</v>
      </c>
      <c r="O40" s="138">
        <f t="shared" si="14"/>
        <v>14.1</v>
      </c>
    </row>
    <row r="41" spans="1:15" hidden="1" x14ac:dyDescent="0.2">
      <c r="A41" s="127" t="str">
        <f t="shared" si="12"/>
        <v>Fjerkrægylle</v>
      </c>
      <c r="B41" s="127" t="s">
        <v>140</v>
      </c>
      <c r="C41" s="136">
        <f>SUMIFS('Resultater - Vestdanmark'!H$3:H$482,'Resultater - Vestdanmark'!$F$3:$F$482,$A41)*B5</f>
        <v>4103.8061780475591</v>
      </c>
      <c r="D41" s="136">
        <f>SUMIFS('Resultater - Vestdanmark'!I$3:I$482,'Resultater - Vestdanmark'!$F$3:$F$482,$A41)*C5</f>
        <v>6006.7628175927466</v>
      </c>
      <c r="E41" s="136">
        <f>SUMIFS('Resultater - Vestdanmark'!J$3:J$482,'Resultater - Vestdanmark'!$F$3:$F$482,$A41)*D5</f>
        <v>6203.1828401873436</v>
      </c>
      <c r="F41" s="137">
        <f>VLOOKUP(A41,[1]Biogasudbytte!$A$2:$C$18,3,FALSE)</f>
        <v>6.3E-2</v>
      </c>
      <c r="G41" s="138">
        <f t="shared" si="13"/>
        <v>13.1</v>
      </c>
      <c r="I41" s="127" t="str">
        <f t="shared" si="15"/>
        <v>Fjerkrægylle</v>
      </c>
      <c r="J41" s="127" t="s">
        <v>140</v>
      </c>
      <c r="K41" s="136">
        <f>SUMIFS('Resultater - Østdanmark'!H$3:H$482,'Resultater - Østdanmark'!$F$3:$F$482,$A41)*B5</f>
        <v>337.693821952441</v>
      </c>
      <c r="L41" s="136">
        <f>SUMIFS('Resultater - Østdanmark'!I$3:I$482,'Resultater - Østdanmark'!$F$3:$F$482,$A41)*C5</f>
        <v>504.14538611005531</v>
      </c>
      <c r="M41" s="136">
        <f>SUMIFS('Resultater - Østdanmark'!J$3:J$482,'Resultater - Østdanmark'!$F$3:$F$482,$A41)*D5</f>
        <v>520.63084610535827</v>
      </c>
      <c r="N41" s="137">
        <f>VLOOKUP(I41,[1]Biogasudbytte!$A$2:$C$18,3,FALSE)</f>
        <v>6.3E-2</v>
      </c>
      <c r="O41" s="138">
        <f t="shared" si="14"/>
        <v>13.1</v>
      </c>
    </row>
    <row r="42" spans="1:15" hidden="1" x14ac:dyDescent="0.2">
      <c r="A42" s="127" t="str">
        <f t="shared" si="12"/>
        <v>Spildevandsslam</v>
      </c>
      <c r="B42" s="127" t="s">
        <v>140</v>
      </c>
      <c r="C42" s="136">
        <f>SUMIFS('Resultater - Vestdanmark'!H$3:H$482,'Resultater - Vestdanmark'!$F$3:$F$482,$A42)*B6</f>
        <v>1460182.5874658169</v>
      </c>
      <c r="D42" s="136">
        <f>SUMIFS('Resultater - Vestdanmark'!I$3:I$482,'Resultater - Vestdanmark'!$F$3:$F$482,$A42)*C6</f>
        <v>1497865.6247316466</v>
      </c>
      <c r="E42" s="136">
        <f>SUMIFS('Resultater - Vestdanmark'!J$3:J$482,'Resultater - Vestdanmark'!$F$3:$F$482,$A42)*D6</f>
        <v>1554136.2730559006</v>
      </c>
      <c r="F42" s="137">
        <f>VLOOKUP(A42,[1]Biogasudbytte!$A$2:$C$18,3,FALSE)</f>
        <v>0.06</v>
      </c>
      <c r="G42" s="138">
        <f t="shared" si="13"/>
        <v>13.9</v>
      </c>
      <c r="I42" s="127" t="str">
        <f t="shared" si="15"/>
        <v>Spildevandsslam</v>
      </c>
      <c r="J42" s="127" t="s">
        <v>140</v>
      </c>
      <c r="K42" s="136">
        <f>SUMIFS('Resultater - Østdanmark'!H$3:H$482,'Resultater - Østdanmark'!$F$3:$F$482,$A42)*B6</f>
        <v>1208651.4125341829</v>
      </c>
      <c r="L42" s="136">
        <f>SUMIFS('Resultater - Østdanmark'!I$3:I$482,'Resultater - Østdanmark'!$F$3:$F$482,$A42)*C6</f>
        <v>1267572.2425659813</v>
      </c>
      <c r="M42" s="136">
        <f>SUMIFS('Resultater - Østdanmark'!J$3:J$482,'Resultater - Østdanmark'!$F$3:$F$482,$A42)*D6</f>
        <v>1326833.4967577588</v>
      </c>
      <c r="N42" s="137">
        <f>VLOOKUP(I42,[1]Biogasudbytte!$A$2:$C$18,3,FALSE)</f>
        <v>0.06</v>
      </c>
      <c r="O42" s="138">
        <f t="shared" si="14"/>
        <v>13.9</v>
      </c>
    </row>
    <row r="43" spans="1:15" hidden="1" x14ac:dyDescent="0.2">
      <c r="A43" s="127" t="str">
        <f t="shared" si="12"/>
        <v>Dybstrøelse</v>
      </c>
      <c r="B43" s="127" t="s">
        <v>140</v>
      </c>
      <c r="C43" s="136">
        <f>SUMIFS('Resultater - Vestdanmark'!H$3:H$482,'Resultater - Vestdanmark'!$F$3:$F$482,$A43)*B7</f>
        <v>671194.67155029252</v>
      </c>
      <c r="D43" s="136">
        <f>SUMIFS('Resultater - Vestdanmark'!I$3:I$482,'Resultater - Vestdanmark'!$F$3:$F$482,$A43)*C7</f>
        <v>1061170.3273835385</v>
      </c>
      <c r="E43" s="136">
        <f>SUMIFS('Resultater - Vestdanmark'!J$3:J$482,'Resultater - Vestdanmark'!$F$3:$F$482,$A43)*D7</f>
        <v>1111191.0910754299</v>
      </c>
      <c r="F43" s="137">
        <f>VLOOKUP(A43,[1]Biogasudbytte!$A$2:$C$18,3,FALSE)</f>
        <v>0.3</v>
      </c>
      <c r="G43" s="138">
        <f t="shared" si="13"/>
        <v>60</v>
      </c>
      <c r="I43" s="127" t="str">
        <f t="shared" si="15"/>
        <v>Dybstrøelse</v>
      </c>
      <c r="J43" s="127" t="s">
        <v>140</v>
      </c>
      <c r="K43" s="136">
        <f>SUMIFS('Resultater - Østdanmark'!H$3:H$482,'Resultater - Østdanmark'!$F$3:$F$482,$A43)*B7</f>
        <v>85892.328449707566</v>
      </c>
      <c r="L43" s="136">
        <f>SUMIFS('Resultater - Østdanmark'!I$3:I$482,'Resultater - Østdanmark'!$F$3:$F$482,$A43)*C7</f>
        <v>143222.04383687259</v>
      </c>
      <c r="M43" s="136">
        <f>SUMIFS('Resultater - Østdanmark'!J$3:J$482,'Resultater - Østdanmark'!$F$3:$F$482,$A43)*D7</f>
        <v>150823.24280639994</v>
      </c>
      <c r="N43" s="137">
        <f>VLOOKUP(I43,[1]Biogasudbytte!$A$2:$C$18,3,FALSE)</f>
        <v>0.3</v>
      </c>
      <c r="O43" s="138">
        <f t="shared" si="14"/>
        <v>60</v>
      </c>
    </row>
    <row r="44" spans="1:15" hidden="1" x14ac:dyDescent="0.2">
      <c r="A44" s="128" t="str">
        <f t="shared" si="12"/>
        <v>Brun saft</v>
      </c>
      <c r="B44" s="127" t="s">
        <v>140</v>
      </c>
      <c r="C44" s="136">
        <f>SUMIFS('Resultater - Vestdanmark'!H$3:H$482,'Resultater - Vestdanmark'!$F$3:$F$482,$A44)*B8</f>
        <v>0</v>
      </c>
      <c r="D44" s="136">
        <f>SUMIFS('Resultater - Vestdanmark'!I$3:I$482,'Resultater - Vestdanmark'!$F$3:$F$482,$A44)*C8</f>
        <v>0</v>
      </c>
      <c r="E44" s="136">
        <f>SUMIFS('Resultater - Vestdanmark'!J$3:J$482,'Resultater - Vestdanmark'!$F$3:$F$482,$A44)*D8</f>
        <v>0</v>
      </c>
      <c r="F44" s="137">
        <f>VLOOKUP(A44,[1]Biogasudbytte!$A$2:$C$18,3,FALSE)</f>
        <v>4.2763387558472386E-2</v>
      </c>
      <c r="G44" s="138">
        <f t="shared" si="13"/>
        <v>15.822453396634783</v>
      </c>
      <c r="I44" s="128" t="str">
        <f t="shared" si="15"/>
        <v>Brun saft</v>
      </c>
      <c r="J44" s="127" t="s">
        <v>140</v>
      </c>
      <c r="K44" s="136">
        <f>SUMIFS('Resultater - Østdanmark'!H$3:H$482,'Resultater - Østdanmark'!$F$3:$F$482,$A44)*B8</f>
        <v>0</v>
      </c>
      <c r="L44" s="136">
        <f>SUMIFS('Resultater - Østdanmark'!I$3:I$482,'Resultater - Østdanmark'!$F$3:$F$482,$A44)*C8</f>
        <v>0</v>
      </c>
      <c r="M44" s="136">
        <f>SUMIFS('Resultater - Østdanmark'!J$3:J$482,'Resultater - Østdanmark'!$F$3:$F$482,$A44)*D8</f>
        <v>0</v>
      </c>
      <c r="N44" s="137">
        <f>VLOOKUP(I44,[1]Biogasudbytte!$A$2:$C$18,3,FALSE)</f>
        <v>4.2763387558472386E-2</v>
      </c>
      <c r="O44" s="138">
        <f t="shared" si="14"/>
        <v>15.822453396634783</v>
      </c>
    </row>
    <row r="45" spans="1:15" hidden="1" x14ac:dyDescent="0.2">
      <c r="A45" s="127" t="str">
        <f t="shared" si="12"/>
        <v>Bioaffald</v>
      </c>
      <c r="B45" s="127" t="s">
        <v>140</v>
      </c>
      <c r="C45" s="136" t="e">
        <f>SUMIFS('Resultater - Vestdanmark'!H$3:H$482,'Resultater - Vestdanmark'!$F$3:$F$482,$A45)/SUMIFS('Resultater - Danmark'!H$3:H$482,'Resultater - Danmark'!$F$3:$F$482,$A45)*C18</f>
        <v>#REF!</v>
      </c>
      <c r="D45" s="136" t="e">
        <f>SUMIFS('Resultater - Vestdanmark'!I$3:I$482,'Resultater - Vestdanmark'!$F$3:$F$482,$A45)/SUMIFS('Resultater - Danmark'!I$3:I$482,'Resultater - Danmark'!$F$3:$F$482,$A45)*D18</f>
        <v>#REF!</v>
      </c>
      <c r="E45" s="136" t="e">
        <f>SUMIFS('Resultater - Vestdanmark'!J$3:J$482,'Resultater - Vestdanmark'!$F$3:$F$482,$A45)/SUMIFS('Resultater - Danmark'!J$3:J$482,'Resultater - Danmark'!$F$3:$F$482,$A45)*E18</f>
        <v>#REF!</v>
      </c>
      <c r="F45" s="137">
        <f>VLOOKUP(A45,[1]Biogasudbytte!$A$2:$C$18,3,FALSE)</f>
        <v>0.28000000000000003</v>
      </c>
      <c r="G45" s="138">
        <f t="shared" si="13"/>
        <v>94.9</v>
      </c>
      <c r="I45" s="127" t="str">
        <f t="shared" si="15"/>
        <v>Bioaffald</v>
      </c>
      <c r="J45" s="127" t="s">
        <v>140</v>
      </c>
      <c r="K45" s="136" t="e">
        <f>SUMIFS('Resultater - Østdanmark'!H$3:H$482,'Resultater - Østdanmark'!$F$3:$F$482,$A45)/SUMIFS('Resultater - Danmark'!H$3:H$482,'Resultater - Danmark'!$F$3:$F$482,$A45)*C18</f>
        <v>#REF!</v>
      </c>
      <c r="L45" s="136" t="e">
        <f>SUMIFS('Resultater - Østdanmark'!I$3:I$482,'Resultater - Østdanmark'!$F$3:$F$482,$A45)/SUMIFS('Resultater - Danmark'!I$3:I$482,'Resultater - Danmark'!$F$3:$F$482,$A45)*D18</f>
        <v>#REF!</v>
      </c>
      <c r="M45" s="136" t="e">
        <f>SUMIFS('Resultater - Østdanmark'!J$3:J$482,'Resultater - Østdanmark'!$F$3:$F$482,$A45)/SUMIFS('Resultater - Danmark'!J$3:J$482,'Resultater - Danmark'!$F$3:$F$482,$A45)*E18</f>
        <v>#REF!</v>
      </c>
      <c r="N45" s="137">
        <f>VLOOKUP(I45,[1]Biogasudbytte!$A$2:$C$18,3,FALSE)</f>
        <v>0.28000000000000003</v>
      </c>
      <c r="O45" s="138">
        <f t="shared" si="14"/>
        <v>94.9</v>
      </c>
    </row>
    <row r="46" spans="1:15" hidden="1" x14ac:dyDescent="0.2">
      <c r="A46" s="127" t="str">
        <f t="shared" si="12"/>
        <v>Industriaffald</v>
      </c>
      <c r="B46" s="127" t="s">
        <v>140</v>
      </c>
      <c r="C46" s="136">
        <f>SUMIFS('Resultater - Vestdanmark'!H$3:H$482,'Resultater - Vestdanmark'!$F$3:$F$482,$A46)/SUMIFS('Resultater - Danmark'!H$3:H$482,'Resultater - Danmark'!$F$3:$F$482,$A46)*C19</f>
        <v>716103.75203569303</v>
      </c>
      <c r="D46" s="136">
        <f>SUMIFS('Resultater - Vestdanmark'!I$3:I$482,'Resultater - Vestdanmark'!$F$3:$F$482,$A46)/SUMIFS('Resultater - Danmark'!I$3:I$482,'Resultater - Danmark'!$F$3:$F$482,$A46)*D19</f>
        <v>508461.98144503916</v>
      </c>
      <c r="E46" s="136">
        <f>SUMIFS('Resultater - Vestdanmark'!J$3:J$482,'Resultater - Vestdanmark'!$F$3:$F$482,$A46)/SUMIFS('Resultater - Danmark'!J$3:J$482,'Resultater - Danmark'!$F$3:$F$482,$A46)*E19</f>
        <v>505095.54922592157</v>
      </c>
      <c r="F46" s="137">
        <f>VLOOKUP(A46,[1]Biogasudbytte!$A$2:$C$18,3,FALSE)</f>
        <v>0.42</v>
      </c>
      <c r="G46" s="138">
        <f t="shared" si="13"/>
        <v>102.595</v>
      </c>
      <c r="I46" s="127" t="str">
        <f t="shared" si="15"/>
        <v>Industriaffald</v>
      </c>
      <c r="J46" s="127" t="s">
        <v>140</v>
      </c>
      <c r="K46" s="136">
        <f>SUMIFS('Resultater - Østdanmark'!H$3:H$482,'Resultater - Østdanmark'!$F$3:$F$482,$A46)/SUMIFS('Resultater - Danmark'!H$3:H$482,'Resultater - Danmark'!$F$3:$F$482,$A46)*C19</f>
        <v>279550.24796430691</v>
      </c>
      <c r="L46" s="136">
        <f>SUMIFS('Resultater - Østdanmark'!I$3:I$482,'Resultater - Østdanmark'!$F$3:$F$482,$A46)/SUMIFS('Resultater - Danmark'!I$3:I$482,'Resultater - Danmark'!$F$3:$F$482,$A46)*D19</f>
        <v>217506.01855496093</v>
      </c>
      <c r="M46" s="136">
        <f>SUMIFS('Resultater - Østdanmark'!J$3:J$482,'Resultater - Østdanmark'!$F$3:$F$482,$A46)/SUMIFS('Resultater - Danmark'!J$3:J$482,'Resultater - Danmark'!$F$3:$F$482,$A46)*E19</f>
        <v>217936.45077407858</v>
      </c>
      <c r="N46" s="137">
        <f>VLOOKUP(I46,[1]Biogasudbytte!$A$2:$C$18,3,FALSE)</f>
        <v>0.42</v>
      </c>
      <c r="O46" s="138">
        <f t="shared" si="14"/>
        <v>102.595</v>
      </c>
    </row>
    <row r="47" spans="1:15" hidden="1" x14ac:dyDescent="0.2">
      <c r="A47" s="127" t="str">
        <f t="shared" si="12"/>
        <v>Halm</v>
      </c>
      <c r="B47" s="127" t="s">
        <v>140</v>
      </c>
      <c r="C47" s="136">
        <f>SUMIFS('Resultater - Vestdanmark'!H$3:H$482,'Resultater - Vestdanmark'!$F$3:$F$482,$A47)/SUMIFS('Resultater - Danmark'!H$3:H$482,'Resultater - Danmark'!$F$3:$F$482,$A47)*C20</f>
        <v>53138.892747161146</v>
      </c>
      <c r="D47" s="136">
        <f>SUMIFS('Resultater - Vestdanmark'!I$3:I$482,'Resultater - Vestdanmark'!$F$3:$F$482,$A47)/SUMIFS('Resultater - Danmark'!I$3:I$482,'Resultater - Danmark'!$F$3:$F$482,$A47)*D20</f>
        <v>56757.88331613881</v>
      </c>
      <c r="E47" s="136">
        <f>SUMIFS('Resultater - Vestdanmark'!J$3:J$482,'Resultater - Vestdanmark'!$F$3:$F$482,$A47)/SUMIFS('Resultater - Danmark'!J$3:J$482,'Resultater - Danmark'!$F$3:$F$482,$A47)*E20</f>
        <v>56360.409398816068</v>
      </c>
      <c r="F47" s="137">
        <f>VLOOKUP(A47,[1]Biogasudbytte!$A$2:$C$18,3,FALSE)</f>
        <v>0.85</v>
      </c>
      <c r="G47" s="138">
        <f t="shared" si="13"/>
        <v>160.6</v>
      </c>
      <c r="I47" s="127" t="str">
        <f t="shared" si="15"/>
        <v>Halm</v>
      </c>
      <c r="J47" s="127" t="s">
        <v>140</v>
      </c>
      <c r="K47" s="136">
        <f>SUMIFS('Resultater - Østdanmark'!H$3:H$482,'Resultater - Østdanmark'!$F$3:$F$482,$A47)/SUMIFS('Resultater - Danmark'!H$3:H$482,'Resultater - Danmark'!$F$3:$F$482,$A47)*C20</f>
        <v>22795.107252838847</v>
      </c>
      <c r="L47" s="136">
        <f>SUMIFS('Resultater - Østdanmark'!I$3:I$482,'Resultater - Østdanmark'!$F$3:$F$482,$A47)/SUMIFS('Resultater - Danmark'!I$3:I$482,'Resultater - Danmark'!$F$3:$F$482,$A47)*D20</f>
        <v>19176.116683861201</v>
      </c>
      <c r="M47" s="136">
        <f>SUMIFS('Resultater - Østdanmark'!J$3:J$482,'Resultater - Østdanmark'!$F$3:$F$482,$A47)/SUMIFS('Resultater - Danmark'!J$3:J$482,'Resultater - Danmark'!$F$3:$F$482,$A47)*E20</f>
        <v>19573.590601183951</v>
      </c>
      <c r="N47" s="137">
        <f>VLOOKUP(I47,[1]Biogasudbytte!$A$2:$C$18,3,FALSE)</f>
        <v>0.85</v>
      </c>
      <c r="O47" s="138">
        <f t="shared" si="14"/>
        <v>160.6</v>
      </c>
    </row>
    <row r="48" spans="1:15" hidden="1" x14ac:dyDescent="0.2">
      <c r="A48" s="127" t="str">
        <f t="shared" si="12"/>
        <v>Korn</v>
      </c>
      <c r="B48" s="127" t="s">
        <v>140</v>
      </c>
      <c r="C48" s="136">
        <f>SUMIFS('Resultater - Vestdanmark'!H$3:H$482,'Resultater - Vestdanmark'!$F$3:$F$482,$A48)/SUMIFS('Resultater - Danmark'!H$3:H$482,'Resultater - Danmark'!$F$3:$F$482,$A48)*C21</f>
        <v>2840.1853290986264</v>
      </c>
      <c r="D48" s="136">
        <f>SUMIFS('Resultater - Vestdanmark'!I$3:I$482,'Resultater - Vestdanmark'!$F$3:$F$482,$A48)/SUMIFS('Resultater - Danmark'!I$3:I$482,'Resultater - Danmark'!$F$3:$F$482,$A48)*D21</f>
        <v>2914.9101192356643</v>
      </c>
      <c r="E48" s="136">
        <f>SUMIFS('Resultater - Vestdanmark'!J$3:J$482,'Resultater - Vestdanmark'!$F$3:$F$482,$A48)/SUMIFS('Resultater - Danmark'!J$3:J$482,'Resultater - Danmark'!$F$3:$F$482,$A48)*E21</f>
        <v>2901.770538547059</v>
      </c>
      <c r="F48" s="137">
        <f>VLOOKUP(A48,[1]Biogasudbytte!$A$2:$C$18,3,FALSE)</f>
        <v>0.31</v>
      </c>
      <c r="G48" s="138">
        <f t="shared" si="13"/>
        <v>95.4</v>
      </c>
      <c r="I48" s="127" t="str">
        <f t="shared" si="15"/>
        <v>Korn</v>
      </c>
      <c r="J48" s="127" t="s">
        <v>140</v>
      </c>
      <c r="K48" s="136">
        <f>SUMIFS('Resultater - Østdanmark'!H$3:H$482,'Resultater - Østdanmark'!$F$3:$F$482,$A48)/SUMIFS('Resultater - Danmark'!H$3:H$482,'Resultater - Danmark'!$F$3:$F$482,$A48)*C21</f>
        <v>945.81467090137289</v>
      </c>
      <c r="L48" s="136">
        <f>SUMIFS('Resultater - Østdanmark'!I$3:I$482,'Resultater - Østdanmark'!$F$3:$F$482,$A48)/SUMIFS('Resultater - Danmark'!I$3:I$482,'Resultater - Danmark'!$F$3:$F$482,$A48)*D21</f>
        <v>871.08988076433457</v>
      </c>
      <c r="M48" s="136">
        <f>SUMIFS('Resultater - Østdanmark'!J$3:J$482,'Resultater - Østdanmark'!$F$3:$F$482,$A48)/SUMIFS('Resultater - Danmark'!J$3:J$482,'Resultater - Danmark'!$F$3:$F$482,$A48)*E21</f>
        <v>884.229461452941</v>
      </c>
      <c r="N48" s="137">
        <f>VLOOKUP(I48,[1]Biogasudbytte!$A$2:$C$18,3,FALSE)</f>
        <v>0.31</v>
      </c>
      <c r="O48" s="138">
        <f t="shared" si="14"/>
        <v>95.4</v>
      </c>
    </row>
    <row r="49" spans="1:15" hidden="1" x14ac:dyDescent="0.2">
      <c r="A49" s="127" t="str">
        <f t="shared" si="12"/>
        <v>Græs</v>
      </c>
      <c r="B49" s="127" t="s">
        <v>140</v>
      </c>
      <c r="C49" s="136">
        <f>SUMIFS('Resultater - Vestdanmark'!H$3:H$482,'Resultater - Vestdanmark'!$F$3:$F$482,$A49)/SUMIFS('Resultater - Danmark'!H$3:H$482,'Resultater - Danmark'!$F$3:$F$482,$A49)*C22</f>
        <v>75746.163899662715</v>
      </c>
      <c r="D49" s="136">
        <f>SUMIFS('Resultater - Vestdanmark'!I$3:I$482,'Resultater - Vestdanmark'!$F$3:$F$482,$A49)/SUMIFS('Resultater - Danmark'!I$3:I$482,'Resultater - Danmark'!$F$3:$F$482,$A49)*D22</f>
        <v>67006.096493213583</v>
      </c>
      <c r="E49" s="136">
        <f>SUMIFS('Resultater - Vestdanmark'!J$3:J$482,'Resultater - Vestdanmark'!$F$3:$F$482,$A49)/SUMIFS('Resultater - Danmark'!J$3:J$482,'Resultater - Danmark'!$F$3:$F$482,$A49)*E22</f>
        <v>66758.668734263701</v>
      </c>
      <c r="F49" s="137">
        <f>VLOOKUP(A49,[1]Biogasudbytte!$A$2:$C$18,3,FALSE)</f>
        <v>0.28000000000000003</v>
      </c>
      <c r="G49" s="138">
        <f t="shared" si="13"/>
        <v>51.25</v>
      </c>
      <c r="I49" s="127" t="str">
        <f t="shared" si="15"/>
        <v>Græs</v>
      </c>
      <c r="J49" s="127" t="s">
        <v>140</v>
      </c>
      <c r="K49" s="136">
        <f>SUMIFS('Resultater - Østdanmark'!H$3:H$482,'Resultater - Østdanmark'!$F$3:$F$482,$A49)/SUMIFS('Resultater - Danmark'!H$3:H$482,'Resultater - Danmark'!$F$3:$F$482,$A49)*C22</f>
        <v>9930.836100337272</v>
      </c>
      <c r="L49" s="136">
        <f>SUMIFS('Resultater - Østdanmark'!I$3:I$482,'Resultater - Østdanmark'!$F$3:$F$482,$A49)/SUMIFS('Resultater - Danmark'!I$3:I$482,'Resultater - Danmark'!$F$3:$F$482,$A49)*D22</f>
        <v>18670.90350678641</v>
      </c>
      <c r="M49" s="136">
        <f>SUMIFS('Resultater - Østdanmark'!J$3:J$482,'Resultater - Østdanmark'!$F$3:$F$482,$A49)/SUMIFS('Resultater - Danmark'!J$3:J$482,'Resultater - Danmark'!$F$3:$F$482,$A49)*E22</f>
        <v>18918.331265736317</v>
      </c>
      <c r="N49" s="137">
        <f>VLOOKUP(I49,[1]Biogasudbytte!$A$2:$C$18,3,FALSE)</f>
        <v>0.28000000000000003</v>
      </c>
      <c r="O49" s="138">
        <f t="shared" si="14"/>
        <v>51.25</v>
      </c>
    </row>
    <row r="50" spans="1:15" hidden="1" x14ac:dyDescent="0.2">
      <c r="A50" s="127" t="str">
        <f t="shared" si="12"/>
        <v>Majs</v>
      </c>
      <c r="B50" s="127" t="s">
        <v>140</v>
      </c>
      <c r="C50" s="136">
        <f>SUMIFS('Resultater - Vestdanmark'!H$3:H$482,'Resultater - Vestdanmark'!$F$3:$F$482,$A50)/SUMIFS('Resultater - Danmark'!H$3:H$482,'Resultater - Danmark'!$F$3:$F$482,$A50)*C23</f>
        <v>314821.43493156106</v>
      </c>
      <c r="D50" s="136">
        <f>SUMIFS('Resultater - Vestdanmark'!I$3:I$482,'Resultater - Vestdanmark'!$F$3:$F$482,$A50)/SUMIFS('Resultater - Danmark'!I$3:I$482,'Resultater - Danmark'!$F$3:$F$482,$A50)*D23</f>
        <v>255215.75389295255</v>
      </c>
      <c r="E50" s="136">
        <f>SUMIFS('Resultater - Vestdanmark'!J$3:J$482,'Resultater - Vestdanmark'!$F$3:$F$482,$A50)/SUMIFS('Resultater - Danmark'!J$3:J$482,'Resultater - Danmark'!$F$3:$F$482,$A50)*E23</f>
        <v>254098.83749353027</v>
      </c>
      <c r="F50" s="137">
        <f>VLOOKUP(A50,[1]Biogasudbytte!$A$2:$C$18,3,FALSE)</f>
        <v>0.3</v>
      </c>
      <c r="G50" s="138">
        <f t="shared" si="13"/>
        <v>100</v>
      </c>
      <c r="I50" s="127" t="str">
        <f t="shared" si="15"/>
        <v>Majs</v>
      </c>
      <c r="J50" s="127" t="s">
        <v>140</v>
      </c>
      <c r="K50" s="136">
        <f>SUMIFS('Resultater - Østdanmark'!H$3:H$482,'Resultater - Østdanmark'!$F$3:$F$482,$A50)/SUMIFS('Resultater - Danmark'!H$3:H$482,'Resultater - Danmark'!$F$3:$F$482,$A50)*C23</f>
        <v>15204.565068438918</v>
      </c>
      <c r="L50" s="136">
        <f>SUMIFS('Resultater - Østdanmark'!I$3:I$482,'Resultater - Østdanmark'!$F$3:$F$482,$A50)/SUMIFS('Resultater - Danmark'!I$3:I$482,'Resultater - Danmark'!$F$3:$F$482,$A50)*D23</f>
        <v>74810.246107047482</v>
      </c>
      <c r="M50" s="136">
        <f>SUMIFS('Resultater - Østdanmark'!J$3:J$482,'Resultater - Østdanmark'!$F$3:$F$482,$A50)/SUMIFS('Resultater - Danmark'!J$3:J$482,'Resultater - Danmark'!$F$3:$F$482,$A50)*E23</f>
        <v>75927.162506469729</v>
      </c>
      <c r="N50" s="137">
        <f>VLOOKUP(I50,[1]Biogasudbytte!$A$2:$C$18,3,FALSE)</f>
        <v>0.3</v>
      </c>
      <c r="O50" s="138">
        <f t="shared" si="14"/>
        <v>100</v>
      </c>
    </row>
    <row r="51" spans="1:15" hidden="1" x14ac:dyDescent="0.2">
      <c r="A51" s="127" t="str">
        <f t="shared" si="12"/>
        <v>Roer</v>
      </c>
      <c r="B51" s="127" t="s">
        <v>140</v>
      </c>
      <c r="C51" s="136">
        <f>SUMIFS('Resultater - Vestdanmark'!H$3:H$482,'Resultater - Vestdanmark'!$F$3:$F$482,$A51)/SUMIFS('Resultater - Danmark'!H$3:H$482,'Resultater - Danmark'!$F$3:$F$482,$A51)*C24</f>
        <v>4101.0489241972273</v>
      </c>
      <c r="D51" s="136">
        <f>SUMIFS('Resultater - Vestdanmark'!I$3:I$482,'Resultater - Vestdanmark'!$F$3:$F$482,$A51)/SUMIFS('Resultater - Danmark'!I$3:I$482,'Resultater - Danmark'!$F$3:$F$482,$A51)*D24</f>
        <v>21927.581361856195</v>
      </c>
      <c r="E51" s="136">
        <f>SUMIFS('Resultater - Vestdanmark'!J$3:J$482,'Resultater - Vestdanmark'!$F$3:$F$482,$A51)/SUMIFS('Resultater - Danmark'!J$3:J$482,'Resultater - Danmark'!$F$3:$F$482,$A51)*E24</f>
        <v>21821.426523041016</v>
      </c>
      <c r="F51" s="137">
        <f>VLOOKUP(A51,[1]Biogasudbytte!$A$2:$C$18,3,FALSE)</f>
        <v>0.2</v>
      </c>
      <c r="G51" s="138">
        <f t="shared" si="13"/>
        <v>75.599999999999994</v>
      </c>
      <c r="I51" s="127" t="str">
        <f t="shared" si="15"/>
        <v>Roer</v>
      </c>
      <c r="J51" s="127" t="s">
        <v>140</v>
      </c>
      <c r="K51" s="136">
        <f>SUMIFS('Resultater - Østdanmark'!H$3:H$482,'Resultater - Østdanmark'!$F$3:$F$482,$A51)/SUMIFS('Resultater - Danmark'!H$3:H$482,'Resultater - Danmark'!$F$3:$F$482,$A51)*C24</f>
        <v>24543.951075802775</v>
      </c>
      <c r="L51" s="136">
        <f>SUMIFS('Resultater - Østdanmark'!I$3:I$482,'Resultater - Østdanmark'!$F$3:$F$482,$A51)/SUMIFS('Resultater - Danmark'!I$3:I$482,'Resultater - Danmark'!$F$3:$F$482,$A51)*D24</f>
        <v>6717.4186381438076</v>
      </c>
      <c r="M51" s="136">
        <f>SUMIFS('Resultater - Østdanmark'!J$3:J$482,'Resultater - Østdanmark'!$F$3:$F$482,$A51)/SUMIFS('Resultater - Danmark'!J$3:J$482,'Resultater - Danmark'!$F$3:$F$482,$A51)*E24</f>
        <v>6823.5734769589817</v>
      </c>
      <c r="N51" s="137">
        <f>VLOOKUP(I51,[1]Biogasudbytte!$A$2:$C$18,3,FALSE)</f>
        <v>0.2</v>
      </c>
      <c r="O51" s="138">
        <f t="shared" si="14"/>
        <v>75.599999999999994</v>
      </c>
    </row>
    <row r="52" spans="1:15" hidden="1" x14ac:dyDescent="0.2">
      <c r="A52" s="127" t="str">
        <f t="shared" si="12"/>
        <v>Have/parkaffald</v>
      </c>
      <c r="B52" s="127" t="s">
        <v>140</v>
      </c>
      <c r="C52" s="136">
        <f>SUMIFS('Resultater - Vestdanmark'!H$3:H$482,'Resultater - Vestdanmark'!$F$3:$F$482,$A52)/SUMIFS('Resultater - Danmark'!H$3:H$482,'Resultater - Danmark'!$F$3:$F$482,$A52)*C25</f>
        <v>42.099811904105366</v>
      </c>
      <c r="D52" s="136">
        <f>SUMIFS('Resultater - Vestdanmark'!I$3:I$482,'Resultater - Vestdanmark'!$F$3:$F$482,$A52)/SUMIFS('Resultater - Danmark'!I$3:I$482,'Resultater - Danmark'!$F$3:$F$482,$A52)*D25</f>
        <v>41.80391161429587</v>
      </c>
      <c r="E52" s="136">
        <f>SUMIFS('Resultater - Vestdanmark'!J$3:J$482,'Resultater - Vestdanmark'!$F$3:$F$482,$A52)/SUMIFS('Resultater - Danmark'!J$3:J$482,'Resultater - Danmark'!$F$3:$F$482,$A52)*E25</f>
        <v>41.656918132692169</v>
      </c>
      <c r="F52" s="137">
        <f>VLOOKUP(A52,[1]Biogasudbytte!$A$2:$C$18,3,FALSE)</f>
        <v>0.3</v>
      </c>
      <c r="G52" s="138">
        <f t="shared" si="13"/>
        <v>47.3</v>
      </c>
      <c r="I52" s="127" t="str">
        <f t="shared" si="15"/>
        <v>Have/parkaffald</v>
      </c>
      <c r="J52" s="127" t="s">
        <v>140</v>
      </c>
      <c r="K52" s="136">
        <f>SUMIFS('Resultater - Østdanmark'!H$3:H$482,'Resultater - Østdanmark'!$F$3:$F$482,$A52)/SUMIFS('Resultater - Danmark'!H$3:H$482,'Resultater - Danmark'!$F$3:$F$482,$A52)*C25</f>
        <v>35.900188095894634</v>
      </c>
      <c r="L52" s="136">
        <f>SUMIFS('Resultater - Østdanmark'!I$3:I$482,'Resultater - Østdanmark'!$F$3:$F$482,$A52)/SUMIFS('Resultater - Danmark'!I$3:I$482,'Resultater - Danmark'!$F$3:$F$482,$A52)*D25</f>
        <v>36.19608838570413</v>
      </c>
      <c r="M52" s="136">
        <f>SUMIFS('Resultater - Østdanmark'!J$3:J$482,'Resultater - Østdanmark'!$F$3:$F$482,$A52)/SUMIFS('Resultater - Danmark'!J$3:J$482,'Resultater - Danmark'!$F$3:$F$482,$A52)*E25</f>
        <v>36.343081867307831</v>
      </c>
      <c r="N52" s="137">
        <f>VLOOKUP(I52,[1]Biogasudbytte!$A$2:$C$18,3,FALSE)</f>
        <v>0.3</v>
      </c>
      <c r="O52" s="138">
        <f t="shared" si="14"/>
        <v>47.3</v>
      </c>
    </row>
    <row r="53" spans="1:15" hidden="1" x14ac:dyDescent="0.2">
      <c r="A53" s="128" t="str">
        <f t="shared" si="12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3"/>
        <v>423.36</v>
      </c>
      <c r="I53" s="128" t="str">
        <f t="shared" si="15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4"/>
        <v>423.36</v>
      </c>
    </row>
    <row r="54" spans="1:15" hidden="1" x14ac:dyDescent="0.2">
      <c r="A54" s="127" t="str">
        <f t="shared" si="12"/>
        <v>Muslinger</v>
      </c>
      <c r="B54" s="127" t="s">
        <v>140</v>
      </c>
      <c r="C54" s="136">
        <f>SUMIFS('Resultater - Vestdanmark'!H$3:H$482,'Resultater - Vestdanmark'!$F$3:$F$482,$A54)/SUMIFS('Resultater - Danmark'!H$3:H$482,'Resultater - Danmark'!$F$3:$F$482,$A54)*C27</f>
        <v>0</v>
      </c>
      <c r="D54" s="136">
        <f>SUMIFS('Resultater - Vestdanmark'!I$3:I$482,'Resultater - Vestdanmark'!$F$3:$F$482,$A54)/SUMIFS('Resultater - Danmark'!I$3:I$482,'Resultater - Danmark'!$F$3:$F$482,$A54)*D27</f>
        <v>0</v>
      </c>
      <c r="E54" s="136">
        <f>SUMIFS('Resultater - Vestdanmark'!J$3:J$482,'Resultater - Vestdanmark'!$F$3:$F$482,$A54)/SUMIFS('Resultater - Danmark'!J$3:J$482,'Resultater - Danmark'!$F$3:$F$482,$A54)*E27</f>
        <v>0</v>
      </c>
      <c r="F54" s="137">
        <f>VLOOKUP(A54,[1]Biogasudbytte!$A$2:$C$18,3,FALSE)</f>
        <v>0.15</v>
      </c>
      <c r="G54" s="138">
        <f t="shared" si="13"/>
        <v>25</v>
      </c>
      <c r="I54" s="127" t="str">
        <f t="shared" si="15"/>
        <v>Muslinger</v>
      </c>
      <c r="J54" s="127" t="s">
        <v>140</v>
      </c>
      <c r="K54" s="136">
        <f>SUMIFS('Resultater - Østdanmark'!H$3:H$482,'Resultater - Østdanmark'!$F$3:$F$482,$A54)/SUMIFS('Resultater - Danmark'!H$3:H$482,'Resultater - Danmark'!$F$3:$F$482,$A54)*C27</f>
        <v>0</v>
      </c>
      <c r="L54" s="136">
        <f>SUMIFS('Resultater - Østdanmark'!I$3:I$482,'Resultater - Østdanmark'!$F$3:$F$482,$A54)/SUMIFS('Resultater - Danmark'!I$3:I$482,'Resultater - Danmark'!$F$3:$F$482,$A54)*D27</f>
        <v>0</v>
      </c>
      <c r="M54" s="136">
        <f>SUMIFS('Resultater - Østdanmark'!J$3:J$482,'Resultater - Østdanmark'!$F$3:$F$482,$A54)/SUMIFS('Resultater - Danmark'!J$3:J$482,'Resultater - Danmark'!$F$3:$F$482,$A54)*E27</f>
        <v>0</v>
      </c>
      <c r="N54" s="137">
        <f>VLOOKUP(I54,[1]Biogasudbytte!$A$2:$C$18,3,FALSE)</f>
        <v>0.15</v>
      </c>
      <c r="O54" s="138">
        <f t="shared" si="14"/>
        <v>25</v>
      </c>
    </row>
    <row r="55" spans="1:15" ht="12.75" hidden="1" thickBot="1" x14ac:dyDescent="0.25">
      <c r="A55" s="142" t="str">
        <f t="shared" si="12"/>
        <v>Tang</v>
      </c>
      <c r="B55" s="142" t="s">
        <v>140</v>
      </c>
      <c r="C55" s="179">
        <f>SUMIFS('Resultater - Vestdanmark'!H$3:H$482,'Resultater - Vestdanmark'!$F$3:$F$482,$A55)/SUMIFS('Resultater - Danmark'!H$3:H$482,'Resultater - Danmark'!$F$3:$F$482,$A55)*C28</f>
        <v>0</v>
      </c>
      <c r="D55" s="179">
        <f>SUMIFS('Resultater - Vestdanmark'!I$3:I$482,'Resultater - Vestdanmark'!$F$3:$F$482,$A55)/SUMIFS('Resultater - Danmark'!I$3:I$482,'Resultater - Danmark'!$F$3:$F$482,$A55)*D28</f>
        <v>0</v>
      </c>
      <c r="E55" s="179">
        <f>SUMIFS('Resultater - Vestdanmark'!J$3:J$482,'Resultater - Vestdanmark'!$F$3:$F$482,$A55)/SUMIFS('Resultater - Danmark'!J$3:J$482,'Resultater - Danmark'!$F$3:$F$482,$A55)*E28</f>
        <v>0</v>
      </c>
      <c r="F55" s="143">
        <f>VLOOKUP(A55,[1]Biogasudbytte!$A$2:$C$18,3,FALSE)</f>
        <v>0.15</v>
      </c>
      <c r="G55" s="144">
        <f t="shared" si="13"/>
        <v>25</v>
      </c>
      <c r="I55" s="142" t="str">
        <f t="shared" si="15"/>
        <v>Tang</v>
      </c>
      <c r="J55" s="142" t="s">
        <v>140</v>
      </c>
      <c r="K55" s="179">
        <f>SUMIFS('Resultater - Østdanmark'!H$3:H$482,'Resultater - Østdanmark'!$F$3:$F$482,$A55)/SUMIFS('Resultater - Danmark'!H$3:H$482,'Resultater - Danmark'!$F$3:$F$482,$A55)*C28</f>
        <v>0</v>
      </c>
      <c r="L55" s="179">
        <f>SUMIFS('Resultater - Østdanmark'!I$3:I$482,'Resultater - Østdanmark'!$F$3:$F$482,$A55)/SUMIFS('Resultater - Danmark'!I$3:I$482,'Resultater - Danmark'!$F$3:$F$482,$A55)*D28</f>
        <v>0</v>
      </c>
      <c r="M55" s="179">
        <f>SUMIFS('Resultater - Østdanmark'!J$3:J$482,'Resultater - Østdanmark'!$F$3:$F$482,$A55)/SUMIFS('Resultater - Danmark'!J$3:J$482,'Resultater - Danmark'!$F$3:$F$482,$A55)*E28</f>
        <v>0</v>
      </c>
      <c r="N55" s="143">
        <f>VLOOKUP(I55,[1]Biogasudbytte!$A$2:$C$18,3,FALSE)</f>
        <v>0.15</v>
      </c>
      <c r="O55" s="144">
        <f t="shared" si="14"/>
        <v>25</v>
      </c>
    </row>
    <row r="56" spans="1:15" hidden="1" x14ac:dyDescent="0.2">
      <c r="A56" s="125" t="s">
        <v>105</v>
      </c>
      <c r="B56" s="125" t="s">
        <v>140</v>
      </c>
      <c r="C56" s="145" t="e">
        <f>SUM(C39:C55)</f>
        <v>#REF!</v>
      </c>
      <c r="D56" s="145" t="e">
        <f>SUM(D39:D55)</f>
        <v>#REF!</v>
      </c>
      <c r="E56" s="145" t="e">
        <f>SUM(E39:E55)</f>
        <v>#REF!</v>
      </c>
      <c r="F56" s="146"/>
      <c r="G56" s="146"/>
      <c r="I56" s="125" t="s">
        <v>105</v>
      </c>
      <c r="J56" s="125" t="s">
        <v>140</v>
      </c>
      <c r="K56" s="145" t="e">
        <f>SUM(K39:K55)</f>
        <v>#REF!</v>
      </c>
      <c r="L56" s="145" t="e">
        <f>SUM(L39:L55)</f>
        <v>#REF!</v>
      </c>
      <c r="M56" s="145" t="e">
        <f>SUM(M39:M55)</f>
        <v>#REF!</v>
      </c>
      <c r="N56" s="146"/>
      <c r="O56" s="146"/>
    </row>
    <row r="57" spans="1:15" hidden="1" x14ac:dyDescent="0.2">
      <c r="A57" s="148" t="s">
        <v>124</v>
      </c>
      <c r="C57" s="149" t="e">
        <f>SUMPRODUCT(C39:C55,$F$39:$F$55)/C56</f>
        <v>#REF!</v>
      </c>
      <c r="D57" s="149" t="e">
        <f>SUMPRODUCT(D39:D55,$F$39:$F$55)/D56</f>
        <v>#REF!</v>
      </c>
      <c r="E57" s="149" t="e">
        <f>SUMPRODUCT(E39:E55,$F$39:$F$55)/E56</f>
        <v>#REF!</v>
      </c>
      <c r="I57" s="148" t="s">
        <v>124</v>
      </c>
      <c r="K57" s="149" t="e">
        <f>SUMPRODUCT(K39:K55,$N$39:$N$55)/K56</f>
        <v>#REF!</v>
      </c>
      <c r="L57" s="149" t="e">
        <f>SUMPRODUCT(L39:L55,$N$39:$N$55)/L56</f>
        <v>#REF!</v>
      </c>
      <c r="M57" s="149" t="e">
        <f>SUMPRODUCT(M39:M55,$N$39:$N$55)/M56</f>
        <v>#REF!</v>
      </c>
    </row>
    <row r="58" spans="1:15" hidden="1" x14ac:dyDescent="0.2">
      <c r="A58" s="148" t="s">
        <v>161</v>
      </c>
      <c r="C58" s="149" t="e">
        <f>SUM(C48:C51)/C56</f>
        <v>#REF!</v>
      </c>
      <c r="D58" s="149" t="e">
        <f>SUM(D48:D51)/D56</f>
        <v>#REF!</v>
      </c>
      <c r="E58" s="149" t="e">
        <f>SUM(E48:E51)/E56</f>
        <v>#REF!</v>
      </c>
      <c r="I58" s="148" t="s">
        <v>161</v>
      </c>
      <c r="K58" s="149" t="e">
        <f>SUM(K48:K51)/K56</f>
        <v>#REF!</v>
      </c>
      <c r="L58" s="149" t="e">
        <f>SUM(L48:L51)/L56</f>
        <v>#REF!</v>
      </c>
      <c r="M58" s="149" t="e">
        <f>SUM(M48:M51)/M56</f>
        <v>#REF!</v>
      </c>
    </row>
    <row r="59" spans="1:15" hidden="1" x14ac:dyDescent="0.2">
      <c r="A59" s="125" t="s">
        <v>143</v>
      </c>
      <c r="B59" s="125" t="s">
        <v>144</v>
      </c>
      <c r="C59" s="125" t="e">
        <f>SUMPRODUCT(C39:C55,$I$12:$I$28)</f>
        <v>#REF!</v>
      </c>
      <c r="D59" s="125" t="e">
        <f>SUMPRODUCT(D39:D55,$I$12:$I$28)</f>
        <v>#REF!</v>
      </c>
      <c r="E59" s="125" t="e">
        <f>SUMPRODUCT(E39:E55,$I$12:$I$28)</f>
        <v>#REF!</v>
      </c>
      <c r="I59" s="125" t="s">
        <v>143</v>
      </c>
      <c r="J59" s="125" t="s">
        <v>144</v>
      </c>
      <c r="K59" s="125" t="e">
        <f>SUMPRODUCT(K39:K55,$I$12:$I$28)</f>
        <v>#REF!</v>
      </c>
      <c r="L59" s="125" t="e">
        <f>SUMPRODUCT(L39:L55,$I$12:$I$28)</f>
        <v>#REF!</v>
      </c>
      <c r="M59" s="125" t="e">
        <f>SUMPRODUCT(M39:M55,$I$12:$I$28)</f>
        <v>#REF!</v>
      </c>
    </row>
    <row r="60" spans="1:15" hidden="1" x14ac:dyDescent="0.2">
      <c r="A60" s="125" t="s">
        <v>143</v>
      </c>
      <c r="B60" s="125" t="s">
        <v>123</v>
      </c>
      <c r="C60" s="125" t="e">
        <f>C59*[1]Energiindhold!$C$10</f>
        <v>#REF!</v>
      </c>
      <c r="D60" s="125" t="e">
        <f>D59*[1]Energiindhold!$C$10</f>
        <v>#REF!</v>
      </c>
      <c r="E60" s="125" t="e">
        <f>E59*[1]Energiindhold!$C$10</f>
        <v>#REF!</v>
      </c>
      <c r="I60" s="125" t="s">
        <v>143</v>
      </c>
      <c r="J60" s="125" t="s">
        <v>123</v>
      </c>
      <c r="K60" s="125" t="e">
        <f>K59*[1]Energiindhold!$C$10</f>
        <v>#REF!</v>
      </c>
      <c r="L60" s="125" t="e">
        <f>L59*[1]Energiindhold!$C$10</f>
        <v>#REF!</v>
      </c>
      <c r="M60" s="125" t="e">
        <f>M59*[1]Energiindhold!$C$10</f>
        <v>#REF!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2"/>
  <sheetViews>
    <sheetView zoomScale="117" workbookViewId="0">
      <selection activeCell="E21" sqref="E21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31" t="s">
        <v>281</v>
      </c>
    </row>
    <row r="2" spans="1:5" ht="15.75" x14ac:dyDescent="0.25">
      <c r="A2" s="229" t="s">
        <v>318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11"/>
    </row>
    <row r="6" spans="1:5" x14ac:dyDescent="0.25">
      <c r="A6" s="311"/>
    </row>
    <row r="7" spans="1:5" ht="15.75" x14ac:dyDescent="0.25">
      <c r="A7" s="229" t="s">
        <v>304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data'!$D460</f>
        <v>Rapsolie</v>
      </c>
      <c r="B10" s="87">
        <v>0.48</v>
      </c>
      <c r="C10" s="3">
        <v>0</v>
      </c>
      <c r="D10" s="3">
        <v>0</v>
      </c>
      <c r="E10" s="1" t="s">
        <v>337</v>
      </c>
    </row>
    <row r="11" spans="1:5" x14ac:dyDescent="0.25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data'!$D462</f>
        <v>Træ til energi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data'!$D463</f>
        <v>Have/parkaffald</v>
      </c>
      <c r="B13" s="87">
        <v>0</v>
      </c>
      <c r="C13" s="3">
        <v>0</v>
      </c>
      <c r="D13" s="3">
        <v>0</v>
      </c>
    </row>
    <row r="14" spans="1:5" x14ac:dyDescent="0.25">
      <c r="A14" s="2" t="str">
        <f>'[1]Processer - data'!$D464</f>
        <v>Bioaffald</v>
      </c>
      <c r="B14" s="87">
        <v>0</v>
      </c>
      <c r="C14" s="3">
        <v>0</v>
      </c>
      <c r="D14" s="3">
        <v>0</v>
      </c>
    </row>
    <row r="16" spans="1:5" x14ac:dyDescent="0.25">
      <c r="A16" s="2" t="s">
        <v>250</v>
      </c>
      <c r="B16" s="2">
        <f>År1</f>
        <v>2019</v>
      </c>
      <c r="C16" s="2">
        <f>År2</f>
        <v>2030</v>
      </c>
      <c r="D16" s="2">
        <f>År3</f>
        <v>2050</v>
      </c>
    </row>
    <row r="17" spans="1:4" x14ac:dyDescent="0.25">
      <c r="A17" s="2" t="str">
        <f>A9</f>
        <v>Halm</v>
      </c>
      <c r="B17" s="109">
        <f>SUMIFS('Forbrug af biomasse'!$E$2:$E$403,'Forbrug af biomasse'!$D$2:$D$403,'Forbrug til andet'!B$16,'Forbrug af biomasse'!$C$2:$C$403,'Forbrug til andet'!$A17,'Forbrug af biomasse'!$A$2:$A$403,"Materialer")</f>
        <v>0</v>
      </c>
      <c r="C17" s="109">
        <f>SUMIFS('Forbrug af biomasse'!$E$2:$E$403,'Forbrug af biomasse'!$D$2:$D$403,'Forbrug til andet'!C$16,'Forbrug af biomasse'!$C$2:$C$403,'Forbrug til andet'!$A17,'Forbrug af biomasse'!$A$2:$A$403,"Materialer")</f>
        <v>0</v>
      </c>
      <c r="D17" s="109">
        <f>SUMIFS('Forbrug af biomasse'!$E$2:$E$403,'Forbrug af biomasse'!$D$2:$D$403,'Forbrug til andet'!D$16,'Forbrug af biomasse'!$C$2:$C$403,'Forbrug til andet'!$A17,'Forbrug af biomasse'!$A$2:$A$403,"Materialer")</f>
        <v>0</v>
      </c>
    </row>
    <row r="18" spans="1:4" x14ac:dyDescent="0.25">
      <c r="A18" s="2" t="str">
        <f t="shared" ref="A18:A22" si="0">A10</f>
        <v>Rapsolie</v>
      </c>
      <c r="B18" s="109">
        <f>SUMIFS('Forbrug af biomasse'!$E$2:$E$403,'Forbrug af biomasse'!$D$2:$D$403,'Forbrug til andet'!B$16,'Forbrug af biomasse'!$C$2:$C$403,'Forbrug til andet'!$A18,'Forbrug af biomasse'!$A$2:$A$403,"Materialer")</f>
        <v>104203.4407339669</v>
      </c>
      <c r="C18" s="109">
        <f>SUMIFS('Forbrug af biomasse'!$E$2:$E$403,'Forbrug af biomasse'!$D$2:$D$403,'Forbrug til andet'!C$16,'Forbrug af biomasse'!$C$2:$C$403,'Forbrug til andet'!$A18,'Forbrug af biomasse'!$A$2:$A$403,"Materialer")</f>
        <v>0</v>
      </c>
      <c r="D18" s="109">
        <f>SUMIFS('Forbrug af biomasse'!$E$2:$E$403,'Forbrug af biomasse'!$D$2:$D$403,'Forbrug til andet'!D$16,'Forbrug af biomasse'!$C$2:$C$403,'Forbrug til andet'!$A18,'Forbrug af biomasse'!$A$2:$A$403,"Materialer")</f>
        <v>0</v>
      </c>
    </row>
    <row r="19" spans="1:4" x14ac:dyDescent="0.25">
      <c r="A19" s="2" t="str">
        <f t="shared" si="0"/>
        <v>Pil &amp; poppel</v>
      </c>
      <c r="B19" s="109">
        <f>SUMIFS('Forbrug af biomasse'!$E$2:$E$403,'Forbrug af biomasse'!$D$2:$D$403,'Forbrug til andet'!B$16,'Forbrug af biomasse'!$C$2:$C$403,'Forbrug til andet'!$A19,'Forbrug af biomasse'!$A$2:$A$403,"Materialer")</f>
        <v>0</v>
      </c>
      <c r="C19" s="109">
        <f>SUMIFS('Forbrug af biomasse'!$E$2:$E$403,'Forbrug af biomasse'!$D$2:$D$403,'Forbrug til andet'!C$16,'Forbrug af biomasse'!$C$2:$C$403,'Forbrug til andet'!$A19,'Forbrug af biomasse'!$A$2:$A$403,"Materialer")</f>
        <v>0</v>
      </c>
      <c r="D19" s="109">
        <f>SUMIFS('Forbrug af biomasse'!$E$2:$E$403,'Forbrug af biomasse'!$D$2:$D$403,'Forbrug til andet'!D$16,'Forbrug af biomasse'!$C$2:$C$403,'Forbrug til andet'!$A19,'Forbrug af biomasse'!$A$2:$A$403,"Materialer")</f>
        <v>0</v>
      </c>
    </row>
    <row r="20" spans="1:4" x14ac:dyDescent="0.25">
      <c r="A20" s="2" t="str">
        <f t="shared" si="0"/>
        <v>Træ til energi</v>
      </c>
      <c r="B20" s="109">
        <f>SUMIFS('Forbrug af biomasse'!$E$2:$E$403,'Forbrug af biomasse'!$D$2:$D$403,'Forbrug til andet'!B$16,'Forbrug af biomasse'!$C$2:$C$403,'Forbrug til andet'!$A20,'Forbrug af biomasse'!$A$2:$A$403,"Materialer")</f>
        <v>0</v>
      </c>
      <c r="C20" s="109">
        <f>SUMIFS('Forbrug af biomasse'!$E$2:$E$403,'Forbrug af biomasse'!$D$2:$D$403,'Forbrug til andet'!C$16,'Forbrug af biomasse'!$C$2:$C$403,'Forbrug til andet'!$A20,'Forbrug af biomasse'!$A$2:$A$403,"Materialer")</f>
        <v>0</v>
      </c>
      <c r="D20" s="109">
        <f>SUMIFS('Forbrug af biomasse'!$E$2:$E$403,'Forbrug af biomasse'!$D$2:$D$403,'Forbrug til andet'!D$16,'Forbrug af biomasse'!$C$2:$C$403,'Forbrug til andet'!$A20,'Forbrug af biomasse'!$A$2:$A$403,"Materialer")</f>
        <v>0</v>
      </c>
    </row>
    <row r="21" spans="1:4" x14ac:dyDescent="0.25">
      <c r="A21" s="2" t="str">
        <f t="shared" si="0"/>
        <v>Have/parkaffald</v>
      </c>
      <c r="B21" s="109">
        <f>SUMIFS('Forbrug af biomasse'!$E$2:$E$403,'Forbrug af biomasse'!$D$2:$D$403,'Forbrug til andet'!B$16,'Forbrug af biomasse'!$C$2:$C$403,'Forbrug til andet'!$A21,'Forbrug af biomasse'!$A$2:$A$403,"Materialer")</f>
        <v>0</v>
      </c>
      <c r="C21" s="109">
        <f>SUMIFS('Forbrug af biomasse'!$E$2:$E$403,'Forbrug af biomasse'!$D$2:$D$403,'Forbrug til andet'!C$16,'Forbrug af biomasse'!$C$2:$C$403,'Forbrug til andet'!$A21,'Forbrug af biomasse'!$A$2:$A$403,"Materialer")</f>
        <v>0</v>
      </c>
      <c r="D21" s="109">
        <f>SUMIFS('Forbrug af biomasse'!$E$2:$E$403,'Forbrug af biomasse'!$D$2:$D$403,'Forbrug til andet'!D$16,'Forbrug af biomasse'!$C$2:$C$403,'Forbrug til andet'!$A21,'Forbrug af biomasse'!$A$2:$A$403,"Materialer")</f>
        <v>0</v>
      </c>
    </row>
    <row r="22" spans="1:4" x14ac:dyDescent="0.25">
      <c r="A22" s="2" t="str">
        <f t="shared" si="0"/>
        <v>Bioaffald</v>
      </c>
      <c r="B22" s="109" t="e">
        <f>SUMIFS('Forbrug af biomasse'!$E$2:$E$403,'Forbrug af biomasse'!$D$2:$D$403,'Forbrug til andet'!B$16,'Forbrug af biomasse'!$C$2:$C$403,'Forbrug til andet'!$A22,'Forbrug af biomasse'!$A$2:$A$403,"Materialer")</f>
        <v>#REF!</v>
      </c>
      <c r="C22" s="109" t="e">
        <f>SUMIFS('Forbrug af biomasse'!$E$2:$E$403,'Forbrug af biomasse'!$D$2:$D$403,'Forbrug til andet'!C$16,'Forbrug af biomasse'!$C$2:$C$403,'Forbrug til andet'!$A22,'Forbrug af biomasse'!$A$2:$A$403,"Materialer")</f>
        <v>#REF!</v>
      </c>
      <c r="D22" s="109" t="e">
        <f>SUMIFS('Forbrug af biomasse'!$E$2:$E$403,'Forbrug af biomasse'!$D$2:$D$403,'Forbrug til andet'!D$16,'Forbrug af biomasse'!$C$2:$C$403,'Forbrug til andet'!$A22,'Forbrug af biomasse'!$A$2:$A$403,"Materialer")</f>
        <v>#REF!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5546875" defaultRowHeight="15" x14ac:dyDescent="0.25"/>
  <cols>
    <col min="1" max="16384" width="8.85546875" style="92"/>
  </cols>
  <sheetData>
    <row r="1" spans="1:1" x14ac:dyDescent="0.25">
      <c r="A1" s="6" t="s">
        <v>252</v>
      </c>
    </row>
    <row r="2" spans="1:1" x14ac:dyDescent="0.25">
      <c r="A2" s="92" t="s">
        <v>253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59" workbookViewId="0">
      <selection activeCell="I171" sqref="I171:I182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623909.73940601887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576591.97905547544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48011.920691725383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44370.662327297228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70259.109449246753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64930.608396310665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389039.43578841945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359534.40705289674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8069.2150499893842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7457.2400160431316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33939.868192186092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31365.844342236556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51872.305654463133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47938.272936646019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105024.04342368516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97058.944942455943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3146.7111847138076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2908.0623604905873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27850.682564630642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25738.466902719567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62611.02615456815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57862.561202403813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11759.429887638771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10867.586324157863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4522.0169004115751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4179.063908207143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109694.9188294395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101375.57782061782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12397.451002927566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11824.158471000279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1062.761606425149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1013.616561041327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1137.9870596805204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1085.3633806201497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10501.746271795293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10016.116386394353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49.117062325833871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46.845753085332873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775.43110733760068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739.57302144915673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20.343682789424093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19.402934452340897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2626.0637331851003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2504.6272599742283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44.737253203575285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42.668478488959082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791.21864877871178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754.6305031704477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1952.9609549061931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1862.6506217313402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224.38166373606674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214.00563304306942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368.51743073956908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351.476162266063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40667.094971784412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38786.535666730793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6829.6764788402734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6513.8532890673114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393.24746020858441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375.06260655732041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509.2376538265151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485.68909179985542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11744.627821749295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11201.523645021003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13.650927813648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13.019671036138266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722.54761223276046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689.13500588673674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7.81367517821608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7.4523491584141794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971.70700105983565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926.7725732651611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27.846169827307591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26.558485673443656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492.48461375505457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469.71075878372255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1566.9213854799195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1494.4625930877842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139.66369115457903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133.20525456939615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329.67947330545348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314.43417974219551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31481.370371455621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30025.584458324727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97373.196323482727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122307.389496616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7493.1899345467373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9411.9586754872907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10965.294538321748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13773.159356793169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60717.137377383391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76264.874223341743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1259.3572621370715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1581.8387912818764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5296.973648491472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6653.3609210804825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8095.677761101183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10168.724562318854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16391.035678841039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20588.261048399749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491.10521379926485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616.86171283133672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4346.6383193354177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5459.6747975465751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9771.6630414643932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12273.876618691718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1835.286745469635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2305.2455839122736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705.74830237637309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886.46810174090911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17120.016233496339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21503.910446797723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1934.8622952545911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2508.1548271818774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165.86452817039898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215.00957355422085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177.60491682875178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230.22859588912263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1639.0008632281672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2124.6307486291057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7.6656686866908359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9.9369779271918226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121.0210398734984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156.87912576194233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3.1750256376557835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4.1157739747389783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409.84809708669195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531.28457029756362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6.9821146618296694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9.0508893764458662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123.48499142789146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160.07313703615557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304.79737446512843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395.1077076399813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35.01910358886591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45.395134281863214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57.514281098083039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74.555549571589111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6346.8876545559488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8227.4469596095623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1065.9032654837422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1381.7264552567024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61.373881073016072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79.558734724280086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79.476396839976346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103.024958866636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1832.9765964579826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2376.0807731862733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2.1304916240953529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2.7617484016050868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112.76754641782966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146.18015276385327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1.2194753168314114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1.5808013366333109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151.6536938070264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196.58812160170083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4.3459340192907803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5.6336181731547148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76.861760528245512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99.635615499577497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244.54842432345563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317.00721671559063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21.797223474992101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28.255660060174939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51.452865775995633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66.698159339253593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4913.2774568167742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6369.0633699476693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190174.15207493372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179389.67006955924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14634.530814874721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13804.629208856637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21415.704421878378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20201.252949634338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118583.25035158051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111858.57764710314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2459.5803417061084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2320.101344973416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10345.22343108295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9758.5618121573061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15811.216143862219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14914.586532918138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32012.416450807639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30197.041830253234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959.15016801528964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904.75824558759291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8489.1765698018808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8007.7684974714139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19084.489401980361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18002.237527623009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3584.3960536589798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3381.1304977511027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1378.3575978842866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1300.1930705330769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33436.147663246578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31540.035447842853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1752.9487519585884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1671.8875379951853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47.402536309570174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45.21051150912762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191.46624906280843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182.61231847030859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562.99099727781993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536.95673150774724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10.662439786194978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10.169378986833362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18.127123488677832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17.288875003652265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50.643369270114505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48.301479361669905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53.993646777040333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51.496830741107829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11.647539532185737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11.108924987344778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83.169081452753318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79.323112368232927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603.80358732362868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575.88203415259386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18.25162816502359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17.407622238317295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38.736771764982237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36.945475960821213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4383.0738282155862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4180.3883332692003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1053.0573109296802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1004.3610190947816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19.126993325199422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18.242508084727771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93.430886843548848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89.110383405696865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686.58489509283288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654.83530456830886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3.2314797199590726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3.0820471317528724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18.419048913328059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17.567300986700172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21.211111456389141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20.230250811006982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21.786516121482823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20.77904716788824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7.9057923278821436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7.5402065554945299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56.451191622853806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53.840731894629357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528.28027242495364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503.85112687929109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12.388331588802384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11.815460763886664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37.789605201644072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36.042109007348387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3393.0422285443651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3236.1385416752614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29680.358994353821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38052.354257179235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2284.0019190844941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2928.2546806665596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3342.3353722006718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4285.1142620436467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18507.212482616615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23727.577076658243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383.86514003505738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492.14270953981543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1614.5724430013856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2069.9979601545801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2467.64645019815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3163.7001736493021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4996.1574807618863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6405.4331155082618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149.69395685787757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191.91841573070153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1324.9003895066519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1698.6175600696938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2978.5041263206344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3818.6564452533657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559.41441299880034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717.2094995229611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215.11939388945515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275.79853011307694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5218.3583058246104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6690.3105495424243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273.58159712648495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354.6428110898878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7.3980837014936114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9.5901085019361609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29.882015749686865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38.735946342186679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87.865646973995027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113.89991274406761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1.6640801978454596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2.1571409972070765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2.8290886369612802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3.6673371219868445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7.9038784410005301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10.245768349445131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8.4267541212721913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10.923570157204692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1.8178240888382367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2.3564386336791951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12.9801456602563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16.826114744776682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94.235241952242646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122.15679512327748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2.8485200026337401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3.6925259293400323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6.0456233390434706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7.8369191432044989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684.06354544405099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886.74904039043645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164.34998494278247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213.04627677768096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2.9851376865918176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3.8696229270634666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14.581699102750399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18.902202540602364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107.15486802026872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138.90445854479279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0.50433498519592468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0.65376757340212444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2.8746492523691192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3.7263971789970061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3.3104046781647791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4.291265323546936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3.4002077183817128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4.4076766719762936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1.2338519818081959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1.5994377541958094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8.8103015827575319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11.420761310981984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82.448366216611277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106.87751176227387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1.9334390340905452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2.5063098590062625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5.8977996557479182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7.6452958500435964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529.54994318322474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686.45363005232821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8065001.0864567999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7721242.9104568008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1168595.3908364461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1118785.8228364463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528953.31354319979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872711.48954319966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76643.809163553771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126453.37716355374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877744.4345664084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62384.816555521953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236226.76543359147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16789.583444478048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14232454.554315863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13551675.866315866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1194524.6573685941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1137387.1533685941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2787012.6456841351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3467791.3336841348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233912.94263140604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291050.44663140603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184</v>
      </c>
      <c r="D185" t="s">
        <v>184</v>
      </c>
      <c r="E185" s="155" t="s">
        <v>183</v>
      </c>
      <c r="F185" t="str">
        <f>CONCATENATE("Areal-",LOWER(B185))</f>
        <v>Areal-basisskov</v>
      </c>
      <c r="G185" s="107">
        <f>IF($A185="Vestdanmark",SUMIFS(IF(G$2=År1,Skovbrug!$C$21:$C$41,IF(G$2=År2,Skovbrug!$D$21:$D$41,Skovbrug!$E$21:$E$41)),Skovbrug!$A$21:$A$41,'Direkte input'!$B185,Skovbrug!$B$21:$B$41,'Direkte input'!$E185),SUMIFS(IF(G$2=År1,Skovbrug!$F$21:$F$41,IF(G$2=År2,Skovbrug!$G$21:$G$41,Skovbrug!$H$21:$H$41)),Skovbrug!$A$21:$A$41,'Direkte input'!$B185,Skovbrug!$B$21:$B$41,'Direkte input'!$E185))</f>
        <v>434670</v>
      </c>
      <c r="H185" s="107">
        <f>IF($A185="Vestdanmark",SUMIFS(IF(H$2=År1,Skovbrug!$C$21:$C$41,IF(H$2=År2,Skovbrug!$D$21:$D$41,Skovbrug!$E$21:$E$41)),Skovbrug!$A$21:$A$41,'Direkte input'!$B185,Skovbrug!$B$21:$B$41,'Direkte input'!$E185),SUMIFS(IF(H$2=År1,Skovbrug!$F$21:$F$41,IF(H$2=År2,Skovbrug!$G$21:$G$41,Skovbrug!$H$21:$H$41)),Skovbrug!$A$21:$A$41,'Direkte input'!$B185,Skovbrug!$B$21:$B$41,'Direkte input'!$E185))</f>
        <v>411351.94520750927</v>
      </c>
      <c r="I185" s="107">
        <f>IF($A185="Vestdanmark",SUMIFS(IF(I$2=År1,Skovbrug!$C$21:$C$41,IF(I$2=År2,Skovbrug!$D$21:$D$41,Skovbrug!$E$21:$E$41)),Skovbrug!$A$21:$A$41,'Direkte input'!$B185,Skovbrug!$B$21:$B$41,'Direkte input'!$E185),SUMIFS(IF(I$2=År1,Skovbrug!$F$21:$F$41,IF(I$2=År2,Skovbrug!$G$21:$G$41,Skovbrug!$H$21:$H$41)),Skovbrug!$A$21:$A$41,'Direkte input'!$B185,Skovbrug!$B$21:$B$41,'Direkte input'!$E185))</f>
        <v>372113.28071606322</v>
      </c>
    </row>
    <row r="186" spans="1:9" x14ac:dyDescent="0.25">
      <c r="A186" t="s">
        <v>23</v>
      </c>
      <c r="B186" t="s">
        <v>178</v>
      </c>
      <c r="D186" t="s">
        <v>178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IF($A186="Vestdanmark",SUMIFS(IF(G$2=År1,Skovbrug!$C$21:$C$41,IF(G$2=År2,Skovbrug!$D$21:$D$41,Skovbrug!$E$21:$E$41)),Skovbrug!$A$21:$A$41,'Direkte input'!$B186,Skovbrug!$B$21:$B$41,'Direkte input'!$E186),SUMIFS(IF(G$2=År1,Skovbrug!$F$21:$F$41,IF(G$2=År2,Skovbrug!$G$21:$G$41,Skovbrug!$H$21:$H$41)),Skovbrug!$A$21:$A$41,'Direkte input'!$B186,Skovbrug!$B$21:$B$41,'Direkte input'!$E186))</f>
        <v>0</v>
      </c>
      <c r="H186" s="107">
        <f>IF($A186="Vestdanmark",SUMIFS(IF(H$2=År1,Skovbrug!$C$21:$C$41,IF(H$2=År2,Skovbrug!$D$21:$D$41,Skovbrug!$E$21:$E$41)),Skovbrug!$A$21:$A$41,'Direkte input'!$B186,Skovbrug!$B$21:$B$41,'Direkte input'!$E186),SUMIFS(IF(H$2=År1,Skovbrug!$F$21:$F$41,IF(H$2=År2,Skovbrug!$G$21:$G$41,Skovbrug!$H$21:$H$41)),Skovbrug!$A$21:$A$41,'Direkte input'!$B186,Skovbrug!$B$21:$B$41,'Direkte input'!$E186))</f>
        <v>0</v>
      </c>
      <c r="I186" s="107">
        <f>IF($A186="Vestdanmark",SUMIFS(IF(I$2=År1,Skovbrug!$C$21:$C$41,IF(I$2=År2,Skovbrug!$D$21:$D$41,Skovbrug!$E$21:$E$41)),Skovbrug!$A$21:$A$41,'Direkte input'!$B186,Skovbrug!$B$21:$B$41,'Direkte input'!$E186),SUMIFS(IF(I$2=År1,Skovbrug!$F$21:$F$41,IF(I$2=År2,Skovbrug!$G$21:$G$41,Skovbrug!$H$21:$H$41)),Skovbrug!$A$21:$A$41,'Direkte input'!$B186,Skovbrug!$B$21:$B$41,'Direkte input'!$E186))</f>
        <v>0</v>
      </c>
    </row>
    <row r="187" spans="1:9" x14ac:dyDescent="0.25">
      <c r="A187" t="s">
        <v>23</v>
      </c>
      <c r="B187" t="s">
        <v>178</v>
      </c>
      <c r="D187" t="s">
        <v>178</v>
      </c>
      <c r="E187">
        <v>20</v>
      </c>
      <c r="F187" t="str">
        <f t="shared" si="16"/>
        <v>Areal-skovtype1-20</v>
      </c>
      <c r="G187" s="107">
        <f>IF($A187="Vestdanmark",SUMIFS(IF(G$2=År1,Skovbrug!$C$21:$C$41,IF(G$2=År2,Skovbrug!$D$21:$D$41,Skovbrug!$E$21:$E$41)),Skovbrug!$A$21:$A$41,'Direkte input'!$B187,Skovbrug!$B$21:$B$41,'Direkte input'!$E187),SUMIFS(IF(G$2=År1,Skovbrug!$F$21:$F$41,IF(G$2=År2,Skovbrug!$G$21:$G$41,Skovbrug!$H$21:$H$41)),Skovbrug!$A$21:$A$41,'Direkte input'!$B187,Skovbrug!$B$21:$B$41,'Direkte input'!$E187))</f>
        <v>0</v>
      </c>
      <c r="H187" s="107">
        <f>IF($A187="Vestdanmark",SUMIFS(IF(H$2=År1,Skovbrug!$C$21:$C$41,IF(H$2=År2,Skovbrug!$D$21:$D$41,Skovbrug!$E$21:$E$41)),Skovbrug!$A$21:$A$41,'Direkte input'!$B187,Skovbrug!$B$21:$B$41,'Direkte input'!$E187),SUMIFS(IF(H$2=År1,Skovbrug!$F$21:$F$41,IF(H$2=År2,Skovbrug!$G$21:$G$41,Skovbrug!$H$21:$H$41)),Skovbrug!$A$21:$A$41,'Direkte input'!$B187,Skovbrug!$B$21:$B$41,'Direkte input'!$E187))</f>
        <v>0</v>
      </c>
      <c r="I187" s="107">
        <f>IF($A187="Vestdanmark",SUMIFS(IF(I$2=År1,Skovbrug!$C$21:$C$41,IF(I$2=År2,Skovbrug!$D$21:$D$41,Skovbrug!$E$21:$E$41)),Skovbrug!$A$21:$A$41,'Direkte input'!$B187,Skovbrug!$B$21:$B$41,'Direkte input'!$E187),SUMIFS(IF(I$2=År1,Skovbrug!$F$21:$F$41,IF(I$2=År2,Skovbrug!$G$21:$G$41,Skovbrug!$H$21:$H$41)),Skovbrug!$A$21:$A$41,'Direkte input'!$B187,Skovbrug!$B$21:$B$41,'Direkte input'!$E187))</f>
        <v>0</v>
      </c>
    </row>
    <row r="188" spans="1:9" x14ac:dyDescent="0.25">
      <c r="A188" t="s">
        <v>23</v>
      </c>
      <c r="B188" t="s">
        <v>178</v>
      </c>
      <c r="D188" t="s">
        <v>178</v>
      </c>
      <c r="E188">
        <v>30</v>
      </c>
      <c r="F188" t="str">
        <f t="shared" si="16"/>
        <v>Areal-skovtype1-30</v>
      </c>
      <c r="G188" s="107">
        <f>IF($A188="Vestdanmark",SUMIFS(IF(G$2=År1,Skovbrug!$C$21:$C$41,IF(G$2=År2,Skovbrug!$D$21:$D$41,Skovbrug!$E$21:$E$41)),Skovbrug!$A$21:$A$41,'Direkte input'!$B188,Skovbrug!$B$21:$B$41,'Direkte input'!$E188),SUMIFS(IF(G$2=År1,Skovbrug!$F$21:$F$41,IF(G$2=År2,Skovbrug!$G$21:$G$41,Skovbrug!$H$21:$H$41)),Skovbrug!$A$21:$A$41,'Direkte input'!$B188,Skovbrug!$B$21:$B$41,'Direkte input'!$E188))</f>
        <v>0</v>
      </c>
      <c r="H188" s="107">
        <f>IF($A188="Vestdanmark",SUMIFS(IF(H$2=År1,Skovbrug!$C$21:$C$41,IF(H$2=År2,Skovbrug!$D$21:$D$41,Skovbrug!$E$21:$E$41)),Skovbrug!$A$21:$A$41,'Direkte input'!$B188,Skovbrug!$B$21:$B$41,'Direkte input'!$E188),SUMIFS(IF(H$2=År1,Skovbrug!$F$21:$F$41,IF(H$2=År2,Skovbrug!$G$21:$G$41,Skovbrug!$H$21:$H$41)),Skovbrug!$A$21:$A$41,'Direkte input'!$B188,Skovbrug!$B$21:$B$41,'Direkte input'!$E188))</f>
        <v>0</v>
      </c>
      <c r="I188" s="107">
        <f>IF($A188="Vestdanmark",SUMIFS(IF(I$2=År1,Skovbrug!$C$21:$C$41,IF(I$2=År2,Skovbrug!$D$21:$D$41,Skovbrug!$E$21:$E$41)),Skovbrug!$A$21:$A$41,'Direkte input'!$B188,Skovbrug!$B$21:$B$41,'Direkte input'!$E188),SUMIFS(IF(I$2=År1,Skovbrug!$F$21:$F$41,IF(I$2=År2,Skovbrug!$G$21:$G$41,Skovbrug!$H$21:$H$41)),Skovbrug!$A$21:$A$41,'Direkte input'!$B188,Skovbrug!$B$21:$B$41,'Direkte input'!$E188))</f>
        <v>0</v>
      </c>
    </row>
    <row r="189" spans="1:9" x14ac:dyDescent="0.25">
      <c r="A189" t="s">
        <v>23</v>
      </c>
      <c r="B189" t="s">
        <v>178</v>
      </c>
      <c r="D189" t="s">
        <v>178</v>
      </c>
      <c r="E189">
        <v>40</v>
      </c>
      <c r="F189" t="str">
        <f t="shared" si="16"/>
        <v>Areal-skovtype1-40</v>
      </c>
      <c r="G189" s="107">
        <f>IF($A189="Vestdanmark",SUMIFS(IF(G$2=År1,Skovbrug!$C$21:$C$41,IF(G$2=År2,Skovbrug!$D$21:$D$41,Skovbrug!$E$21:$E$41)),Skovbrug!$A$21:$A$41,'Direkte input'!$B189,Skovbrug!$B$21:$B$41,'Direkte input'!$E189),SUMIFS(IF(G$2=År1,Skovbrug!$F$21:$F$41,IF(G$2=År2,Skovbrug!$G$21:$G$41,Skovbrug!$H$21:$H$41)),Skovbrug!$A$21:$A$41,'Direkte input'!$B189,Skovbrug!$B$21:$B$41,'Direkte input'!$E189))</f>
        <v>0</v>
      </c>
      <c r="H189" s="107">
        <f>IF($A189="Vestdanmark",SUMIFS(IF(H$2=År1,Skovbrug!$C$21:$C$41,IF(H$2=År2,Skovbrug!$D$21:$D$41,Skovbrug!$E$21:$E$41)),Skovbrug!$A$21:$A$41,'Direkte input'!$B189,Skovbrug!$B$21:$B$41,'Direkte input'!$E189),SUMIFS(IF(H$2=År1,Skovbrug!$F$21:$F$41,IF(H$2=År2,Skovbrug!$G$21:$G$41,Skovbrug!$H$21:$H$41)),Skovbrug!$A$21:$A$41,'Direkte input'!$B189,Skovbrug!$B$21:$B$41,'Direkte input'!$E189))</f>
        <v>0</v>
      </c>
      <c r="I189" s="107">
        <f>IF($A189="Vestdanmark",SUMIFS(IF(I$2=År1,Skovbrug!$C$21:$C$41,IF(I$2=År2,Skovbrug!$D$21:$D$41,Skovbrug!$E$21:$E$41)),Skovbrug!$A$21:$A$41,'Direkte input'!$B189,Skovbrug!$B$21:$B$41,'Direkte input'!$E189),SUMIFS(IF(I$2=År1,Skovbrug!$F$21:$F$41,IF(I$2=År2,Skovbrug!$G$21:$G$41,Skovbrug!$H$21:$H$41)),Skovbrug!$A$21:$A$41,'Direkte input'!$B189,Skovbrug!$B$21:$B$41,'Direkte input'!$E189))</f>
        <v>0</v>
      </c>
    </row>
    <row r="190" spans="1:9" x14ac:dyDescent="0.25">
      <c r="A190" t="s">
        <v>23</v>
      </c>
      <c r="B190" t="s">
        <v>179</v>
      </c>
      <c r="D190" t="s">
        <v>179</v>
      </c>
      <c r="E190">
        <v>10</v>
      </c>
      <c r="F190" t="str">
        <f t="shared" si="16"/>
        <v>Areal-skovtype2-10</v>
      </c>
      <c r="G190" s="107">
        <f>IF($A190="Vestdanmark",SUMIFS(IF(G$2=År1,Skovbrug!$C$21:$C$41,IF(G$2=År2,Skovbrug!$D$21:$D$41,Skovbrug!$E$21:$E$41)),Skovbrug!$A$21:$A$41,'Direkte input'!$B190,Skovbrug!$B$21:$B$41,'Direkte input'!$E190),SUMIFS(IF(G$2=År1,Skovbrug!$F$21:$F$41,IF(G$2=År2,Skovbrug!$G$21:$G$41,Skovbrug!$H$21:$H$41)),Skovbrug!$A$21:$A$41,'Direkte input'!$B190,Skovbrug!$B$21:$B$41,'Direkte input'!$E190))</f>
        <v>0</v>
      </c>
      <c r="H190" s="107">
        <f>IF($A190="Vestdanmark",SUMIFS(IF(H$2=År1,Skovbrug!$C$21:$C$41,IF(H$2=År2,Skovbrug!$D$21:$D$41,Skovbrug!$E$21:$E$41)),Skovbrug!$A$21:$A$41,'Direkte input'!$B190,Skovbrug!$B$21:$B$41,'Direkte input'!$E190),SUMIFS(IF(H$2=År1,Skovbrug!$F$21:$F$41,IF(H$2=År2,Skovbrug!$G$21:$G$41,Skovbrug!$H$21:$H$41)),Skovbrug!$A$21:$A$41,'Direkte input'!$B190,Skovbrug!$B$21:$B$41,'Direkte input'!$E190))</f>
        <v>71749.813989422139</v>
      </c>
      <c r="I190" s="107">
        <f>IF($A190="Vestdanmark",SUMIFS(IF(I$2=År1,Skovbrug!$C$21:$C$41,IF(I$2=År2,Skovbrug!$D$21:$D$41,Skovbrug!$E$21:$E$41)),Skovbrug!$A$21:$A$41,'Direkte input'!$B190,Skovbrug!$B$21:$B$41,'Direkte input'!$E190),SUMIFS(IF(I$2=År1,Skovbrug!$F$21:$F$41,IF(I$2=År2,Skovbrug!$G$21:$G$41,Skovbrug!$H$21:$H$41)),Skovbrug!$A$21:$A$41,'Direkte input'!$B190,Skovbrug!$B$21:$B$41,'Direkte input'!$E190))</f>
        <v>47422.702543659834</v>
      </c>
    </row>
    <row r="191" spans="1:9" x14ac:dyDescent="0.25">
      <c r="A191" t="s">
        <v>23</v>
      </c>
      <c r="B191" t="s">
        <v>179</v>
      </c>
      <c r="D191" t="s">
        <v>179</v>
      </c>
      <c r="E191">
        <v>20</v>
      </c>
      <c r="F191" t="str">
        <f t="shared" si="16"/>
        <v>Areal-skovtype2-20</v>
      </c>
      <c r="G191" s="107">
        <f>IF($A191="Vestdanmark",SUMIFS(IF(G$2=År1,Skovbrug!$C$21:$C$41,IF(G$2=År2,Skovbrug!$D$21:$D$41,Skovbrug!$E$21:$E$41)),Skovbrug!$A$21:$A$41,'Direkte input'!$B191,Skovbrug!$B$21:$B$41,'Direkte input'!$E191),SUMIFS(IF(G$2=År1,Skovbrug!$F$21:$F$41,IF(G$2=År2,Skovbrug!$G$21:$G$41,Skovbrug!$H$21:$H$41)),Skovbrug!$A$21:$A$41,'Direkte input'!$B191,Skovbrug!$B$21:$B$41,'Direkte input'!$E191))</f>
        <v>0</v>
      </c>
      <c r="H191" s="107">
        <f>IF($A191="Vestdanmark",SUMIFS(IF(H$2=År1,Skovbrug!$C$21:$C$41,IF(H$2=År2,Skovbrug!$D$21:$D$41,Skovbrug!$E$21:$E$41)),Skovbrug!$A$21:$A$41,'Direkte input'!$B191,Skovbrug!$B$21:$B$41,'Direkte input'!$E191),SUMIFS(IF(H$2=År1,Skovbrug!$F$21:$F$41,IF(H$2=År2,Skovbrug!$G$21:$G$41,Skovbrug!$H$21:$H$41)),Skovbrug!$A$21:$A$41,'Direkte input'!$B191,Skovbrug!$B$21:$B$41,'Direkte input'!$E191))</f>
        <v>7174.9813989422137</v>
      </c>
      <c r="I191" s="107">
        <f>IF($A191="Vestdanmark",SUMIFS(IF(I$2=År1,Skovbrug!$C$21:$C$41,IF(I$2=År2,Skovbrug!$D$21:$D$41,Skovbrug!$E$21:$E$41)),Skovbrug!$A$21:$A$41,'Direkte input'!$B191,Skovbrug!$B$21:$B$41,'Direkte input'!$E191),SUMIFS(IF(I$2=År1,Skovbrug!$F$21:$F$41,IF(I$2=År2,Skovbrug!$G$21:$G$41,Skovbrug!$H$21:$H$41)),Skovbrug!$A$21:$A$41,'Direkte input'!$B191,Skovbrug!$B$21:$B$41,'Direkte input'!$E191))</f>
        <v>47422.702543659834</v>
      </c>
    </row>
    <row r="192" spans="1:9" x14ac:dyDescent="0.25">
      <c r="A192" t="s">
        <v>23</v>
      </c>
      <c r="B192" t="s">
        <v>179</v>
      </c>
      <c r="D192" t="s">
        <v>179</v>
      </c>
      <c r="E192">
        <v>30</v>
      </c>
      <c r="F192" t="str">
        <f t="shared" si="16"/>
        <v>Areal-skovtype2-30</v>
      </c>
      <c r="G192" s="107">
        <f>IF($A192="Vestdanmark",SUMIFS(IF(G$2=År1,Skovbrug!$C$21:$C$41,IF(G$2=År2,Skovbrug!$D$21:$D$41,Skovbrug!$E$21:$E$41)),Skovbrug!$A$21:$A$41,'Direkte input'!$B192,Skovbrug!$B$21:$B$41,'Direkte input'!$E192),SUMIFS(IF(G$2=År1,Skovbrug!$F$21:$F$41,IF(G$2=År2,Skovbrug!$G$21:$G$41,Skovbrug!$H$21:$H$41)),Skovbrug!$A$21:$A$41,'Direkte input'!$B192,Skovbrug!$B$21:$B$41,'Direkte input'!$E192))</f>
        <v>0</v>
      </c>
      <c r="H192" s="107">
        <f>IF($A192="Vestdanmark",SUMIFS(IF(H$2=År1,Skovbrug!$C$21:$C$41,IF(H$2=År2,Skovbrug!$D$21:$D$41,Skovbrug!$E$21:$E$41)),Skovbrug!$A$21:$A$41,'Direkte input'!$B192,Skovbrug!$B$21:$B$41,'Direkte input'!$E192),SUMIFS(IF(H$2=År1,Skovbrug!$F$21:$F$41,IF(H$2=År2,Skovbrug!$G$21:$G$41,Skovbrug!$H$21:$H$41)),Skovbrug!$A$21:$A$41,'Direkte input'!$B192,Skovbrug!$B$21:$B$41,'Direkte input'!$E192))</f>
        <v>0</v>
      </c>
      <c r="I192" s="107">
        <f>IF($A192="Vestdanmark",SUMIFS(IF(I$2=År1,Skovbrug!$C$21:$C$41,IF(I$2=År2,Skovbrug!$D$21:$D$41,Skovbrug!$E$21:$E$41)),Skovbrug!$A$21:$A$41,'Direkte input'!$B192,Skovbrug!$B$21:$B$41,'Direkte input'!$E192),SUMIFS(IF(I$2=År1,Skovbrug!$F$21:$F$41,IF(I$2=År2,Skovbrug!$G$21:$G$41,Skovbrug!$H$21:$H$41)),Skovbrug!$A$21:$A$41,'Direkte input'!$B192,Skovbrug!$B$21:$B$41,'Direkte input'!$E192))</f>
        <v>71749.813989422139</v>
      </c>
    </row>
    <row r="193" spans="1:9" x14ac:dyDescent="0.25">
      <c r="A193" t="s">
        <v>23</v>
      </c>
      <c r="B193" t="s">
        <v>179</v>
      </c>
      <c r="D193" t="s">
        <v>179</v>
      </c>
      <c r="E193">
        <v>40</v>
      </c>
      <c r="F193" t="str">
        <f t="shared" si="16"/>
        <v>Areal-skovtype2-40</v>
      </c>
      <c r="G193" s="107">
        <f>IF($A193="Vestdanmark",SUMIFS(IF(G$2=År1,Skovbrug!$C$21:$C$41,IF(G$2=År2,Skovbrug!$D$21:$D$41,Skovbrug!$E$21:$E$41)),Skovbrug!$A$21:$A$41,'Direkte input'!$B193,Skovbrug!$B$21:$B$41,'Direkte input'!$E193),SUMIFS(IF(G$2=År1,Skovbrug!$F$21:$F$41,IF(G$2=År2,Skovbrug!$G$21:$G$41,Skovbrug!$H$21:$H$41)),Skovbrug!$A$21:$A$41,'Direkte input'!$B193,Skovbrug!$B$21:$B$41,'Direkte input'!$E193))</f>
        <v>0</v>
      </c>
      <c r="H193" s="107">
        <f>IF($A193="Vestdanmark",SUMIFS(IF(H$2=År1,Skovbrug!$C$21:$C$41,IF(H$2=År2,Skovbrug!$D$21:$D$41,Skovbrug!$E$21:$E$41)),Skovbrug!$A$21:$A$41,'Direkte input'!$B193,Skovbrug!$B$21:$B$41,'Direkte input'!$E193),SUMIFS(IF(H$2=År1,Skovbrug!$F$21:$F$41,IF(H$2=År2,Skovbrug!$G$21:$G$41,Skovbrug!$H$21:$H$41)),Skovbrug!$A$21:$A$41,'Direkte input'!$B193,Skovbrug!$B$21:$B$41,'Direkte input'!$E193))</f>
        <v>0</v>
      </c>
      <c r="I193" s="107">
        <f>IF($A193="Vestdanmark",SUMIFS(IF(I$2=År1,Skovbrug!$C$21:$C$41,IF(I$2=År2,Skovbrug!$D$21:$D$41,Skovbrug!$E$21:$E$41)),Skovbrug!$A$21:$A$41,'Direkte input'!$B193,Skovbrug!$B$21:$B$41,'Direkte input'!$E193),SUMIFS(IF(I$2=År1,Skovbrug!$F$21:$F$41,IF(I$2=År2,Skovbrug!$G$21:$G$41,Skovbrug!$H$21:$H$41)),Skovbrug!$A$21:$A$41,'Direkte input'!$B193,Skovbrug!$B$21:$B$41,'Direkte input'!$E193))</f>
        <v>7174.9813989422137</v>
      </c>
    </row>
    <row r="194" spans="1:9" x14ac:dyDescent="0.25">
      <c r="A194" t="s">
        <v>23</v>
      </c>
      <c r="B194" t="s">
        <v>180</v>
      </c>
      <c r="D194" t="s">
        <v>180</v>
      </c>
      <c r="E194">
        <v>10</v>
      </c>
      <c r="F194" t="str">
        <f t="shared" si="16"/>
        <v>Areal-skovtype3-10</v>
      </c>
      <c r="G194" s="107">
        <f>IF($A194="Vestdanmark",SUMIFS(IF(G$2=År1,Skovbrug!$C$21:$C$41,IF(G$2=År2,Skovbrug!$D$21:$D$41,Skovbrug!$E$21:$E$41)),Skovbrug!$A$21:$A$41,'Direkte input'!$B194,Skovbrug!$B$21:$B$41,'Direkte input'!$E194),SUMIFS(IF(G$2=År1,Skovbrug!$F$21:$F$41,IF(G$2=År2,Skovbrug!$G$21:$G$41,Skovbrug!$H$21:$H$41)),Skovbrug!$A$21:$A$41,'Direkte input'!$B194,Skovbrug!$B$21:$B$41,'Direkte input'!$E194))</f>
        <v>0</v>
      </c>
      <c r="H194" s="107">
        <f>IF($A194="Vestdanmark",SUMIFS(IF(H$2=År1,Skovbrug!$C$21:$C$41,IF(H$2=År2,Skovbrug!$D$21:$D$41,Skovbrug!$E$21:$E$41)),Skovbrug!$A$21:$A$41,'Direkte input'!$B194,Skovbrug!$B$21:$B$41,'Direkte input'!$E194),SUMIFS(IF(H$2=År1,Skovbrug!$F$21:$F$41,IF(H$2=År2,Skovbrug!$G$21:$G$41,Skovbrug!$H$21:$H$41)),Skovbrug!$A$21:$A$41,'Direkte input'!$B194,Skovbrug!$B$21:$B$41,'Direkte input'!$E194))</f>
        <v>0</v>
      </c>
      <c r="I194" s="107">
        <f>IF($A194="Vestdanmark",SUMIFS(IF(I$2=År1,Skovbrug!$C$21:$C$41,IF(I$2=År2,Skovbrug!$D$21:$D$41,Skovbrug!$E$21:$E$41)),Skovbrug!$A$21:$A$41,'Direkte input'!$B194,Skovbrug!$B$21:$B$41,'Direkte input'!$E194),SUMIFS(IF(I$2=År1,Skovbrug!$F$21:$F$41,IF(I$2=År2,Skovbrug!$G$21:$G$41,Skovbrug!$H$21:$H$41)),Skovbrug!$A$21:$A$41,'Direkte input'!$B194,Skovbrug!$B$21:$B$41,'Direkte input'!$E194))</f>
        <v>0</v>
      </c>
    </row>
    <row r="195" spans="1:9" x14ac:dyDescent="0.25">
      <c r="A195" t="s">
        <v>23</v>
      </c>
      <c r="B195" t="s">
        <v>180</v>
      </c>
      <c r="D195" t="s">
        <v>180</v>
      </c>
      <c r="E195">
        <v>20</v>
      </c>
      <c r="F195" t="str">
        <f t="shared" si="16"/>
        <v>Areal-skovtype3-20</v>
      </c>
      <c r="G195" s="107">
        <f>IF($A195="Vestdanmark",SUMIFS(IF(G$2=År1,Skovbrug!$C$21:$C$41,IF(G$2=År2,Skovbrug!$D$21:$D$41,Skovbrug!$E$21:$E$41)),Skovbrug!$A$21:$A$41,'Direkte input'!$B195,Skovbrug!$B$21:$B$41,'Direkte input'!$E195),SUMIFS(IF(G$2=År1,Skovbrug!$F$21:$F$41,IF(G$2=År2,Skovbrug!$G$21:$G$41,Skovbrug!$H$21:$H$41)),Skovbrug!$A$21:$A$41,'Direkte input'!$B195,Skovbrug!$B$21:$B$41,'Direkte input'!$E195))</f>
        <v>0</v>
      </c>
      <c r="H195" s="107">
        <f>IF($A195="Vestdanmark",SUMIFS(IF(H$2=År1,Skovbrug!$C$21:$C$41,IF(H$2=År2,Skovbrug!$D$21:$D$41,Skovbrug!$E$21:$E$41)),Skovbrug!$A$21:$A$41,'Direkte input'!$B195,Skovbrug!$B$21:$B$41,'Direkte input'!$E195),SUMIFS(IF(H$2=År1,Skovbrug!$F$21:$F$41,IF(H$2=År2,Skovbrug!$G$21:$G$41,Skovbrug!$H$21:$H$41)),Skovbrug!$A$21:$A$41,'Direkte input'!$B195,Skovbrug!$B$21:$B$41,'Direkte input'!$E195))</f>
        <v>0</v>
      </c>
      <c r="I195" s="107">
        <f>IF($A195="Vestdanmark",SUMIFS(IF(I$2=År1,Skovbrug!$C$21:$C$41,IF(I$2=År2,Skovbrug!$D$21:$D$41,Skovbrug!$E$21:$E$41)),Skovbrug!$A$21:$A$41,'Direkte input'!$B195,Skovbrug!$B$21:$B$41,'Direkte input'!$E195),SUMIFS(IF(I$2=År1,Skovbrug!$F$21:$F$41,IF(I$2=År2,Skovbrug!$G$21:$G$41,Skovbrug!$H$21:$H$41)),Skovbrug!$A$21:$A$41,'Direkte input'!$B195,Skovbrug!$B$21:$B$41,'Direkte input'!$E195))</f>
        <v>0</v>
      </c>
    </row>
    <row r="196" spans="1:9" x14ac:dyDescent="0.25">
      <c r="A196" t="s">
        <v>23</v>
      </c>
      <c r="B196" t="s">
        <v>180</v>
      </c>
      <c r="D196" t="s">
        <v>180</v>
      </c>
      <c r="E196">
        <v>30</v>
      </c>
      <c r="F196" t="str">
        <f t="shared" si="16"/>
        <v>Areal-skovtype3-30</v>
      </c>
      <c r="G196" s="107">
        <f>IF($A196="Vestdanmark",SUMIFS(IF(G$2=År1,Skovbrug!$C$21:$C$41,IF(G$2=År2,Skovbrug!$D$21:$D$41,Skovbrug!$E$21:$E$41)),Skovbrug!$A$21:$A$41,'Direkte input'!$B196,Skovbrug!$B$21:$B$41,'Direkte input'!$E196),SUMIFS(IF(G$2=År1,Skovbrug!$F$21:$F$41,IF(G$2=År2,Skovbrug!$G$21:$G$41,Skovbrug!$H$21:$H$41)),Skovbrug!$A$21:$A$41,'Direkte input'!$B196,Skovbrug!$B$21:$B$41,'Direkte input'!$E196))</f>
        <v>0</v>
      </c>
      <c r="H196" s="107">
        <f>IF($A196="Vestdanmark",SUMIFS(IF(H$2=År1,Skovbrug!$C$21:$C$41,IF(H$2=År2,Skovbrug!$D$21:$D$41,Skovbrug!$E$21:$E$41)),Skovbrug!$A$21:$A$41,'Direkte input'!$B196,Skovbrug!$B$21:$B$41,'Direkte input'!$E196),SUMIFS(IF(H$2=År1,Skovbrug!$F$21:$F$41,IF(H$2=År2,Skovbrug!$G$21:$G$41,Skovbrug!$H$21:$H$41)),Skovbrug!$A$21:$A$41,'Direkte input'!$B196,Skovbrug!$B$21:$B$41,'Direkte input'!$E196))</f>
        <v>0</v>
      </c>
      <c r="I196" s="107">
        <f>IF($A196="Vestdanmark",SUMIFS(IF(I$2=År1,Skovbrug!$C$21:$C$41,IF(I$2=År2,Skovbrug!$D$21:$D$41,Skovbrug!$E$21:$E$41)),Skovbrug!$A$21:$A$41,'Direkte input'!$B196,Skovbrug!$B$21:$B$41,'Direkte input'!$E196),SUMIFS(IF(I$2=År1,Skovbrug!$F$21:$F$41,IF(I$2=År2,Skovbrug!$G$21:$G$41,Skovbrug!$H$21:$H$41)),Skovbrug!$A$21:$A$41,'Direkte input'!$B196,Skovbrug!$B$21:$B$41,'Direkte input'!$E196))</f>
        <v>0</v>
      </c>
    </row>
    <row r="197" spans="1:9" x14ac:dyDescent="0.25">
      <c r="A197" t="s">
        <v>23</v>
      </c>
      <c r="B197" t="s">
        <v>180</v>
      </c>
      <c r="D197" t="s">
        <v>180</v>
      </c>
      <c r="E197">
        <v>40</v>
      </c>
      <c r="F197" t="str">
        <f t="shared" si="16"/>
        <v>Areal-skovtype3-40</v>
      </c>
      <c r="G197" s="107">
        <f>IF($A197="Vestdanmark",SUMIFS(IF(G$2=År1,Skovbrug!$C$21:$C$41,IF(G$2=År2,Skovbrug!$D$21:$D$41,Skovbrug!$E$21:$E$41)),Skovbrug!$A$21:$A$41,'Direkte input'!$B197,Skovbrug!$B$21:$B$41,'Direkte input'!$E197),SUMIFS(IF(G$2=År1,Skovbrug!$F$21:$F$41,IF(G$2=År2,Skovbrug!$G$21:$G$41,Skovbrug!$H$21:$H$41)),Skovbrug!$A$21:$A$41,'Direkte input'!$B197,Skovbrug!$B$21:$B$41,'Direkte input'!$E197))</f>
        <v>0</v>
      </c>
      <c r="H197" s="107">
        <f>IF($A197="Vestdanmark",SUMIFS(IF(H$2=År1,Skovbrug!$C$21:$C$41,IF(H$2=År2,Skovbrug!$D$21:$D$41,Skovbrug!$E$21:$E$41)),Skovbrug!$A$21:$A$41,'Direkte input'!$B197,Skovbrug!$B$21:$B$41,'Direkte input'!$E197),SUMIFS(IF(H$2=År1,Skovbrug!$F$21:$F$41,IF(H$2=År2,Skovbrug!$G$21:$G$41,Skovbrug!$H$21:$H$41)),Skovbrug!$A$21:$A$41,'Direkte input'!$B197,Skovbrug!$B$21:$B$41,'Direkte input'!$E197))</f>
        <v>0</v>
      </c>
      <c r="I197" s="107">
        <f>IF($A197="Vestdanmark",SUMIFS(IF(I$2=År1,Skovbrug!$C$21:$C$41,IF(I$2=År2,Skovbrug!$D$21:$D$41,Skovbrug!$E$21:$E$41)),Skovbrug!$A$21:$A$41,'Direkte input'!$B197,Skovbrug!$B$21:$B$41,'Direkte input'!$E197),SUMIFS(IF(I$2=År1,Skovbrug!$F$21:$F$41,IF(I$2=År2,Skovbrug!$G$21:$G$41,Skovbrug!$H$21:$H$41)),Skovbrug!$A$21:$A$41,'Direkte input'!$B197,Skovbrug!$B$21:$B$41,'Direkte input'!$E197))</f>
        <v>0</v>
      </c>
    </row>
    <row r="198" spans="1:9" x14ac:dyDescent="0.25">
      <c r="A198" t="s">
        <v>23</v>
      </c>
      <c r="B198" t="s">
        <v>181</v>
      </c>
      <c r="D198" t="s">
        <v>181</v>
      </c>
      <c r="E198">
        <v>10</v>
      </c>
      <c r="F198" t="str">
        <f t="shared" si="16"/>
        <v>Areal-skovtype4-10</v>
      </c>
      <c r="G198" s="107">
        <f>IF($A198="Vestdanmark",SUMIFS(IF(G$2=År1,Skovbrug!$C$21:$C$41,IF(G$2=År2,Skovbrug!$D$21:$D$41,Skovbrug!$E$21:$E$41)),Skovbrug!$A$21:$A$41,'Direkte input'!$B198,Skovbrug!$B$21:$B$41,'Direkte input'!$E198),SUMIFS(IF(G$2=År1,Skovbrug!$F$21:$F$41,IF(G$2=År2,Skovbrug!$G$21:$G$41,Skovbrug!$H$21:$H$41)),Skovbrug!$A$21:$A$41,'Direkte input'!$B198,Skovbrug!$B$21:$B$41,'Direkte input'!$E198))</f>
        <v>0</v>
      </c>
      <c r="H198" s="107">
        <f>IF($A198="Vestdanmark",SUMIFS(IF(H$2=År1,Skovbrug!$C$21:$C$41,IF(H$2=År2,Skovbrug!$D$21:$D$41,Skovbrug!$E$21:$E$41)),Skovbrug!$A$21:$A$41,'Direkte input'!$B198,Skovbrug!$B$21:$B$41,'Direkte input'!$E198),SUMIFS(IF(H$2=År1,Skovbrug!$F$21:$F$41,IF(H$2=År2,Skovbrug!$G$21:$G$41,Skovbrug!$H$21:$H$41)),Skovbrug!$A$21:$A$41,'Direkte input'!$B198,Skovbrug!$B$21:$B$41,'Direkte input'!$E198))</f>
        <v>0</v>
      </c>
      <c r="I198" s="107">
        <f>IF($A198="Vestdanmark",SUMIFS(IF(I$2=År1,Skovbrug!$C$21:$C$41,IF(I$2=År2,Skovbrug!$D$21:$D$41,Skovbrug!$E$21:$E$41)),Skovbrug!$A$21:$A$41,'Direkte input'!$B198,Skovbrug!$B$21:$B$41,'Direkte input'!$E198),SUMIFS(IF(I$2=År1,Skovbrug!$F$21:$F$41,IF(I$2=År2,Skovbrug!$G$21:$G$41,Skovbrug!$H$21:$H$41)),Skovbrug!$A$21:$A$41,'Direkte input'!$B198,Skovbrug!$B$21:$B$41,'Direkte input'!$E198))</f>
        <v>0</v>
      </c>
    </row>
    <row r="199" spans="1:9" x14ac:dyDescent="0.25">
      <c r="A199" t="s">
        <v>23</v>
      </c>
      <c r="B199" t="s">
        <v>181</v>
      </c>
      <c r="D199" t="s">
        <v>181</v>
      </c>
      <c r="E199">
        <v>20</v>
      </c>
      <c r="F199" t="str">
        <f t="shared" si="16"/>
        <v>Areal-skovtype4-20</v>
      </c>
      <c r="G199" s="107">
        <f>IF($A199="Vestdanmark",SUMIFS(IF(G$2=År1,Skovbrug!$C$21:$C$41,IF(G$2=År2,Skovbrug!$D$21:$D$41,Skovbrug!$E$21:$E$41)),Skovbrug!$A$21:$A$41,'Direkte input'!$B199,Skovbrug!$B$21:$B$41,'Direkte input'!$E199),SUMIFS(IF(G$2=År1,Skovbrug!$F$21:$F$41,IF(G$2=År2,Skovbrug!$G$21:$G$41,Skovbrug!$H$21:$H$41)),Skovbrug!$A$21:$A$41,'Direkte input'!$B199,Skovbrug!$B$21:$B$41,'Direkte input'!$E199))</f>
        <v>0</v>
      </c>
      <c r="H199" s="107">
        <f>IF($A199="Vestdanmark",SUMIFS(IF(H$2=År1,Skovbrug!$C$21:$C$41,IF(H$2=År2,Skovbrug!$D$21:$D$41,Skovbrug!$E$21:$E$41)),Skovbrug!$A$21:$A$41,'Direkte input'!$B199,Skovbrug!$B$21:$B$41,'Direkte input'!$E199),SUMIFS(IF(H$2=År1,Skovbrug!$F$21:$F$41,IF(H$2=År2,Skovbrug!$G$21:$G$41,Skovbrug!$H$21:$H$41)),Skovbrug!$A$21:$A$41,'Direkte input'!$B199,Skovbrug!$B$21:$B$41,'Direkte input'!$E199))</f>
        <v>0</v>
      </c>
      <c r="I199" s="107">
        <f>IF($A199="Vestdanmark",SUMIFS(IF(I$2=År1,Skovbrug!$C$21:$C$41,IF(I$2=År2,Skovbrug!$D$21:$D$41,Skovbrug!$E$21:$E$41)),Skovbrug!$A$21:$A$41,'Direkte input'!$B199,Skovbrug!$B$21:$B$41,'Direkte input'!$E199),SUMIFS(IF(I$2=År1,Skovbrug!$F$21:$F$41,IF(I$2=År2,Skovbrug!$G$21:$G$41,Skovbrug!$H$21:$H$41)),Skovbrug!$A$21:$A$41,'Direkte input'!$B199,Skovbrug!$B$21:$B$41,'Direkte input'!$E199))</f>
        <v>0</v>
      </c>
    </row>
    <row r="200" spans="1:9" x14ac:dyDescent="0.25">
      <c r="A200" t="s">
        <v>23</v>
      </c>
      <c r="B200" t="s">
        <v>181</v>
      </c>
      <c r="D200" t="s">
        <v>181</v>
      </c>
      <c r="E200">
        <v>30</v>
      </c>
      <c r="F200" t="str">
        <f t="shared" si="16"/>
        <v>Areal-skovtype4-30</v>
      </c>
      <c r="G200" s="107">
        <f>IF($A200="Vestdanmark",SUMIFS(IF(G$2=År1,Skovbrug!$C$21:$C$41,IF(G$2=År2,Skovbrug!$D$21:$D$41,Skovbrug!$E$21:$E$41)),Skovbrug!$A$21:$A$41,'Direkte input'!$B200,Skovbrug!$B$21:$B$41,'Direkte input'!$E200),SUMIFS(IF(G$2=År1,Skovbrug!$F$21:$F$41,IF(G$2=År2,Skovbrug!$G$21:$G$41,Skovbrug!$H$21:$H$41)),Skovbrug!$A$21:$A$41,'Direkte input'!$B200,Skovbrug!$B$21:$B$41,'Direkte input'!$E200))</f>
        <v>0</v>
      </c>
      <c r="H200" s="107">
        <f>IF($A200="Vestdanmark",SUMIFS(IF(H$2=År1,Skovbrug!$C$21:$C$41,IF(H$2=År2,Skovbrug!$D$21:$D$41,Skovbrug!$E$21:$E$41)),Skovbrug!$A$21:$A$41,'Direkte input'!$B200,Skovbrug!$B$21:$B$41,'Direkte input'!$E200),SUMIFS(IF(H$2=År1,Skovbrug!$F$21:$F$41,IF(H$2=År2,Skovbrug!$G$21:$G$41,Skovbrug!$H$21:$H$41)),Skovbrug!$A$21:$A$41,'Direkte input'!$B200,Skovbrug!$B$21:$B$41,'Direkte input'!$E200))</f>
        <v>0</v>
      </c>
      <c r="I200" s="107">
        <f>IF($A200="Vestdanmark",SUMIFS(IF(I$2=År1,Skovbrug!$C$21:$C$41,IF(I$2=År2,Skovbrug!$D$21:$D$41,Skovbrug!$E$21:$E$41)),Skovbrug!$A$21:$A$41,'Direkte input'!$B200,Skovbrug!$B$21:$B$41,'Direkte input'!$E200),SUMIFS(IF(I$2=År1,Skovbrug!$F$21:$F$41,IF(I$2=År2,Skovbrug!$G$21:$G$41,Skovbrug!$H$21:$H$41)),Skovbrug!$A$21:$A$41,'Direkte input'!$B200,Skovbrug!$B$21:$B$41,'Direkte input'!$E200))</f>
        <v>0</v>
      </c>
    </row>
    <row r="201" spans="1:9" x14ac:dyDescent="0.25">
      <c r="A201" t="s">
        <v>23</v>
      </c>
      <c r="B201" t="s">
        <v>181</v>
      </c>
      <c r="D201" t="s">
        <v>181</v>
      </c>
      <c r="E201">
        <v>40</v>
      </c>
      <c r="F201" t="str">
        <f t="shared" si="16"/>
        <v>Areal-skovtype4-40</v>
      </c>
      <c r="G201" s="107">
        <f>IF($A201="Vestdanmark",SUMIFS(IF(G$2=År1,Skovbrug!$C$21:$C$41,IF(G$2=År2,Skovbrug!$D$21:$D$41,Skovbrug!$E$21:$E$41)),Skovbrug!$A$21:$A$41,'Direkte input'!$B201,Skovbrug!$B$21:$B$41,'Direkte input'!$E201),SUMIFS(IF(G$2=År1,Skovbrug!$F$21:$F$41,IF(G$2=År2,Skovbrug!$G$21:$G$41,Skovbrug!$H$21:$H$41)),Skovbrug!$A$21:$A$41,'Direkte input'!$B201,Skovbrug!$B$21:$B$41,'Direkte input'!$E201))</f>
        <v>0</v>
      </c>
      <c r="H201" s="107">
        <f>IF($A201="Vestdanmark",SUMIFS(IF(H$2=År1,Skovbrug!$C$21:$C$41,IF(H$2=År2,Skovbrug!$D$21:$D$41,Skovbrug!$E$21:$E$41)),Skovbrug!$A$21:$A$41,'Direkte input'!$B201,Skovbrug!$B$21:$B$41,'Direkte input'!$E201),SUMIFS(IF(H$2=År1,Skovbrug!$F$21:$F$41,IF(H$2=År2,Skovbrug!$G$21:$G$41,Skovbrug!$H$21:$H$41)),Skovbrug!$A$21:$A$41,'Direkte input'!$B201,Skovbrug!$B$21:$B$41,'Direkte input'!$E201))</f>
        <v>0</v>
      </c>
      <c r="I201" s="107">
        <f>IF($A201="Vestdanmark",SUMIFS(IF(I$2=År1,Skovbrug!$C$21:$C$41,IF(I$2=År2,Skovbrug!$D$21:$D$41,Skovbrug!$E$21:$E$41)),Skovbrug!$A$21:$A$41,'Direkte input'!$B201,Skovbrug!$B$21:$B$41,'Direkte input'!$E201),SUMIFS(IF(I$2=År1,Skovbrug!$F$21:$F$41,IF(I$2=År2,Skovbrug!$G$21:$G$41,Skovbrug!$H$21:$H$41)),Skovbrug!$A$21:$A$41,'Direkte input'!$B201,Skovbrug!$B$21:$B$41,'Direkte input'!$E201))</f>
        <v>0</v>
      </c>
    </row>
    <row r="202" spans="1:9" x14ac:dyDescent="0.25">
      <c r="A202" t="s">
        <v>23</v>
      </c>
      <c r="B202" t="s">
        <v>182</v>
      </c>
      <c r="D202" t="s">
        <v>182</v>
      </c>
      <c r="E202">
        <v>10</v>
      </c>
      <c r="F202" t="str">
        <f t="shared" si="16"/>
        <v>Areal-skovtype5-10</v>
      </c>
      <c r="G202" s="107">
        <f>IF($A202="Vestdanmark",SUMIFS(IF(G$2=År1,Skovbrug!$C$21:$C$41,IF(G$2=År2,Skovbrug!$D$21:$D$41,Skovbrug!$E$21:$E$41)),Skovbrug!$A$21:$A$41,'Direkte input'!$B202,Skovbrug!$B$21:$B$41,'Direkte input'!$E202),SUMIFS(IF(G$2=År1,Skovbrug!$F$21:$F$41,IF(G$2=År2,Skovbrug!$G$21:$G$41,Skovbrug!$H$21:$H$41)),Skovbrug!$A$21:$A$41,'Direkte input'!$B202,Skovbrug!$B$21:$B$41,'Direkte input'!$E202))</f>
        <v>0</v>
      </c>
      <c r="H202" s="107">
        <f>IF($A202="Vestdanmark",SUMIFS(IF(H$2=År1,Skovbrug!$C$21:$C$41,IF(H$2=År2,Skovbrug!$D$21:$D$41,Skovbrug!$E$21:$E$41)),Skovbrug!$A$21:$A$41,'Direkte input'!$B202,Skovbrug!$B$21:$B$41,'Direkte input'!$E202),SUMIFS(IF(H$2=År1,Skovbrug!$F$21:$F$41,IF(H$2=År2,Skovbrug!$G$21:$G$41,Skovbrug!$H$21:$H$41)),Skovbrug!$A$21:$A$41,'Direkte input'!$B202,Skovbrug!$B$21:$B$41,'Direkte input'!$E202))</f>
        <v>0</v>
      </c>
      <c r="I202" s="107">
        <f>IF($A202="Vestdanmark",SUMIFS(IF(I$2=År1,Skovbrug!$C$21:$C$41,IF(I$2=År2,Skovbrug!$D$21:$D$41,Skovbrug!$E$21:$E$41)),Skovbrug!$A$21:$A$41,'Direkte input'!$B202,Skovbrug!$B$21:$B$41,'Direkte input'!$E202),SUMIFS(IF(I$2=År1,Skovbrug!$F$21:$F$41,IF(I$2=År2,Skovbrug!$G$21:$G$41,Skovbrug!$H$21:$H$41)),Skovbrug!$A$21:$A$41,'Direkte input'!$B202,Skovbrug!$B$21:$B$41,'Direkte input'!$E202))</f>
        <v>0</v>
      </c>
    </row>
    <row r="203" spans="1:9" x14ac:dyDescent="0.25">
      <c r="A203" t="s">
        <v>23</v>
      </c>
      <c r="B203" t="s">
        <v>182</v>
      </c>
      <c r="D203" t="s">
        <v>182</v>
      </c>
      <c r="E203">
        <v>20</v>
      </c>
      <c r="F203" t="str">
        <f t="shared" si="16"/>
        <v>Areal-skovtype5-20</v>
      </c>
      <c r="G203" s="107">
        <f>IF($A203="Vestdanmark",SUMIFS(IF(G$2=År1,Skovbrug!$C$21:$C$41,IF(G$2=År2,Skovbrug!$D$21:$D$41,Skovbrug!$E$21:$E$41)),Skovbrug!$A$21:$A$41,'Direkte input'!$B203,Skovbrug!$B$21:$B$41,'Direkte input'!$E203),SUMIFS(IF(G$2=År1,Skovbrug!$F$21:$F$41,IF(G$2=År2,Skovbrug!$G$21:$G$41,Skovbrug!$H$21:$H$41)),Skovbrug!$A$21:$A$41,'Direkte input'!$B203,Skovbrug!$B$21:$B$41,'Direkte input'!$E203))</f>
        <v>0</v>
      </c>
      <c r="H203" s="107">
        <f>IF($A203="Vestdanmark",SUMIFS(IF(H$2=År1,Skovbrug!$C$21:$C$41,IF(H$2=År2,Skovbrug!$D$21:$D$41,Skovbrug!$E$21:$E$41)),Skovbrug!$A$21:$A$41,'Direkte input'!$B203,Skovbrug!$B$21:$B$41,'Direkte input'!$E203),SUMIFS(IF(H$2=År1,Skovbrug!$F$21:$F$41,IF(H$2=År2,Skovbrug!$G$21:$G$41,Skovbrug!$H$21:$H$41)),Skovbrug!$A$21:$A$41,'Direkte input'!$B203,Skovbrug!$B$21:$B$41,'Direkte input'!$E203))</f>
        <v>0</v>
      </c>
      <c r="I203" s="107">
        <f>IF($A203="Vestdanmark",SUMIFS(IF(I$2=År1,Skovbrug!$C$21:$C$41,IF(I$2=År2,Skovbrug!$D$21:$D$41,Skovbrug!$E$21:$E$41)),Skovbrug!$A$21:$A$41,'Direkte input'!$B203,Skovbrug!$B$21:$B$41,'Direkte input'!$E203),SUMIFS(IF(I$2=År1,Skovbrug!$F$21:$F$41,IF(I$2=År2,Skovbrug!$G$21:$G$41,Skovbrug!$H$21:$H$41)),Skovbrug!$A$21:$A$41,'Direkte input'!$B203,Skovbrug!$B$21:$B$41,'Direkte input'!$E203))</f>
        <v>0</v>
      </c>
    </row>
    <row r="204" spans="1:9" x14ac:dyDescent="0.25">
      <c r="A204" t="s">
        <v>23</v>
      </c>
      <c r="B204" t="s">
        <v>182</v>
      </c>
      <c r="D204" t="s">
        <v>182</v>
      </c>
      <c r="E204">
        <v>30</v>
      </c>
      <c r="F204" t="str">
        <f t="shared" si="16"/>
        <v>Areal-skovtype5-30</v>
      </c>
      <c r="G204" s="107">
        <f>IF($A204="Vestdanmark",SUMIFS(IF(G$2=År1,Skovbrug!$C$21:$C$41,IF(G$2=År2,Skovbrug!$D$21:$D$41,Skovbrug!$E$21:$E$41)),Skovbrug!$A$21:$A$41,'Direkte input'!$B204,Skovbrug!$B$21:$B$41,'Direkte input'!$E204),SUMIFS(IF(G$2=År1,Skovbrug!$F$21:$F$41,IF(G$2=År2,Skovbrug!$G$21:$G$41,Skovbrug!$H$21:$H$41)),Skovbrug!$A$21:$A$41,'Direkte input'!$B204,Skovbrug!$B$21:$B$41,'Direkte input'!$E204))</f>
        <v>0</v>
      </c>
      <c r="H204" s="107">
        <f>IF($A204="Vestdanmark",SUMIFS(IF(H$2=År1,Skovbrug!$C$21:$C$41,IF(H$2=År2,Skovbrug!$D$21:$D$41,Skovbrug!$E$21:$E$41)),Skovbrug!$A$21:$A$41,'Direkte input'!$B204,Skovbrug!$B$21:$B$41,'Direkte input'!$E204),SUMIFS(IF(H$2=År1,Skovbrug!$F$21:$F$41,IF(H$2=År2,Skovbrug!$G$21:$G$41,Skovbrug!$H$21:$H$41)),Skovbrug!$A$21:$A$41,'Direkte input'!$B204,Skovbrug!$B$21:$B$41,'Direkte input'!$E204))</f>
        <v>0</v>
      </c>
      <c r="I204" s="107">
        <f>IF($A204="Vestdanmark",SUMIFS(IF(I$2=År1,Skovbrug!$C$21:$C$41,IF(I$2=År2,Skovbrug!$D$21:$D$41,Skovbrug!$E$21:$E$41)),Skovbrug!$A$21:$A$41,'Direkte input'!$B204,Skovbrug!$B$21:$B$41,'Direkte input'!$E204),SUMIFS(IF(I$2=År1,Skovbrug!$F$21:$F$41,IF(I$2=År2,Skovbrug!$G$21:$G$41,Skovbrug!$H$21:$H$41)),Skovbrug!$A$21:$A$41,'Direkte input'!$B204,Skovbrug!$B$21:$B$41,'Direkte input'!$E204))</f>
        <v>0</v>
      </c>
    </row>
    <row r="205" spans="1:9" x14ac:dyDescent="0.25">
      <c r="A205" t="s">
        <v>23</v>
      </c>
      <c r="B205" t="s">
        <v>182</v>
      </c>
      <c r="D205" t="s">
        <v>182</v>
      </c>
      <c r="E205">
        <v>40</v>
      </c>
      <c r="F205" t="str">
        <f t="shared" si="16"/>
        <v>Areal-skovtype5-40</v>
      </c>
      <c r="G205" s="107">
        <f>IF($A205="Vestdanmark",SUMIFS(IF(G$2=År1,Skovbrug!$C$21:$C$41,IF(G$2=År2,Skovbrug!$D$21:$D$41,Skovbrug!$E$21:$E$41)),Skovbrug!$A$21:$A$41,'Direkte input'!$B205,Skovbrug!$B$21:$B$41,'Direkte input'!$E205),SUMIFS(IF(G$2=År1,Skovbrug!$F$21:$F$41,IF(G$2=År2,Skovbrug!$G$21:$G$41,Skovbrug!$H$21:$H$41)),Skovbrug!$A$21:$A$41,'Direkte input'!$B205,Skovbrug!$B$21:$B$41,'Direkte input'!$E205))</f>
        <v>0</v>
      </c>
      <c r="H205" s="107">
        <f>IF($A205="Vestdanmark",SUMIFS(IF(H$2=År1,Skovbrug!$C$21:$C$41,IF(H$2=År2,Skovbrug!$D$21:$D$41,Skovbrug!$E$21:$E$41)),Skovbrug!$A$21:$A$41,'Direkte input'!$B205,Skovbrug!$B$21:$B$41,'Direkte input'!$E205),SUMIFS(IF(H$2=År1,Skovbrug!$F$21:$F$41,IF(H$2=År2,Skovbrug!$G$21:$G$41,Skovbrug!$H$21:$H$41)),Skovbrug!$A$21:$A$41,'Direkte input'!$B205,Skovbrug!$B$21:$B$41,'Direkte input'!$E205))</f>
        <v>0</v>
      </c>
      <c r="I205" s="107">
        <f>IF($A205="Vestdanmark",SUMIFS(IF(I$2=År1,Skovbrug!$C$21:$C$41,IF(I$2=År2,Skovbrug!$D$21:$D$41,Skovbrug!$E$21:$E$41)),Skovbrug!$A$21:$A$41,'Direkte input'!$B205,Skovbrug!$B$21:$B$41,'Direkte input'!$E205),SUMIFS(IF(I$2=År1,Skovbrug!$F$21:$F$41,IF(I$2=År2,Skovbrug!$G$21:$G$41,Skovbrug!$H$21:$H$41)),Skovbrug!$A$21:$A$41,'Direkte input'!$B205,Skovbrug!$B$21:$B$41,'Direkte input'!$E205))</f>
        <v>0</v>
      </c>
    </row>
    <row r="206" spans="1:9" x14ac:dyDescent="0.25">
      <c r="A206" t="s">
        <v>24</v>
      </c>
      <c r="B206" t="s">
        <v>184</v>
      </c>
      <c r="D206" t="s">
        <v>184</v>
      </c>
      <c r="E206" t="s">
        <v>183</v>
      </c>
      <c r="F206" t="str">
        <f>CONCATENATE("Areal-",LOWER(B206))</f>
        <v>Areal-basisskov</v>
      </c>
      <c r="G206" s="107">
        <f>IF($A206="Vestdanmark",SUMIFS(IF(G$2=År1,Skovbrug!$C$21:$C$41,IF(G$2=År2,Skovbrug!$D$21:$D$41,Skovbrug!$E$21:$E$41)),Skovbrug!$A$21:$A$41,'Direkte input'!$B206,Skovbrug!$B$21:$B$41,'Direkte input'!$E206),SUMIFS(IF(G$2=År1,Skovbrug!$F$21:$F$41,IF(G$2=År2,Skovbrug!$G$21:$G$41,Skovbrug!$H$21:$H$41)),Skovbrug!$A$21:$A$41,'Direkte input'!$B206,Skovbrug!$B$21:$B$41,'Direkte input'!$E206))</f>
        <v>127230</v>
      </c>
      <c r="H206" s="107">
        <f>IF($A206="Vestdanmark",SUMIFS(IF(H$2=År1,Skovbrug!$C$21:$C$41,IF(H$2=År2,Skovbrug!$D$21:$D$41,Skovbrug!$E$21:$E$41)),Skovbrug!$A$21:$A$41,'Direkte input'!$B206,Skovbrug!$B$21:$B$41,'Direkte input'!$E206),SUMIFS(IF(H$2=År1,Skovbrug!$F$21:$F$41,IF(H$2=År2,Skovbrug!$G$21:$G$41,Skovbrug!$H$21:$H$41)),Skovbrug!$A$21:$A$41,'Direkte input'!$B206,Skovbrug!$B$21:$B$41,'Direkte input'!$E206))</f>
        <v>120404.69318966437</v>
      </c>
      <c r="I206" s="107">
        <f>IF($A206="Vestdanmark",SUMIFS(IF(I$2=År1,Skovbrug!$C$21:$C$41,IF(I$2=År2,Skovbrug!$D$21:$D$41,Skovbrug!$E$21:$E$41)),Skovbrug!$A$21:$A$41,'Direkte input'!$B206,Skovbrug!$B$21:$B$41,'Direkte input'!$E206),SUMIFS(IF(I$2=År1,Skovbrug!$F$21:$F$41,IF(I$2=År2,Skovbrug!$G$21:$G$41,Skovbrug!$H$21:$H$41)),Skovbrug!$A$21:$A$41,'Direkte input'!$B206,Skovbrug!$B$21:$B$41,'Direkte input'!$E206))</f>
        <v>108919.34733362029</v>
      </c>
    </row>
    <row r="207" spans="1:9" x14ac:dyDescent="0.25">
      <c r="A207" t="s">
        <v>24</v>
      </c>
      <c r="B207" t="s">
        <v>178</v>
      </c>
      <c r="D207" t="s">
        <v>178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IF($A207="Vestdanmark",SUMIFS(IF(G$2=År1,Skovbrug!$C$21:$C$41,IF(G$2=År2,Skovbrug!$D$21:$D$41,Skovbrug!$E$21:$E$41)),Skovbrug!$A$21:$A$41,'Direkte input'!$B207,Skovbrug!$B$21:$B$41,'Direkte input'!$E207),SUMIFS(IF(G$2=År1,Skovbrug!$F$21:$F$41,IF(G$2=År2,Skovbrug!$G$21:$G$41,Skovbrug!$H$21:$H$41)),Skovbrug!$A$21:$A$41,'Direkte input'!$B207,Skovbrug!$B$21:$B$41,'Direkte input'!$E207))</f>
        <v>0</v>
      </c>
      <c r="H207" s="107">
        <f>IF($A207="Vestdanmark",SUMIFS(IF(H$2=År1,Skovbrug!$C$21:$C$41,IF(H$2=År2,Skovbrug!$D$21:$D$41,Skovbrug!$E$21:$E$41)),Skovbrug!$A$21:$A$41,'Direkte input'!$B207,Skovbrug!$B$21:$B$41,'Direkte input'!$E207),SUMIFS(IF(H$2=År1,Skovbrug!$F$21:$F$41,IF(H$2=År2,Skovbrug!$G$21:$G$41,Skovbrug!$H$21:$H$41)),Skovbrug!$A$21:$A$41,'Direkte input'!$B207,Skovbrug!$B$21:$B$41,'Direkte input'!$E207))</f>
        <v>0</v>
      </c>
      <c r="I207" s="107">
        <f>IF($A207="Vestdanmark",SUMIFS(IF(I$2=År1,Skovbrug!$C$21:$C$41,IF(I$2=År2,Skovbrug!$D$21:$D$41,Skovbrug!$E$21:$E$41)),Skovbrug!$A$21:$A$41,'Direkte input'!$B207,Skovbrug!$B$21:$B$41,'Direkte input'!$E207),SUMIFS(IF(I$2=År1,Skovbrug!$F$21:$F$41,IF(I$2=År2,Skovbrug!$G$21:$G$41,Skovbrug!$H$21:$H$41)),Skovbrug!$A$21:$A$41,'Direkte input'!$B207,Skovbrug!$B$21:$B$41,'Direkte input'!$E207))</f>
        <v>0</v>
      </c>
    </row>
    <row r="208" spans="1:9" x14ac:dyDescent="0.25">
      <c r="A208" t="s">
        <v>24</v>
      </c>
      <c r="B208" t="s">
        <v>178</v>
      </c>
      <c r="D208" t="s">
        <v>178</v>
      </c>
      <c r="E208">
        <v>20</v>
      </c>
      <c r="F208" t="str">
        <f t="shared" si="17"/>
        <v>Areal-skovtype1-20</v>
      </c>
      <c r="G208" s="107">
        <f>IF($A208="Vestdanmark",SUMIFS(IF(G$2=År1,Skovbrug!$C$21:$C$41,IF(G$2=År2,Skovbrug!$D$21:$D$41,Skovbrug!$E$21:$E$41)),Skovbrug!$A$21:$A$41,'Direkte input'!$B208,Skovbrug!$B$21:$B$41,'Direkte input'!$E208),SUMIFS(IF(G$2=År1,Skovbrug!$F$21:$F$41,IF(G$2=År2,Skovbrug!$G$21:$G$41,Skovbrug!$H$21:$H$41)),Skovbrug!$A$21:$A$41,'Direkte input'!$B208,Skovbrug!$B$21:$B$41,'Direkte input'!$E208))</f>
        <v>0</v>
      </c>
      <c r="H208" s="107">
        <f>IF($A208="Vestdanmark",SUMIFS(IF(H$2=År1,Skovbrug!$C$21:$C$41,IF(H$2=År2,Skovbrug!$D$21:$D$41,Skovbrug!$E$21:$E$41)),Skovbrug!$A$21:$A$41,'Direkte input'!$B208,Skovbrug!$B$21:$B$41,'Direkte input'!$E208),SUMIFS(IF(H$2=År1,Skovbrug!$F$21:$F$41,IF(H$2=År2,Skovbrug!$G$21:$G$41,Skovbrug!$H$21:$H$41)),Skovbrug!$A$21:$A$41,'Direkte input'!$B208,Skovbrug!$B$21:$B$41,'Direkte input'!$E208))</f>
        <v>0</v>
      </c>
      <c r="I208" s="107">
        <f>IF($A208="Vestdanmark",SUMIFS(IF(I$2=År1,Skovbrug!$C$21:$C$41,IF(I$2=År2,Skovbrug!$D$21:$D$41,Skovbrug!$E$21:$E$41)),Skovbrug!$A$21:$A$41,'Direkte input'!$B208,Skovbrug!$B$21:$B$41,'Direkte input'!$E208),SUMIFS(IF(I$2=År1,Skovbrug!$F$21:$F$41,IF(I$2=År2,Skovbrug!$G$21:$G$41,Skovbrug!$H$21:$H$41)),Skovbrug!$A$21:$A$41,'Direkte input'!$B208,Skovbrug!$B$21:$B$41,'Direkte input'!$E208))</f>
        <v>0</v>
      </c>
    </row>
    <row r="209" spans="1:9" x14ac:dyDescent="0.25">
      <c r="A209" t="s">
        <v>24</v>
      </c>
      <c r="B209" t="s">
        <v>178</v>
      </c>
      <c r="D209" t="s">
        <v>178</v>
      </c>
      <c r="E209">
        <v>30</v>
      </c>
      <c r="F209" t="str">
        <f t="shared" si="17"/>
        <v>Areal-skovtype1-30</v>
      </c>
      <c r="G209" s="107">
        <f>IF($A209="Vestdanmark",SUMIFS(IF(G$2=År1,Skovbrug!$C$21:$C$41,IF(G$2=År2,Skovbrug!$D$21:$D$41,Skovbrug!$E$21:$E$41)),Skovbrug!$A$21:$A$41,'Direkte input'!$B209,Skovbrug!$B$21:$B$41,'Direkte input'!$E209),SUMIFS(IF(G$2=År1,Skovbrug!$F$21:$F$41,IF(G$2=År2,Skovbrug!$G$21:$G$41,Skovbrug!$H$21:$H$41)),Skovbrug!$A$21:$A$41,'Direkte input'!$B209,Skovbrug!$B$21:$B$41,'Direkte input'!$E209))</f>
        <v>0</v>
      </c>
      <c r="H209" s="107">
        <f>IF($A209="Vestdanmark",SUMIFS(IF(H$2=År1,Skovbrug!$C$21:$C$41,IF(H$2=År2,Skovbrug!$D$21:$D$41,Skovbrug!$E$21:$E$41)),Skovbrug!$A$21:$A$41,'Direkte input'!$B209,Skovbrug!$B$21:$B$41,'Direkte input'!$E209),SUMIFS(IF(H$2=År1,Skovbrug!$F$21:$F$41,IF(H$2=År2,Skovbrug!$G$21:$G$41,Skovbrug!$H$21:$H$41)),Skovbrug!$A$21:$A$41,'Direkte input'!$B209,Skovbrug!$B$21:$B$41,'Direkte input'!$E209))</f>
        <v>0</v>
      </c>
      <c r="I209" s="107">
        <f>IF($A209="Vestdanmark",SUMIFS(IF(I$2=År1,Skovbrug!$C$21:$C$41,IF(I$2=År2,Skovbrug!$D$21:$D$41,Skovbrug!$E$21:$E$41)),Skovbrug!$A$21:$A$41,'Direkte input'!$B209,Skovbrug!$B$21:$B$41,'Direkte input'!$E209),SUMIFS(IF(I$2=År1,Skovbrug!$F$21:$F$41,IF(I$2=År2,Skovbrug!$G$21:$G$41,Skovbrug!$H$21:$H$41)),Skovbrug!$A$21:$A$41,'Direkte input'!$B209,Skovbrug!$B$21:$B$41,'Direkte input'!$E209))</f>
        <v>0</v>
      </c>
    </row>
    <row r="210" spans="1:9" x14ac:dyDescent="0.25">
      <c r="A210" t="s">
        <v>24</v>
      </c>
      <c r="B210" t="s">
        <v>178</v>
      </c>
      <c r="D210" t="s">
        <v>178</v>
      </c>
      <c r="E210">
        <v>40</v>
      </c>
      <c r="F210" t="str">
        <f t="shared" si="17"/>
        <v>Areal-skovtype1-40</v>
      </c>
      <c r="G210" s="107">
        <f>IF($A210="Vestdanmark",SUMIFS(IF(G$2=År1,Skovbrug!$C$21:$C$41,IF(G$2=År2,Skovbrug!$D$21:$D$41,Skovbrug!$E$21:$E$41)),Skovbrug!$A$21:$A$41,'Direkte input'!$B210,Skovbrug!$B$21:$B$41,'Direkte input'!$E210),SUMIFS(IF(G$2=År1,Skovbrug!$F$21:$F$41,IF(G$2=År2,Skovbrug!$G$21:$G$41,Skovbrug!$H$21:$H$41)),Skovbrug!$A$21:$A$41,'Direkte input'!$B210,Skovbrug!$B$21:$B$41,'Direkte input'!$E210))</f>
        <v>0</v>
      </c>
      <c r="H210" s="107">
        <f>IF($A210="Vestdanmark",SUMIFS(IF(H$2=År1,Skovbrug!$C$21:$C$41,IF(H$2=År2,Skovbrug!$D$21:$D$41,Skovbrug!$E$21:$E$41)),Skovbrug!$A$21:$A$41,'Direkte input'!$B210,Skovbrug!$B$21:$B$41,'Direkte input'!$E210),SUMIFS(IF(H$2=År1,Skovbrug!$F$21:$F$41,IF(H$2=År2,Skovbrug!$G$21:$G$41,Skovbrug!$H$21:$H$41)),Skovbrug!$A$21:$A$41,'Direkte input'!$B210,Skovbrug!$B$21:$B$41,'Direkte input'!$E210))</f>
        <v>0</v>
      </c>
      <c r="I210" s="107">
        <f>IF($A210="Vestdanmark",SUMIFS(IF(I$2=År1,Skovbrug!$C$21:$C$41,IF(I$2=År2,Skovbrug!$D$21:$D$41,Skovbrug!$E$21:$E$41)),Skovbrug!$A$21:$A$41,'Direkte input'!$B210,Skovbrug!$B$21:$B$41,'Direkte input'!$E210),SUMIFS(IF(I$2=År1,Skovbrug!$F$21:$F$41,IF(I$2=År2,Skovbrug!$G$21:$G$41,Skovbrug!$H$21:$H$41)),Skovbrug!$A$21:$A$41,'Direkte input'!$B210,Skovbrug!$B$21:$B$41,'Direkte input'!$E210))</f>
        <v>0</v>
      </c>
    </row>
    <row r="211" spans="1:9" x14ac:dyDescent="0.25">
      <c r="A211" t="s">
        <v>24</v>
      </c>
      <c r="B211" t="s">
        <v>179</v>
      </c>
      <c r="D211" t="s">
        <v>179</v>
      </c>
      <c r="E211">
        <v>10</v>
      </c>
      <c r="F211" t="str">
        <f t="shared" si="17"/>
        <v>Areal-skovtype2-10</v>
      </c>
      <c r="G211" s="107">
        <f>IF($A211="Vestdanmark",SUMIFS(IF(G$2=År1,Skovbrug!$C$21:$C$41,IF(G$2=År2,Skovbrug!$D$21:$D$41,Skovbrug!$E$21:$E$41)),Skovbrug!$A$21:$A$41,'Direkte input'!$B211,Skovbrug!$B$21:$B$41,'Direkte input'!$E211),SUMIFS(IF(G$2=År1,Skovbrug!$F$21:$F$41,IF(G$2=År2,Skovbrug!$G$21:$G$41,Skovbrug!$H$21:$H$41)),Skovbrug!$A$21:$A$41,'Direkte input'!$B211,Skovbrug!$B$21:$B$41,'Direkte input'!$E211))</f>
        <v>0</v>
      </c>
      <c r="H211" s="107">
        <f>IF($A211="Vestdanmark",SUMIFS(IF(H$2=År1,Skovbrug!$C$21:$C$41,IF(H$2=År2,Skovbrug!$D$21:$D$41,Skovbrug!$E$21:$E$41)),Skovbrug!$A$21:$A$41,'Direkte input'!$B211,Skovbrug!$B$21:$B$41,'Direkte input'!$E211),SUMIFS(IF(H$2=År1,Skovbrug!$F$21:$F$41,IF(H$2=År2,Skovbrug!$G$21:$G$41,Skovbrug!$H$21:$H$41)),Skovbrug!$A$21:$A$41,'Direkte input'!$B211,Skovbrug!$B$21:$B$41,'Direkte input'!$E211))</f>
        <v>11653.242013147261</v>
      </c>
      <c r="I211" s="107">
        <f>IF($A211="Vestdanmark",SUMIFS(IF(I$2=År1,Skovbrug!$C$21:$C$41,IF(I$2=År2,Skovbrug!$D$21:$D$41,Skovbrug!$E$21:$E$41)),Skovbrug!$A$21:$A$41,'Direkte input'!$B211,Skovbrug!$B$21:$B$41,'Direkte input'!$E211),SUMIFS(IF(I$2=År1,Skovbrug!$F$21:$F$41,IF(I$2=År2,Skovbrug!$G$21:$G$41,Skovbrug!$H$21:$H$41)),Skovbrug!$A$21:$A$41,'Direkte input'!$B211,Skovbrug!$B$21:$B$41,'Direkte input'!$E211))</f>
        <v>8739.3026300852289</v>
      </c>
    </row>
    <row r="212" spans="1:9" x14ac:dyDescent="0.25">
      <c r="A212" t="s">
        <v>24</v>
      </c>
      <c r="B212" t="s">
        <v>179</v>
      </c>
      <c r="D212" t="s">
        <v>179</v>
      </c>
      <c r="E212">
        <v>20</v>
      </c>
      <c r="F212" t="str">
        <f t="shared" si="17"/>
        <v>Areal-skovtype2-20</v>
      </c>
      <c r="G212" s="107">
        <f>IF($A212="Vestdanmark",SUMIFS(IF(G$2=År1,Skovbrug!$C$21:$C$41,IF(G$2=År2,Skovbrug!$D$21:$D$41,Skovbrug!$E$21:$E$41)),Skovbrug!$A$21:$A$41,'Direkte input'!$B212,Skovbrug!$B$21:$B$41,'Direkte input'!$E212),SUMIFS(IF(G$2=År1,Skovbrug!$F$21:$F$41,IF(G$2=År2,Skovbrug!$G$21:$G$41,Skovbrug!$H$21:$H$41)),Skovbrug!$A$21:$A$41,'Direkte input'!$B212,Skovbrug!$B$21:$B$41,'Direkte input'!$E212))</f>
        <v>0</v>
      </c>
      <c r="H212" s="107">
        <f>IF($A212="Vestdanmark",SUMIFS(IF(H$2=År1,Skovbrug!$C$21:$C$41,IF(H$2=År2,Skovbrug!$D$21:$D$41,Skovbrug!$E$21:$E$41)),Skovbrug!$A$21:$A$41,'Direkte input'!$B212,Skovbrug!$B$21:$B$41,'Direkte input'!$E212),SUMIFS(IF(H$2=År1,Skovbrug!$F$21:$F$41,IF(H$2=År2,Skovbrug!$G$21:$G$41,Skovbrug!$H$21:$H$41)),Skovbrug!$A$21:$A$41,'Direkte input'!$B212,Skovbrug!$B$21:$B$41,'Direkte input'!$E212))</f>
        <v>1165.324201314726</v>
      </c>
      <c r="I212" s="107">
        <f>IF($A212="Vestdanmark",SUMIFS(IF(I$2=År1,Skovbrug!$C$21:$C$41,IF(I$2=År2,Skovbrug!$D$21:$D$41,Skovbrug!$E$21:$E$41)),Skovbrug!$A$21:$A$41,'Direkte input'!$B212,Skovbrug!$B$21:$B$41,'Direkte input'!$E212),SUMIFS(IF(I$2=År1,Skovbrug!$F$21:$F$41,IF(I$2=År2,Skovbrug!$G$21:$G$41,Skovbrug!$H$21:$H$41)),Skovbrug!$A$21:$A$41,'Direkte input'!$B212,Skovbrug!$B$21:$B$41,'Direkte input'!$E212))</f>
        <v>8739.3026300852289</v>
      </c>
    </row>
    <row r="213" spans="1:9" x14ac:dyDescent="0.25">
      <c r="A213" t="s">
        <v>24</v>
      </c>
      <c r="B213" t="s">
        <v>179</v>
      </c>
      <c r="D213" t="s">
        <v>179</v>
      </c>
      <c r="E213">
        <v>30</v>
      </c>
      <c r="F213" t="str">
        <f t="shared" si="17"/>
        <v>Areal-skovtype2-30</v>
      </c>
      <c r="G213" s="107">
        <f>IF($A213="Vestdanmark",SUMIFS(IF(G$2=År1,Skovbrug!$C$21:$C$41,IF(G$2=År2,Skovbrug!$D$21:$D$41,Skovbrug!$E$21:$E$41)),Skovbrug!$A$21:$A$41,'Direkte input'!$B213,Skovbrug!$B$21:$B$41,'Direkte input'!$E213),SUMIFS(IF(G$2=År1,Skovbrug!$F$21:$F$41,IF(G$2=År2,Skovbrug!$G$21:$G$41,Skovbrug!$H$21:$H$41)),Skovbrug!$A$21:$A$41,'Direkte input'!$B213,Skovbrug!$B$21:$B$41,'Direkte input'!$E213))</f>
        <v>0</v>
      </c>
      <c r="H213" s="107">
        <f>IF($A213="Vestdanmark",SUMIFS(IF(H$2=År1,Skovbrug!$C$21:$C$41,IF(H$2=År2,Skovbrug!$D$21:$D$41,Skovbrug!$E$21:$E$41)),Skovbrug!$A$21:$A$41,'Direkte input'!$B213,Skovbrug!$B$21:$B$41,'Direkte input'!$E213),SUMIFS(IF(H$2=År1,Skovbrug!$F$21:$F$41,IF(H$2=År2,Skovbrug!$G$21:$G$41,Skovbrug!$H$21:$H$41)),Skovbrug!$A$21:$A$41,'Direkte input'!$B213,Skovbrug!$B$21:$B$41,'Direkte input'!$E213))</f>
        <v>0</v>
      </c>
      <c r="I213" s="107">
        <f>IF($A213="Vestdanmark",SUMIFS(IF(I$2=År1,Skovbrug!$C$21:$C$41,IF(I$2=År2,Skovbrug!$D$21:$D$41,Skovbrug!$E$21:$E$41)),Skovbrug!$A$21:$A$41,'Direkte input'!$B213,Skovbrug!$B$21:$B$41,'Direkte input'!$E213),SUMIFS(IF(I$2=År1,Skovbrug!$F$21:$F$41,IF(I$2=År2,Skovbrug!$G$21:$G$41,Skovbrug!$H$21:$H$41)),Skovbrug!$A$21:$A$41,'Direkte input'!$B213,Skovbrug!$B$21:$B$41,'Direkte input'!$E213))</f>
        <v>11653.242013147261</v>
      </c>
    </row>
    <row r="214" spans="1:9" x14ac:dyDescent="0.25">
      <c r="A214" t="s">
        <v>24</v>
      </c>
      <c r="B214" t="s">
        <v>179</v>
      </c>
      <c r="D214" t="s">
        <v>179</v>
      </c>
      <c r="E214">
        <v>40</v>
      </c>
      <c r="F214" t="str">
        <f t="shared" si="17"/>
        <v>Areal-skovtype2-40</v>
      </c>
      <c r="G214" s="107">
        <f>IF($A214="Vestdanmark",SUMIFS(IF(G$2=År1,Skovbrug!$C$21:$C$41,IF(G$2=År2,Skovbrug!$D$21:$D$41,Skovbrug!$E$21:$E$41)),Skovbrug!$A$21:$A$41,'Direkte input'!$B214,Skovbrug!$B$21:$B$41,'Direkte input'!$E214),SUMIFS(IF(G$2=År1,Skovbrug!$F$21:$F$41,IF(G$2=År2,Skovbrug!$G$21:$G$41,Skovbrug!$H$21:$H$41)),Skovbrug!$A$21:$A$41,'Direkte input'!$B214,Skovbrug!$B$21:$B$41,'Direkte input'!$E214))</f>
        <v>0</v>
      </c>
      <c r="H214" s="107">
        <f>IF($A214="Vestdanmark",SUMIFS(IF(H$2=År1,Skovbrug!$C$21:$C$41,IF(H$2=År2,Skovbrug!$D$21:$D$41,Skovbrug!$E$21:$E$41)),Skovbrug!$A$21:$A$41,'Direkte input'!$B214,Skovbrug!$B$21:$B$41,'Direkte input'!$E214),SUMIFS(IF(H$2=År1,Skovbrug!$F$21:$F$41,IF(H$2=År2,Skovbrug!$G$21:$G$41,Skovbrug!$H$21:$H$41)),Skovbrug!$A$21:$A$41,'Direkte input'!$B214,Skovbrug!$B$21:$B$41,'Direkte input'!$E214))</f>
        <v>0</v>
      </c>
      <c r="I214" s="107">
        <f>IF($A214="Vestdanmark",SUMIFS(IF(I$2=År1,Skovbrug!$C$21:$C$41,IF(I$2=År2,Skovbrug!$D$21:$D$41,Skovbrug!$E$21:$E$41)),Skovbrug!$A$21:$A$41,'Direkte input'!$B214,Skovbrug!$B$21:$B$41,'Direkte input'!$E214),SUMIFS(IF(I$2=År1,Skovbrug!$F$21:$F$41,IF(I$2=År2,Skovbrug!$G$21:$G$41,Skovbrug!$H$21:$H$41)),Skovbrug!$A$21:$A$41,'Direkte input'!$B214,Skovbrug!$B$21:$B$41,'Direkte input'!$E214))</f>
        <v>1165.324201314726</v>
      </c>
    </row>
    <row r="215" spans="1:9" x14ac:dyDescent="0.25">
      <c r="A215" t="s">
        <v>24</v>
      </c>
      <c r="B215" t="s">
        <v>180</v>
      </c>
      <c r="D215" t="s">
        <v>180</v>
      </c>
      <c r="E215">
        <v>10</v>
      </c>
      <c r="F215" t="str">
        <f t="shared" si="17"/>
        <v>Areal-skovtype3-10</v>
      </c>
      <c r="G215" s="107">
        <f>IF($A215="Vestdanmark",SUMIFS(IF(G$2=År1,Skovbrug!$C$21:$C$41,IF(G$2=År2,Skovbrug!$D$21:$D$41,Skovbrug!$E$21:$E$41)),Skovbrug!$A$21:$A$41,'Direkte input'!$B215,Skovbrug!$B$21:$B$41,'Direkte input'!$E215),SUMIFS(IF(G$2=År1,Skovbrug!$F$21:$F$41,IF(G$2=År2,Skovbrug!$G$21:$G$41,Skovbrug!$H$21:$H$41)),Skovbrug!$A$21:$A$41,'Direkte input'!$B215,Skovbrug!$B$21:$B$41,'Direkte input'!$E215))</f>
        <v>0</v>
      </c>
      <c r="H215" s="107">
        <f>IF($A215="Vestdanmark",SUMIFS(IF(H$2=År1,Skovbrug!$C$21:$C$41,IF(H$2=År2,Skovbrug!$D$21:$D$41,Skovbrug!$E$21:$E$41)),Skovbrug!$A$21:$A$41,'Direkte input'!$B215,Skovbrug!$B$21:$B$41,'Direkte input'!$E215),SUMIFS(IF(H$2=År1,Skovbrug!$F$21:$F$41,IF(H$2=År2,Skovbrug!$G$21:$G$41,Skovbrug!$H$21:$H$41)),Skovbrug!$A$21:$A$41,'Direkte input'!$B215,Skovbrug!$B$21:$B$41,'Direkte input'!$E215))</f>
        <v>0</v>
      </c>
      <c r="I215" s="107">
        <f>IF($A215="Vestdanmark",SUMIFS(IF(I$2=År1,Skovbrug!$C$21:$C$41,IF(I$2=År2,Skovbrug!$D$21:$D$41,Skovbrug!$E$21:$E$41)),Skovbrug!$A$21:$A$41,'Direkte input'!$B215,Skovbrug!$B$21:$B$41,'Direkte input'!$E215),SUMIFS(IF(I$2=År1,Skovbrug!$F$21:$F$41,IF(I$2=År2,Skovbrug!$G$21:$G$41,Skovbrug!$H$21:$H$41)),Skovbrug!$A$21:$A$41,'Direkte input'!$B215,Skovbrug!$B$21:$B$41,'Direkte input'!$E215))</f>
        <v>0</v>
      </c>
    </row>
    <row r="216" spans="1:9" x14ac:dyDescent="0.25">
      <c r="A216" t="s">
        <v>24</v>
      </c>
      <c r="B216" t="s">
        <v>180</v>
      </c>
      <c r="D216" t="s">
        <v>180</v>
      </c>
      <c r="E216">
        <v>20</v>
      </c>
      <c r="F216" t="str">
        <f t="shared" si="17"/>
        <v>Areal-skovtype3-20</v>
      </c>
      <c r="G216" s="107">
        <f>IF($A216="Vestdanmark",SUMIFS(IF(G$2=År1,Skovbrug!$C$21:$C$41,IF(G$2=År2,Skovbrug!$D$21:$D$41,Skovbrug!$E$21:$E$41)),Skovbrug!$A$21:$A$41,'Direkte input'!$B216,Skovbrug!$B$21:$B$41,'Direkte input'!$E216),SUMIFS(IF(G$2=År1,Skovbrug!$F$21:$F$41,IF(G$2=År2,Skovbrug!$G$21:$G$41,Skovbrug!$H$21:$H$41)),Skovbrug!$A$21:$A$41,'Direkte input'!$B216,Skovbrug!$B$21:$B$41,'Direkte input'!$E216))</f>
        <v>0</v>
      </c>
      <c r="H216" s="107">
        <f>IF($A216="Vestdanmark",SUMIFS(IF(H$2=År1,Skovbrug!$C$21:$C$41,IF(H$2=År2,Skovbrug!$D$21:$D$41,Skovbrug!$E$21:$E$41)),Skovbrug!$A$21:$A$41,'Direkte input'!$B216,Skovbrug!$B$21:$B$41,'Direkte input'!$E216),SUMIFS(IF(H$2=År1,Skovbrug!$F$21:$F$41,IF(H$2=År2,Skovbrug!$G$21:$G$41,Skovbrug!$H$21:$H$41)),Skovbrug!$A$21:$A$41,'Direkte input'!$B216,Skovbrug!$B$21:$B$41,'Direkte input'!$E216))</f>
        <v>0</v>
      </c>
      <c r="I216" s="107">
        <f>IF($A216="Vestdanmark",SUMIFS(IF(I$2=År1,Skovbrug!$C$21:$C$41,IF(I$2=År2,Skovbrug!$D$21:$D$41,Skovbrug!$E$21:$E$41)),Skovbrug!$A$21:$A$41,'Direkte input'!$B216,Skovbrug!$B$21:$B$41,'Direkte input'!$E216),SUMIFS(IF(I$2=År1,Skovbrug!$F$21:$F$41,IF(I$2=År2,Skovbrug!$G$21:$G$41,Skovbrug!$H$21:$H$41)),Skovbrug!$A$21:$A$41,'Direkte input'!$B216,Skovbrug!$B$21:$B$41,'Direkte input'!$E216))</f>
        <v>0</v>
      </c>
    </row>
    <row r="217" spans="1:9" x14ac:dyDescent="0.25">
      <c r="A217" t="s">
        <v>24</v>
      </c>
      <c r="B217" t="s">
        <v>180</v>
      </c>
      <c r="D217" t="s">
        <v>180</v>
      </c>
      <c r="E217">
        <v>30</v>
      </c>
      <c r="F217" t="str">
        <f t="shared" si="17"/>
        <v>Areal-skovtype3-30</v>
      </c>
      <c r="G217" s="107">
        <f>IF($A217="Vestdanmark",SUMIFS(IF(G$2=År1,Skovbrug!$C$21:$C$41,IF(G$2=År2,Skovbrug!$D$21:$D$41,Skovbrug!$E$21:$E$41)),Skovbrug!$A$21:$A$41,'Direkte input'!$B217,Skovbrug!$B$21:$B$41,'Direkte input'!$E217),SUMIFS(IF(G$2=År1,Skovbrug!$F$21:$F$41,IF(G$2=År2,Skovbrug!$G$21:$G$41,Skovbrug!$H$21:$H$41)),Skovbrug!$A$21:$A$41,'Direkte input'!$B217,Skovbrug!$B$21:$B$41,'Direkte input'!$E217))</f>
        <v>0</v>
      </c>
      <c r="H217" s="107">
        <f>IF($A217="Vestdanmark",SUMIFS(IF(H$2=År1,Skovbrug!$C$21:$C$41,IF(H$2=År2,Skovbrug!$D$21:$D$41,Skovbrug!$E$21:$E$41)),Skovbrug!$A$21:$A$41,'Direkte input'!$B217,Skovbrug!$B$21:$B$41,'Direkte input'!$E217),SUMIFS(IF(H$2=År1,Skovbrug!$F$21:$F$41,IF(H$2=År2,Skovbrug!$G$21:$G$41,Skovbrug!$H$21:$H$41)),Skovbrug!$A$21:$A$41,'Direkte input'!$B217,Skovbrug!$B$21:$B$41,'Direkte input'!$E217))</f>
        <v>0</v>
      </c>
      <c r="I217" s="107">
        <f>IF($A217="Vestdanmark",SUMIFS(IF(I$2=År1,Skovbrug!$C$21:$C$41,IF(I$2=År2,Skovbrug!$D$21:$D$41,Skovbrug!$E$21:$E$41)),Skovbrug!$A$21:$A$41,'Direkte input'!$B217,Skovbrug!$B$21:$B$41,'Direkte input'!$E217),SUMIFS(IF(I$2=År1,Skovbrug!$F$21:$F$41,IF(I$2=År2,Skovbrug!$G$21:$G$41,Skovbrug!$H$21:$H$41)),Skovbrug!$A$21:$A$41,'Direkte input'!$B217,Skovbrug!$B$21:$B$41,'Direkte input'!$E217))</f>
        <v>0</v>
      </c>
    </row>
    <row r="218" spans="1:9" x14ac:dyDescent="0.25">
      <c r="A218" t="s">
        <v>24</v>
      </c>
      <c r="B218" t="s">
        <v>180</v>
      </c>
      <c r="D218" t="s">
        <v>180</v>
      </c>
      <c r="E218">
        <v>40</v>
      </c>
      <c r="F218" t="str">
        <f t="shared" si="17"/>
        <v>Areal-skovtype3-40</v>
      </c>
      <c r="G218" s="107">
        <f>IF($A218="Vestdanmark",SUMIFS(IF(G$2=År1,Skovbrug!$C$21:$C$41,IF(G$2=År2,Skovbrug!$D$21:$D$41,Skovbrug!$E$21:$E$41)),Skovbrug!$A$21:$A$41,'Direkte input'!$B218,Skovbrug!$B$21:$B$41,'Direkte input'!$E218),SUMIFS(IF(G$2=År1,Skovbrug!$F$21:$F$41,IF(G$2=År2,Skovbrug!$G$21:$G$41,Skovbrug!$H$21:$H$41)),Skovbrug!$A$21:$A$41,'Direkte input'!$B218,Skovbrug!$B$21:$B$41,'Direkte input'!$E218))</f>
        <v>0</v>
      </c>
      <c r="H218" s="107">
        <f>IF($A218="Vestdanmark",SUMIFS(IF(H$2=År1,Skovbrug!$C$21:$C$41,IF(H$2=År2,Skovbrug!$D$21:$D$41,Skovbrug!$E$21:$E$41)),Skovbrug!$A$21:$A$41,'Direkte input'!$B218,Skovbrug!$B$21:$B$41,'Direkte input'!$E218),SUMIFS(IF(H$2=År1,Skovbrug!$F$21:$F$41,IF(H$2=År2,Skovbrug!$G$21:$G$41,Skovbrug!$H$21:$H$41)),Skovbrug!$A$21:$A$41,'Direkte input'!$B218,Skovbrug!$B$21:$B$41,'Direkte input'!$E218))</f>
        <v>0</v>
      </c>
      <c r="I218" s="107">
        <f>IF($A218="Vestdanmark",SUMIFS(IF(I$2=År1,Skovbrug!$C$21:$C$41,IF(I$2=År2,Skovbrug!$D$21:$D$41,Skovbrug!$E$21:$E$41)),Skovbrug!$A$21:$A$41,'Direkte input'!$B218,Skovbrug!$B$21:$B$41,'Direkte input'!$E218),SUMIFS(IF(I$2=År1,Skovbrug!$F$21:$F$41,IF(I$2=År2,Skovbrug!$G$21:$G$41,Skovbrug!$H$21:$H$41)),Skovbrug!$A$21:$A$41,'Direkte input'!$B218,Skovbrug!$B$21:$B$41,'Direkte input'!$E218))</f>
        <v>0</v>
      </c>
    </row>
    <row r="219" spans="1:9" x14ac:dyDescent="0.25">
      <c r="A219" t="s">
        <v>24</v>
      </c>
      <c r="B219" t="s">
        <v>181</v>
      </c>
      <c r="D219" t="s">
        <v>181</v>
      </c>
      <c r="E219">
        <v>10</v>
      </c>
      <c r="F219" t="str">
        <f t="shared" si="17"/>
        <v>Areal-skovtype4-10</v>
      </c>
      <c r="G219" s="107">
        <f>IF($A219="Vestdanmark",SUMIFS(IF(G$2=År1,Skovbrug!$C$21:$C$41,IF(G$2=År2,Skovbrug!$D$21:$D$41,Skovbrug!$E$21:$E$41)),Skovbrug!$A$21:$A$41,'Direkte input'!$B219,Skovbrug!$B$21:$B$41,'Direkte input'!$E219),SUMIFS(IF(G$2=År1,Skovbrug!$F$21:$F$41,IF(G$2=År2,Skovbrug!$G$21:$G$41,Skovbrug!$H$21:$H$41)),Skovbrug!$A$21:$A$41,'Direkte input'!$B219,Skovbrug!$B$21:$B$41,'Direkte input'!$E219))</f>
        <v>0</v>
      </c>
      <c r="H219" s="107">
        <f>IF($A219="Vestdanmark",SUMIFS(IF(H$2=År1,Skovbrug!$C$21:$C$41,IF(H$2=År2,Skovbrug!$D$21:$D$41,Skovbrug!$E$21:$E$41)),Skovbrug!$A$21:$A$41,'Direkte input'!$B219,Skovbrug!$B$21:$B$41,'Direkte input'!$E219),SUMIFS(IF(H$2=År1,Skovbrug!$F$21:$F$41,IF(H$2=År2,Skovbrug!$G$21:$G$41,Skovbrug!$H$21:$H$41)),Skovbrug!$A$21:$A$41,'Direkte input'!$B219,Skovbrug!$B$21:$B$41,'Direkte input'!$E219))</f>
        <v>0</v>
      </c>
      <c r="I219" s="107">
        <f>IF($A219="Vestdanmark",SUMIFS(IF(I$2=År1,Skovbrug!$C$21:$C$41,IF(I$2=År2,Skovbrug!$D$21:$D$41,Skovbrug!$E$21:$E$41)),Skovbrug!$A$21:$A$41,'Direkte input'!$B219,Skovbrug!$B$21:$B$41,'Direkte input'!$E219),SUMIFS(IF(I$2=År1,Skovbrug!$F$21:$F$41,IF(I$2=År2,Skovbrug!$G$21:$G$41,Skovbrug!$H$21:$H$41)),Skovbrug!$A$21:$A$41,'Direkte input'!$B219,Skovbrug!$B$21:$B$41,'Direkte input'!$E219))</f>
        <v>0</v>
      </c>
    </row>
    <row r="220" spans="1:9" x14ac:dyDescent="0.25">
      <c r="A220" t="s">
        <v>24</v>
      </c>
      <c r="B220" t="s">
        <v>181</v>
      </c>
      <c r="D220" t="s">
        <v>181</v>
      </c>
      <c r="E220">
        <v>20</v>
      </c>
      <c r="F220" t="str">
        <f t="shared" si="17"/>
        <v>Areal-skovtype4-20</v>
      </c>
      <c r="G220" s="107">
        <f>IF($A220="Vestdanmark",SUMIFS(IF(G$2=År1,Skovbrug!$C$21:$C$41,IF(G$2=År2,Skovbrug!$D$21:$D$41,Skovbrug!$E$21:$E$41)),Skovbrug!$A$21:$A$41,'Direkte input'!$B220,Skovbrug!$B$21:$B$41,'Direkte input'!$E220),SUMIFS(IF(G$2=År1,Skovbrug!$F$21:$F$41,IF(G$2=År2,Skovbrug!$G$21:$G$41,Skovbrug!$H$21:$H$41)),Skovbrug!$A$21:$A$41,'Direkte input'!$B220,Skovbrug!$B$21:$B$41,'Direkte input'!$E220))</f>
        <v>0</v>
      </c>
      <c r="H220" s="107">
        <f>IF($A220="Vestdanmark",SUMIFS(IF(H$2=År1,Skovbrug!$C$21:$C$41,IF(H$2=År2,Skovbrug!$D$21:$D$41,Skovbrug!$E$21:$E$41)),Skovbrug!$A$21:$A$41,'Direkte input'!$B220,Skovbrug!$B$21:$B$41,'Direkte input'!$E220),SUMIFS(IF(H$2=År1,Skovbrug!$F$21:$F$41,IF(H$2=År2,Skovbrug!$G$21:$G$41,Skovbrug!$H$21:$H$41)),Skovbrug!$A$21:$A$41,'Direkte input'!$B220,Skovbrug!$B$21:$B$41,'Direkte input'!$E220))</f>
        <v>0</v>
      </c>
      <c r="I220" s="107">
        <f>IF($A220="Vestdanmark",SUMIFS(IF(I$2=År1,Skovbrug!$C$21:$C$41,IF(I$2=År2,Skovbrug!$D$21:$D$41,Skovbrug!$E$21:$E$41)),Skovbrug!$A$21:$A$41,'Direkte input'!$B220,Skovbrug!$B$21:$B$41,'Direkte input'!$E220),SUMIFS(IF(I$2=År1,Skovbrug!$F$21:$F$41,IF(I$2=År2,Skovbrug!$G$21:$G$41,Skovbrug!$H$21:$H$41)),Skovbrug!$A$21:$A$41,'Direkte input'!$B220,Skovbrug!$B$21:$B$41,'Direkte input'!$E220))</f>
        <v>0</v>
      </c>
    </row>
    <row r="221" spans="1:9" x14ac:dyDescent="0.25">
      <c r="A221" t="s">
        <v>24</v>
      </c>
      <c r="B221" t="s">
        <v>181</v>
      </c>
      <c r="D221" t="s">
        <v>181</v>
      </c>
      <c r="E221">
        <v>30</v>
      </c>
      <c r="F221" t="str">
        <f t="shared" si="17"/>
        <v>Areal-skovtype4-30</v>
      </c>
      <c r="G221" s="107">
        <f>IF($A221="Vestdanmark",SUMIFS(IF(G$2=År1,Skovbrug!$C$21:$C$41,IF(G$2=År2,Skovbrug!$D$21:$D$41,Skovbrug!$E$21:$E$41)),Skovbrug!$A$21:$A$41,'Direkte input'!$B221,Skovbrug!$B$21:$B$41,'Direkte input'!$E221),SUMIFS(IF(G$2=År1,Skovbrug!$F$21:$F$41,IF(G$2=År2,Skovbrug!$G$21:$G$41,Skovbrug!$H$21:$H$41)),Skovbrug!$A$21:$A$41,'Direkte input'!$B221,Skovbrug!$B$21:$B$41,'Direkte input'!$E221))</f>
        <v>0</v>
      </c>
      <c r="H221" s="107">
        <f>IF($A221="Vestdanmark",SUMIFS(IF(H$2=År1,Skovbrug!$C$21:$C$41,IF(H$2=År2,Skovbrug!$D$21:$D$41,Skovbrug!$E$21:$E$41)),Skovbrug!$A$21:$A$41,'Direkte input'!$B221,Skovbrug!$B$21:$B$41,'Direkte input'!$E221),SUMIFS(IF(H$2=År1,Skovbrug!$F$21:$F$41,IF(H$2=År2,Skovbrug!$G$21:$G$41,Skovbrug!$H$21:$H$41)),Skovbrug!$A$21:$A$41,'Direkte input'!$B221,Skovbrug!$B$21:$B$41,'Direkte input'!$E221))</f>
        <v>0</v>
      </c>
      <c r="I221" s="107">
        <f>IF($A221="Vestdanmark",SUMIFS(IF(I$2=År1,Skovbrug!$C$21:$C$41,IF(I$2=År2,Skovbrug!$D$21:$D$41,Skovbrug!$E$21:$E$41)),Skovbrug!$A$21:$A$41,'Direkte input'!$B221,Skovbrug!$B$21:$B$41,'Direkte input'!$E221),SUMIFS(IF(I$2=År1,Skovbrug!$F$21:$F$41,IF(I$2=År2,Skovbrug!$G$21:$G$41,Skovbrug!$H$21:$H$41)),Skovbrug!$A$21:$A$41,'Direkte input'!$B221,Skovbrug!$B$21:$B$41,'Direkte input'!$E221))</f>
        <v>0</v>
      </c>
    </row>
    <row r="222" spans="1:9" x14ac:dyDescent="0.25">
      <c r="A222" t="s">
        <v>24</v>
      </c>
      <c r="B222" t="s">
        <v>181</v>
      </c>
      <c r="D222" t="s">
        <v>181</v>
      </c>
      <c r="E222">
        <v>40</v>
      </c>
      <c r="F222" t="str">
        <f t="shared" si="17"/>
        <v>Areal-skovtype4-40</v>
      </c>
      <c r="G222" s="107">
        <f>IF($A222="Vestdanmark",SUMIFS(IF(G$2=År1,Skovbrug!$C$21:$C$41,IF(G$2=År2,Skovbrug!$D$21:$D$41,Skovbrug!$E$21:$E$41)),Skovbrug!$A$21:$A$41,'Direkte input'!$B222,Skovbrug!$B$21:$B$41,'Direkte input'!$E222),SUMIFS(IF(G$2=År1,Skovbrug!$F$21:$F$41,IF(G$2=År2,Skovbrug!$G$21:$G$41,Skovbrug!$H$21:$H$41)),Skovbrug!$A$21:$A$41,'Direkte input'!$B222,Skovbrug!$B$21:$B$41,'Direkte input'!$E222))</f>
        <v>0</v>
      </c>
      <c r="H222" s="107">
        <f>IF($A222="Vestdanmark",SUMIFS(IF(H$2=År1,Skovbrug!$C$21:$C$41,IF(H$2=År2,Skovbrug!$D$21:$D$41,Skovbrug!$E$21:$E$41)),Skovbrug!$A$21:$A$41,'Direkte input'!$B222,Skovbrug!$B$21:$B$41,'Direkte input'!$E222),SUMIFS(IF(H$2=År1,Skovbrug!$F$21:$F$41,IF(H$2=År2,Skovbrug!$G$21:$G$41,Skovbrug!$H$21:$H$41)),Skovbrug!$A$21:$A$41,'Direkte input'!$B222,Skovbrug!$B$21:$B$41,'Direkte input'!$E222))</f>
        <v>0</v>
      </c>
      <c r="I222" s="107">
        <f>IF($A222="Vestdanmark",SUMIFS(IF(I$2=År1,Skovbrug!$C$21:$C$41,IF(I$2=År2,Skovbrug!$D$21:$D$41,Skovbrug!$E$21:$E$41)),Skovbrug!$A$21:$A$41,'Direkte input'!$B222,Skovbrug!$B$21:$B$41,'Direkte input'!$E222),SUMIFS(IF(I$2=År1,Skovbrug!$F$21:$F$41,IF(I$2=År2,Skovbrug!$G$21:$G$41,Skovbrug!$H$21:$H$41)),Skovbrug!$A$21:$A$41,'Direkte input'!$B222,Skovbrug!$B$21:$B$41,'Direkte input'!$E222))</f>
        <v>0</v>
      </c>
    </row>
    <row r="223" spans="1:9" x14ac:dyDescent="0.25">
      <c r="A223" t="s">
        <v>24</v>
      </c>
      <c r="B223" t="s">
        <v>182</v>
      </c>
      <c r="D223" t="s">
        <v>182</v>
      </c>
      <c r="E223">
        <v>10</v>
      </c>
      <c r="F223" t="str">
        <f t="shared" si="17"/>
        <v>Areal-skovtype5-10</v>
      </c>
      <c r="G223" s="107">
        <f>IF($A223="Vestdanmark",SUMIFS(IF(G$2=År1,Skovbrug!$C$21:$C$41,IF(G$2=År2,Skovbrug!$D$21:$D$41,Skovbrug!$E$21:$E$41)),Skovbrug!$A$21:$A$41,'Direkte input'!$B223,Skovbrug!$B$21:$B$41,'Direkte input'!$E223),SUMIFS(IF(G$2=År1,Skovbrug!$F$21:$F$41,IF(G$2=År2,Skovbrug!$G$21:$G$41,Skovbrug!$H$21:$H$41)),Skovbrug!$A$21:$A$41,'Direkte input'!$B223,Skovbrug!$B$21:$B$41,'Direkte input'!$E223))</f>
        <v>0</v>
      </c>
      <c r="H223" s="107">
        <f>IF($A223="Vestdanmark",SUMIFS(IF(H$2=År1,Skovbrug!$C$21:$C$41,IF(H$2=År2,Skovbrug!$D$21:$D$41,Skovbrug!$E$21:$E$41)),Skovbrug!$A$21:$A$41,'Direkte input'!$B223,Skovbrug!$B$21:$B$41,'Direkte input'!$E223),SUMIFS(IF(H$2=År1,Skovbrug!$F$21:$F$41,IF(H$2=År2,Skovbrug!$G$21:$G$41,Skovbrug!$H$21:$H$41)),Skovbrug!$A$21:$A$41,'Direkte input'!$B223,Skovbrug!$B$21:$B$41,'Direkte input'!$E223))</f>
        <v>0</v>
      </c>
      <c r="I223" s="107">
        <f>IF($A223="Vestdanmark",SUMIFS(IF(I$2=År1,Skovbrug!$C$21:$C$41,IF(I$2=År2,Skovbrug!$D$21:$D$41,Skovbrug!$E$21:$E$41)),Skovbrug!$A$21:$A$41,'Direkte input'!$B223,Skovbrug!$B$21:$B$41,'Direkte input'!$E223),SUMIFS(IF(I$2=År1,Skovbrug!$F$21:$F$41,IF(I$2=År2,Skovbrug!$G$21:$G$41,Skovbrug!$H$21:$H$41)),Skovbrug!$A$21:$A$41,'Direkte input'!$B223,Skovbrug!$B$21:$B$41,'Direkte input'!$E223))</f>
        <v>0</v>
      </c>
    </row>
    <row r="224" spans="1:9" x14ac:dyDescent="0.25">
      <c r="A224" t="s">
        <v>24</v>
      </c>
      <c r="B224" t="s">
        <v>182</v>
      </c>
      <c r="D224" t="s">
        <v>182</v>
      </c>
      <c r="E224">
        <v>20</v>
      </c>
      <c r="F224" t="str">
        <f t="shared" si="17"/>
        <v>Areal-skovtype5-20</v>
      </c>
      <c r="G224" s="107">
        <f>IF($A224="Vestdanmark",SUMIFS(IF(G$2=År1,Skovbrug!$C$21:$C$41,IF(G$2=År2,Skovbrug!$D$21:$D$41,Skovbrug!$E$21:$E$41)),Skovbrug!$A$21:$A$41,'Direkte input'!$B224,Skovbrug!$B$21:$B$41,'Direkte input'!$E224),SUMIFS(IF(G$2=År1,Skovbrug!$F$21:$F$41,IF(G$2=År2,Skovbrug!$G$21:$G$41,Skovbrug!$H$21:$H$41)),Skovbrug!$A$21:$A$41,'Direkte input'!$B224,Skovbrug!$B$21:$B$41,'Direkte input'!$E224))</f>
        <v>0</v>
      </c>
      <c r="H224" s="107">
        <f>IF($A224="Vestdanmark",SUMIFS(IF(H$2=År1,Skovbrug!$C$21:$C$41,IF(H$2=År2,Skovbrug!$D$21:$D$41,Skovbrug!$E$21:$E$41)),Skovbrug!$A$21:$A$41,'Direkte input'!$B224,Skovbrug!$B$21:$B$41,'Direkte input'!$E224),SUMIFS(IF(H$2=År1,Skovbrug!$F$21:$F$41,IF(H$2=År2,Skovbrug!$G$21:$G$41,Skovbrug!$H$21:$H$41)),Skovbrug!$A$21:$A$41,'Direkte input'!$B224,Skovbrug!$B$21:$B$41,'Direkte input'!$E224))</f>
        <v>0</v>
      </c>
      <c r="I224" s="107">
        <f>IF($A224="Vestdanmark",SUMIFS(IF(I$2=År1,Skovbrug!$C$21:$C$41,IF(I$2=År2,Skovbrug!$D$21:$D$41,Skovbrug!$E$21:$E$41)),Skovbrug!$A$21:$A$41,'Direkte input'!$B224,Skovbrug!$B$21:$B$41,'Direkte input'!$E224),SUMIFS(IF(I$2=År1,Skovbrug!$F$21:$F$41,IF(I$2=År2,Skovbrug!$G$21:$G$41,Skovbrug!$H$21:$H$41)),Skovbrug!$A$21:$A$41,'Direkte input'!$B224,Skovbrug!$B$21:$B$41,'Direkte input'!$E224))</f>
        <v>0</v>
      </c>
    </row>
    <row r="225" spans="1:9" x14ac:dyDescent="0.25">
      <c r="A225" t="s">
        <v>24</v>
      </c>
      <c r="B225" t="s">
        <v>182</v>
      </c>
      <c r="D225" t="s">
        <v>182</v>
      </c>
      <c r="E225">
        <v>30</v>
      </c>
      <c r="F225" t="str">
        <f t="shared" si="17"/>
        <v>Areal-skovtype5-30</v>
      </c>
      <c r="G225" s="107">
        <f>IF($A225="Vestdanmark",SUMIFS(IF(G$2=År1,Skovbrug!$C$21:$C$41,IF(G$2=År2,Skovbrug!$D$21:$D$41,Skovbrug!$E$21:$E$41)),Skovbrug!$A$21:$A$41,'Direkte input'!$B225,Skovbrug!$B$21:$B$41,'Direkte input'!$E225),SUMIFS(IF(G$2=År1,Skovbrug!$F$21:$F$41,IF(G$2=År2,Skovbrug!$G$21:$G$41,Skovbrug!$H$21:$H$41)),Skovbrug!$A$21:$A$41,'Direkte input'!$B225,Skovbrug!$B$21:$B$41,'Direkte input'!$E225))</f>
        <v>0</v>
      </c>
      <c r="H225" s="107">
        <f>IF($A225="Vestdanmark",SUMIFS(IF(H$2=År1,Skovbrug!$C$21:$C$41,IF(H$2=År2,Skovbrug!$D$21:$D$41,Skovbrug!$E$21:$E$41)),Skovbrug!$A$21:$A$41,'Direkte input'!$B225,Skovbrug!$B$21:$B$41,'Direkte input'!$E225),SUMIFS(IF(H$2=År1,Skovbrug!$F$21:$F$41,IF(H$2=År2,Skovbrug!$G$21:$G$41,Skovbrug!$H$21:$H$41)),Skovbrug!$A$21:$A$41,'Direkte input'!$B225,Skovbrug!$B$21:$B$41,'Direkte input'!$E225))</f>
        <v>0</v>
      </c>
      <c r="I225" s="107">
        <f>IF($A225="Vestdanmark",SUMIFS(IF(I$2=År1,Skovbrug!$C$21:$C$41,IF(I$2=År2,Skovbrug!$D$21:$D$41,Skovbrug!$E$21:$E$41)),Skovbrug!$A$21:$A$41,'Direkte input'!$B225,Skovbrug!$B$21:$B$41,'Direkte input'!$E225),SUMIFS(IF(I$2=År1,Skovbrug!$F$21:$F$41,IF(I$2=År2,Skovbrug!$G$21:$G$41,Skovbrug!$H$21:$H$41)),Skovbrug!$A$21:$A$41,'Direkte input'!$B225,Skovbrug!$B$21:$B$41,'Direkte input'!$E225))</f>
        <v>0</v>
      </c>
    </row>
    <row r="226" spans="1:9" x14ac:dyDescent="0.25">
      <c r="A226" t="s">
        <v>24</v>
      </c>
      <c r="B226" t="s">
        <v>182</v>
      </c>
      <c r="D226" t="s">
        <v>182</v>
      </c>
      <c r="E226">
        <v>40</v>
      </c>
      <c r="F226" t="str">
        <f t="shared" si="17"/>
        <v>Areal-skovtype5-40</v>
      </c>
      <c r="G226" s="107">
        <f>IF($A226="Vestdanmark",SUMIFS(IF(G$2=År1,Skovbrug!$C$21:$C$41,IF(G$2=År2,Skovbrug!$D$21:$D$41,Skovbrug!$E$21:$E$41)),Skovbrug!$A$21:$A$41,'Direkte input'!$B226,Skovbrug!$B$21:$B$41,'Direkte input'!$E226),SUMIFS(IF(G$2=År1,Skovbrug!$F$21:$F$41,IF(G$2=År2,Skovbrug!$G$21:$G$41,Skovbrug!$H$21:$H$41)),Skovbrug!$A$21:$A$41,'Direkte input'!$B226,Skovbrug!$B$21:$B$41,'Direkte input'!$E226))</f>
        <v>0</v>
      </c>
      <c r="H226" s="107">
        <f>IF($A226="Vestdanmark",SUMIFS(IF(H$2=År1,Skovbrug!$C$21:$C$41,IF(H$2=År2,Skovbrug!$D$21:$D$41,Skovbrug!$E$21:$E$41)),Skovbrug!$A$21:$A$41,'Direkte input'!$B226,Skovbrug!$B$21:$B$41,'Direkte input'!$E226),SUMIFS(IF(H$2=År1,Skovbrug!$F$21:$F$41,IF(H$2=År2,Skovbrug!$G$21:$G$41,Skovbrug!$H$21:$H$41)),Skovbrug!$A$21:$A$41,'Direkte input'!$B226,Skovbrug!$B$21:$B$41,'Direkte input'!$E226))</f>
        <v>0</v>
      </c>
      <c r="I226" s="107">
        <f>IF($A226="Vestdanmark",SUMIFS(IF(I$2=År1,Skovbrug!$C$21:$C$41,IF(I$2=År2,Skovbrug!$D$21:$D$41,Skovbrug!$E$21:$E$41)),Skovbrug!$A$21:$A$41,'Direkte input'!$B226,Skovbrug!$B$21:$B$41,'Direkte input'!$E226),SUMIFS(IF(I$2=År1,Skovbrug!$F$21:$F$41,IF(I$2=År2,Skovbrug!$G$21:$G$41,Skovbrug!$H$21:$H$41)),Skovbrug!$A$21:$A$41,'Direkte input'!$B226,Skovbrug!$B$21:$B$41,'Direkte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workbookViewId="0">
      <selection activeCell="E63" activeCellId="1" sqref="E21 E63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319</v>
      </c>
      <c r="G1" t="s">
        <v>225</v>
      </c>
      <c r="I1" s="156" t="s">
        <v>191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 t="e">
        <f>IF(B90="Vestdanmark",VLOOKUP(C90,Biogasanlæg!$A$39:$E$55,MATCH(D90,Biogasanlæg!$A$38:$E$38,0),FALSE),VLOOKUP(C90,Biogasanlæg!$I$39:$M$55,MATCH(D90,Biogasanlæg!$I$38:$M$38,0),FALSE))</f>
        <v>#REF!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2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10853879.88663437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9348117.6321617663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6006.7628175927466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1497865.6247316466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 t="e">
        <f>IF(B107="Vestdanmark",VLOOKUP(C107,Biogasanlæg!$A$39:$E$55,MATCH(D107,Biogasanlæg!$A$38:$E$38,0),FALSE),VLOOKUP(C107,Biogasanlæg!$I$39:$M$55,MATCH(D107,Biogasanlæg!$I$38:$M$38,0),FALSE))</f>
        <v>#REF!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508461.98144503916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1061170.3273835385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56757.88331613881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2914.9101192356643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67006.096493213583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255215.75389295255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21927.581361856195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10391250.072657285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9169492.6818358731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6203.1828401873436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1554136.2730559006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 t="e">
        <f>IF(B124="Vestdanmark",VLOOKUP(C124,Biogasanlæg!$A$39:$E$55,MATCH(D124,Biogasanlæg!$A$38:$E$38,0),FALSE),VLOOKUP(C124,Biogasanlæg!$I$39:$M$55,MATCH(D124,Biogasanlæg!$I$38:$M$38,0),FALSE))</f>
        <v>#REF!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505095.54922592157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1111191.0910754299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56360.409398816068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2901.770538547059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66758.668734263701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254098.83749353027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21821.426523041016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 t="e">
        <f>IF(B141="Vestdanmark",VLOOKUP(C141,Biogasanlæg!$A$39:$E$55,MATCH(D141,Biogasanlæg!$A$38:$E$38,0),FALSE),VLOOKUP(C141,Biogasanlæg!$I$39:$M$55,MATCH(D141,Biogasanlæg!$I$38:$M$38,0),FALSE))</f>
        <v>#REF!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1572695.883390849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664408.20431967056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504.14538611005531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1267572.2425659813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 t="e">
        <f>IF(B158="Vestdanmark",VLOOKUP(C158,Biogasanlæg!$A$39:$E$55,MATCH(D158,Biogasanlæg!$A$38:$E$38,0),FALSE),VLOOKUP(C158,Biogasanlæg!$I$39:$M$55,MATCH(D158,Biogasanlæg!$I$38:$M$38,0),FALSE))</f>
        <v>#REF!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217506.01855496093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143222.04383687259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19176.116683861201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871.08988076433457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18670.90350678641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74810.246107047482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6717.4186381438076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1505662.1579788346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651712.6128473935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520.63084610535827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1326833.4967577588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 t="e">
        <f>IF(B175="Vestdanmark",VLOOKUP(C175,Biogasanlæg!$A$39:$E$55,MATCH(D175,Biogasanlæg!$A$38:$E$38,0),FALSE),VLOOKUP(C175,Biogasanlæg!$I$39:$M$55,MATCH(D175,Biogasanlæg!$I$38:$M$38,0),FALSE))</f>
        <v>#REF!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217936.45077407858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150823.24280639994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19573.590601183951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884.229461452941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18918.331265736317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75927.162506469729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6823.5734769589817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5879215.2019956242</v>
      </c>
      <c r="G188" s="319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773085.89354292618</v>
      </c>
      <c r="R189" s="98">
        <f>-SUMIFS('Resultater - Vestdanmark'!H$3:H$482,'Resultater - Vestdanmark'!$F$3:$F$482,"Foder",'Resultater - Vestdanmark'!$A$3:$A$482,"&lt;&gt;Foderproduktion")</f>
        <v>13228458157.530001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0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64498.47547519199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841167.61765562883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5657053.7864699634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214099.10609126228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0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0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12237689.9092583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1515714.1736670118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0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0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39415.735012617326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4828427.5390456235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4703372.1615964994</v>
      </c>
      <c r="G203" s="319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618468.71483434096</v>
      </c>
      <c r="G204" s="319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0</v>
      </c>
      <c r="G205" s="319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51598.780380153592</v>
      </c>
      <c r="G206" s="319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672934.09412450308</v>
      </c>
      <c r="G207" s="319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4525643.0291759707</v>
      </c>
      <c r="G208" s="319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171279.2848730098</v>
      </c>
      <c r="G209" s="319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0</v>
      </c>
      <c r="G210" s="319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0</v>
      </c>
      <c r="G211" s="319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9790151.9274066389</v>
      </c>
      <c r="G212" s="319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1212571.3389336092</v>
      </c>
      <c r="G213" s="319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0</v>
      </c>
      <c r="G214" s="319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0</v>
      </c>
      <c r="G215" s="319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31532.588010093863</v>
      </c>
      <c r="G216" s="319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3862742.0312364982</v>
      </c>
      <c r="G217" s="319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4703372.1615964994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618468.71483434096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0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51598.780380153592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672934.09412450308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4525643.0291759707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171279.2848730098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0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0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9790151.9274066389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1212571.3389336092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0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0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31532.588010093863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3862742.0312364982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721621.60770550335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94889.448034412548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0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7916.616753740097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103245.87683002709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694353.2611092875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26278.769501998373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0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0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1502068.0760117143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186040.49371289223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0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0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4837.9324606189475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592646.72642582108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577297.28616440261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75911.558427530035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0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6333.2934029920762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82596.701464021666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555482.60888742993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21023.015601598698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0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0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1201654.4608093714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148832.39497031379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0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0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3870.3459684951581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474117.38114065683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577297.28616440273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75911.55842753005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0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6333.293402992078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82596.70146402168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555482.60888743005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21023.015601598701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0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0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1201654.4608093717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148832.39497031382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0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0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3870.345968495159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474117.381140657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SUMIFS(Restprodukter!$G$2:$G$37,Restprodukter!$A$2:$A$37,C278,Restprodukter!$B$2:$B$37,B278,Restprodukter!$C$2:$C$37,D278)&gt;=0,SUMIFS(Restprodukter!$G$2:$G$37,Restprodukter!$A$2:$A$37,C278,Restprodukter!$B$2:$B$37,B278,Restprodukter!$C$2:$C$37,D278)*IF(A278="Energi",1-VLOOKUP(C278,'Forbrug til andet'!$A$9:$D$14,MATCH('Forbrug af biomasse'!D278,'Forbrug til andet'!$A$8:$D$8,0),FALSE),VLOOKUP(C278,'Forbrug til andet'!$A$9:$D$14,MATCH('Forbrug af biomasse'!D278,'Forbrug til andet'!$A$8:$D$8,0),FALSE)),0)</f>
        <v>1159590.3134327475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SUMIFS(Restprodukter!$G$2:$G$37,Restprodukter!$A$2:$A$37,C279,Restprodukter!$B$2:$B$37,B279,Restprodukter!$C$2:$C$37,D279)&gt;=0,SUMIFS(Restprodukter!$G$2:$G$37,Restprodukter!$A$2:$A$37,C279,Restprodukter!$B$2:$B$37,B279,Restprodukter!$C$2:$C$37,D279)*IF(A279="Energi",1-VLOOKUP(C279,'Forbrug til andet'!$A$9:$D$14,MATCH('Forbrug af biomasse'!D279,'Forbrug til andet'!$A$8:$D$8,0),FALSE),VLOOKUP(C279,'Forbrug til andet'!$A$9:$D$14,MATCH('Forbrug af biomasse'!D279,'Forbrug til andet'!$A$8:$D$8,0),FALSE)),0)</f>
        <v>80676.325166481722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SUMIFS(Restprodukter!$G$2:$G$37,Restprodukter!$A$2:$A$37,C280,Restprodukter!$B$2:$B$37,B280,Restprodukter!$C$2:$C$37,D280)&gt;=0,SUMIFS(Restprodukter!$G$2:$G$37,Restprodukter!$A$2:$A$37,C280,Restprodukter!$B$2:$B$37,B280,Restprodukter!$C$2:$C$37,D280)*IF(A280="Energi",1-VLOOKUP(C280,'Forbrug til andet'!$A$9:$D$14,MATCH('Forbrug af biomasse'!D280,'Forbrug til andet'!$A$8:$D$8,0),FALSE),VLOOKUP(C280,'Forbrug til andet'!$A$9:$D$14,MATCH('Forbrug af biomasse'!D280,'Forbrug til andet'!$A$8:$D$8,0),FALSE)),0)</f>
        <v>172205.06744997756</v>
      </c>
      <c r="F280" s="171">
        <v>1</v>
      </c>
    </row>
    <row r="281" spans="1:7" x14ac:dyDescent="0.25">
      <c r="A281" t="s">
        <v>121</v>
      </c>
      <c r="B281" t="s">
        <v>23</v>
      </c>
      <c r="C281" t="str">
        <f>'Forbrug til andet'!A12</f>
        <v>Træ til energi</v>
      </c>
      <c r="D281">
        <f t="shared" si="20"/>
        <v>2019</v>
      </c>
      <c r="E281">
        <f>IF(SUMIFS(Restprodukter!$G$2:$G$37,Restprodukter!$A$2:$A$37,C281,Restprodukter!$B$2:$B$37,B281,Restprodukter!$C$2:$C$37,D281)&gt;=0,SUMIFS(Restprodukter!$G$2:$G$37,Restprodukter!$A$2:$A$37,C281,Restprodukter!$B$2:$B$37,B281,Restprodukter!$C$2:$C$37,D281)*IF(A281="Energi",1-VLOOKUP(C281,'Forbrug til andet'!$A$9:$D$14,MATCH('Forbrug af biomasse'!D281,'Forbrug til andet'!$A$8:$D$8,0),FALSE),VLOOKUP(C281,'Forbrug til andet'!$A$9:$D$14,MATCH('Forbrug af biomasse'!D281,'Forbrug til andet'!$A$8:$D$8,0),FALSE)),0)</f>
        <v>2328635.6388303456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andet'!A13</f>
        <v>Have/parkaffald</v>
      </c>
      <c r="D282">
        <f t="shared" si="20"/>
        <v>2019</v>
      </c>
      <c r="E282">
        <f>IF(SUMIFS(Restprodukter!$G$2:$G$37,Restprodukter!$A$2:$A$37,C282,Restprodukter!$B$2:$B$37,B282,Restprodukter!$C$2:$C$37,D282)&gt;=0,SUMIFS(Restprodukter!$G$2:$G$37,Restprodukter!$A$2:$A$37,C282,Restprodukter!$B$2:$B$37,B282,Restprodukter!$C$2:$C$37,D282)*IF(A282="Energi",1-VLOOKUP(C282,'Forbrug til andet'!$A$9:$D$14,MATCH('Forbrug af biomasse'!D282,'Forbrug til andet'!$A$8:$D$8,0),FALSE),VLOOKUP(C282,'Forbrug til andet'!$A$9:$D$14,MATCH('Forbrug af biomasse'!D282,'Forbrug til andet'!$A$8:$D$8,0),FALSE)),0)</f>
        <v>530420.38785042788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andet'!A14</f>
        <v>Bioaffald</v>
      </c>
      <c r="D283">
        <f t="shared" si="20"/>
        <v>2019</v>
      </c>
      <c r="E283" t="e">
        <f>IF(SUMIFS(Restprodukter!$G$2:$G$37,Restprodukter!$A$2:$A$37,C283,Restprodukter!$B$2:$B$37,B283,Restprodukter!$C$2:$C$37,D283)&gt;=0,SUMIFS(Restprodukter!$G$2:$G$37,Restprodukter!$A$2:$A$37,C283,Restprodukter!$B$2:$B$37,B283,Restprodukter!$C$2:$C$37,D283)*IF(A283="Energi",1-VLOOKUP(C283,'Forbrug til andet'!$A$9:$D$14,MATCH('Forbrug af biomasse'!D283,'Forbrug til andet'!$A$8:$D$8,0),FALSE),VLOOKUP(C283,'Forbrug til andet'!$A$9:$D$14,MATCH('Forbrug af biomasse'!D283,'Forbrug til andet'!$A$8:$D$8,0),FALSE)),0)</f>
        <v>#REF!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9" si="21">C278</f>
        <v>Halm</v>
      </c>
      <c r="D284">
        <f t="shared" si="20"/>
        <v>2019</v>
      </c>
      <c r="E284">
        <f>IF(SUMIFS(Restprodukter!$G$2:$G$37,Restprodukter!$A$2:$A$37,C284,Restprodukter!$B$2:$B$37,B284,Restprodukter!$C$2:$C$37,D284)&gt;=0,SUMIFS(Restprodukter!$G$2:$G$37,Restprodukter!$A$2:$A$37,C284,Restprodukter!$B$2:$B$37,B284,Restprodukter!$C$2:$C$37,D284)*IF(A284="Energi",1-VLOOKUP(C284,'Forbrug til andet'!$A$9:$D$14,MATCH('Forbrug af biomasse'!D284,'Forbrug til andet'!$A$8:$D$8,0),FALSE),VLOOKUP(C284,'Forbrug til andet'!$A$9:$D$14,MATCH('Forbrug af biomasse'!D284,'Forbrug til andet'!$A$8:$D$8,0),FALSE)),0)</f>
        <v>0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>
        <f>IF(SUMIFS(Restprodukter!$G$2:$G$37,Restprodukter!$A$2:$A$37,C285,Restprodukter!$B$2:$B$37,B285,Restprodukter!$C$2:$C$37,D285)&gt;=0,SUMIFS(Restprodukter!$G$2:$G$37,Restprodukter!$A$2:$A$37,C285,Restprodukter!$B$2:$B$37,B285,Restprodukter!$C$2:$C$37,D285)*IF(A285="Energi",1-VLOOKUP(C285,'Forbrug til andet'!$A$9:$D$14,MATCH('Forbrug af biomasse'!D285,'Forbrug til andet'!$A$8:$D$8,0),FALSE),VLOOKUP(C285,'Forbrug til andet'!$A$9:$D$14,MATCH('Forbrug af biomasse'!D285,'Forbrug til andet'!$A$8:$D$8,0),FALSE)),0)</f>
        <v>74470.453999829275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>
        <f>IF(SUMIFS(Restprodukter!$G$2:$G$37,Restprodukter!$A$2:$A$37,C286,Restprodukter!$B$2:$B$37,B286,Restprodukter!$C$2:$C$37,D286)&gt;=0,SUMIFS(Restprodukter!$G$2:$G$37,Restprodukter!$A$2:$A$37,C286,Restprodukter!$B$2:$B$37,B286,Restprodukter!$C$2:$C$37,D286)*IF(A286="Energi",1-VLOOKUP(C286,'Forbrug til andet'!$A$9:$D$14,MATCH('Forbrug af biomasse'!D286,'Forbrug til andet'!$A$8:$D$8,0),FALSE),VLOOKUP(C286,'Forbrug til andet'!$A$9:$D$14,MATCH('Forbrug af biomasse'!D286,'Forbrug til andet'!$A$8:$D$8,0),FALSE)),0)</f>
        <v>0</v>
      </c>
      <c r="F286" s="171">
        <v>1</v>
      </c>
      <c r="G286" s="171">
        <v>1</v>
      </c>
    </row>
    <row r="287" spans="1:7" x14ac:dyDescent="0.25">
      <c r="A287" t="s">
        <v>165</v>
      </c>
      <c r="B287" t="s">
        <v>23</v>
      </c>
      <c r="C287" t="str">
        <f t="shared" si="21"/>
        <v>Træ til energi</v>
      </c>
      <c r="D287">
        <f t="shared" si="20"/>
        <v>2019</v>
      </c>
      <c r="E287">
        <f>IF(SUMIFS(Restprodukter!$G$2:$G$37,Restprodukter!$A$2:$A$37,C287,Restprodukter!$B$2:$B$37,B287,Restprodukter!$C$2:$C$37,D287)&gt;=0,SUMIFS(Restprodukter!$G$2:$G$37,Restprodukter!$A$2:$A$37,C287,Restprodukter!$B$2:$B$37,B287,Restprodukter!$C$2:$C$37,D287)*IF(A287="Energi",1-VLOOKUP(C287,'Forbrug til andet'!$A$9:$D$14,MATCH('Forbrug af biomasse'!D287,'Forbrug til andet'!$A$8:$D$8,0),FALSE),VLOOKUP(C287,'Forbrug til andet'!$A$9:$D$14,MATCH('Forbrug af biomasse'!D287,'Forbrug til andet'!$A$8:$D$8,0),FALSE)),0)</f>
        <v>0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 t="shared" si="21"/>
        <v>Have/parkaffald</v>
      </c>
      <c r="D288">
        <f t="shared" si="20"/>
        <v>2019</v>
      </c>
      <c r="E288">
        <f>IF(SUMIFS(Restprodukter!$G$2:$G$37,Restprodukter!$A$2:$A$37,C288,Restprodukter!$B$2:$B$37,B288,Restprodukter!$C$2:$C$37,D288)&gt;=0,SUMIFS(Restprodukter!$G$2:$G$37,Restprodukter!$A$2:$A$37,C288,Restprodukter!$B$2:$B$37,B288,Restprodukter!$C$2:$C$37,D288)*IF(A288="Energi",1-VLOOKUP(C288,'Forbrug til andet'!$A$9:$D$14,MATCH('Forbrug af biomasse'!D288,'Forbrug til andet'!$A$8:$D$8,0),FALSE),VLOOKUP(C288,'Forbrug til andet'!$A$9:$D$14,MATCH('Forbrug af biomasse'!D288,'Forbrug til andet'!$A$8:$D$8,0),FALSE)),0)</f>
        <v>0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 t="shared" si="21"/>
        <v>Bioaffald</v>
      </c>
      <c r="D289">
        <f t="shared" si="20"/>
        <v>2019</v>
      </c>
      <c r="E289" t="e">
        <f>IF(SUMIFS(Restprodukter!$G$2:$G$37,Restprodukter!$A$2:$A$37,C289,Restprodukter!$B$2:$B$37,B289,Restprodukter!$C$2:$C$37,D289)&gt;=0,SUMIFS(Restprodukter!$G$2:$G$37,Restprodukter!$A$2:$A$37,C289,Restprodukter!$B$2:$B$37,B289,Restprodukter!$C$2:$C$37,D289)*IF(A289="Energi",1-VLOOKUP(C289,'Forbrug til andet'!$A$9:$D$14,MATCH('Forbrug af biomasse'!D289,'Forbrug til andet'!$A$8:$D$8,0),FALSE),VLOOKUP(C289,'Forbrug til andet'!$A$9:$D$14,MATCH('Forbrug af biomasse'!D289,'Forbrug til andet'!$A$8:$D$8,0),FALSE)),0)</f>
        <v>#REF!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 t="shared" ref="C290:C315" si="22">C284</f>
        <v>Halm</v>
      </c>
      <c r="D290">
        <f t="shared" si="20"/>
        <v>2019</v>
      </c>
      <c r="E290">
        <f>IF(SUMIFS(Restprodukter!$G$2:$G$37,Restprodukter!$A$2:$A$37,C290,Restprodukter!$B$2:$B$37,B290,Restprodukter!$C$2:$C$37,D290)&gt;=0,SUMIFS(Restprodukter!$G$2:$G$37,Restprodukter!$A$2:$A$37,C290,Restprodukter!$B$2:$B$37,B290,Restprodukter!$C$2:$C$37,D290)*IF(A290="Energi",1-VLOOKUP(C290,'Forbrug til andet'!$A$9:$D$14,MATCH('Forbrug af biomasse'!D290,'Forbrug til andet'!$A$8:$D$8,0),FALSE),VLOOKUP(C290,'Forbrug til andet'!$A$9:$D$14,MATCH('Forbrug af biomasse'!D290,'Forbrug til andet'!$A$8:$D$8,0),FALSE)),0)</f>
        <v>734174.89910281403</v>
      </c>
      <c r="F290" s="171">
        <v>1</v>
      </c>
    </row>
    <row r="291" spans="1:7" x14ac:dyDescent="0.25">
      <c r="A291" t="s">
        <v>121</v>
      </c>
      <c r="B291" t="s">
        <v>24</v>
      </c>
      <c r="C291" t="str">
        <f t="shared" si="22"/>
        <v>Rapsolie</v>
      </c>
      <c r="D291">
        <f t="shared" si="20"/>
        <v>2019</v>
      </c>
      <c r="E291">
        <f>IF(SUMIFS(Restprodukter!$G$2:$G$37,Restprodukter!$A$2:$A$37,C291,Restprodukter!$B$2:$B$37,B291,Restprodukter!$C$2:$C$37,D291)&gt;=0,SUMIFS(Restprodukter!$G$2:$G$37,Restprodukter!$A$2:$A$37,C291,Restprodukter!$B$2:$B$37,B291,Restprodukter!$C$2:$C$37,D291)*IF(A291="Energi",1-VLOOKUP(C291,'Forbrug til andet'!$A$9:$D$14,MATCH('Forbrug af biomasse'!D291,'Forbrug til andet'!$A$8:$D$8,0),FALSE),VLOOKUP(C291,'Forbrug til andet'!$A$9:$D$14,MATCH('Forbrug af biomasse'!D291,'Forbrug til andet'!$A$8:$D$8,0),FALSE)),0)</f>
        <v>32210.735628649098</v>
      </c>
      <c r="F291" s="171">
        <v>1</v>
      </c>
    </row>
    <row r="292" spans="1:7" x14ac:dyDescent="0.25">
      <c r="A292" t="s">
        <v>121</v>
      </c>
      <c r="B292" t="s">
        <v>24</v>
      </c>
      <c r="C292" t="str">
        <f t="shared" si="22"/>
        <v>Pil &amp; poppel</v>
      </c>
      <c r="D292">
        <f t="shared" si="20"/>
        <v>2019</v>
      </c>
      <c r="E292">
        <f>IF(SUMIFS(Restprodukter!$G$2:$G$37,Restprodukter!$A$2:$A$37,C292,Restprodukter!$B$2:$B$37,B292,Restprodukter!$C$2:$C$37,D292)&gt;=0,SUMIFS(Restprodukter!$G$2:$G$37,Restprodukter!$A$2:$A$37,C292,Restprodukter!$B$2:$B$37,B292,Restprodukter!$C$2:$C$37,D292)*IF(A292="Energi",1-VLOOKUP(C292,'Forbrug til andet'!$A$9:$D$14,MATCH('Forbrug af biomasse'!D292,'Forbrug til andet'!$A$8:$D$8,0),FALSE),VLOOKUP(C292,'Forbrug til andet'!$A$9:$D$14,MATCH('Forbrug af biomasse'!D292,'Forbrug til andet'!$A$8:$D$8,0),FALSE)),0)</f>
        <v>37577.319945022478</v>
      </c>
      <c r="F292" s="171">
        <v>1</v>
      </c>
    </row>
    <row r="293" spans="1:7" x14ac:dyDescent="0.25">
      <c r="A293" t="s">
        <v>121</v>
      </c>
      <c r="B293" t="s">
        <v>24</v>
      </c>
      <c r="C293" t="str">
        <f t="shared" si="22"/>
        <v>Træ til energi</v>
      </c>
      <c r="D293">
        <f t="shared" si="20"/>
        <v>2019</v>
      </c>
      <c r="E293">
        <f>IF(SUMIFS(Restprodukter!$G$2:$G$37,Restprodukter!$A$2:$A$37,C293,Restprodukter!$B$2:$B$37,B293,Restprodukter!$C$2:$C$37,D293)&gt;=0,SUMIFS(Restprodukter!$G$2:$G$37,Restprodukter!$A$2:$A$37,C293,Restprodukter!$B$2:$B$37,B293,Restprodukter!$C$2:$C$37,D293)*IF(A293="Energi",1-VLOOKUP(C293,'Forbrug til andet'!$A$9:$D$14,MATCH('Forbrug af biomasse'!D293,'Forbrug til andet'!$A$8:$D$8,0),FALSE),VLOOKUP(C293,'Forbrug til andet'!$A$9:$D$14,MATCH('Forbrug af biomasse'!D293,'Forbrug til andet'!$A$8:$D$8,0),FALSE)),0)</f>
        <v>681602.85349434032</v>
      </c>
      <c r="F293" s="171">
        <v>1</v>
      </c>
    </row>
    <row r="294" spans="1:7" x14ac:dyDescent="0.25">
      <c r="A294" t="s">
        <v>121</v>
      </c>
      <c r="B294" t="s">
        <v>24</v>
      </c>
      <c r="C294" t="str">
        <f t="shared" si="22"/>
        <v>Have/parkaffald</v>
      </c>
      <c r="D294">
        <f t="shared" si="20"/>
        <v>2019</v>
      </c>
      <c r="E294">
        <f>IF(SUMIFS(Restprodukter!$G$2:$G$37,Restprodukter!$A$2:$A$37,C294,Restprodukter!$B$2:$B$37,B294,Restprodukter!$C$2:$C$37,D294)&gt;=0,SUMIFS(Restprodukter!$G$2:$G$37,Restprodukter!$A$2:$A$37,C294,Restprodukter!$B$2:$B$37,B294,Restprodukter!$C$2:$C$37,D294)*IF(A294="Energi",1-VLOOKUP(C294,'Forbrug til andet'!$A$9:$D$14,MATCH('Forbrug af biomasse'!D294,'Forbrug til andet'!$A$8:$D$8,0),FALSE),VLOOKUP(C294,'Forbrug til andet'!$A$9:$D$14,MATCH('Forbrug af biomasse'!D294,'Forbrug til andet'!$A$8:$D$8,0),FALSE)),0)</f>
        <v>452310.61214957217</v>
      </c>
      <c r="F294" s="171">
        <v>1</v>
      </c>
    </row>
    <row r="295" spans="1:7" x14ac:dyDescent="0.25">
      <c r="A295" t="s">
        <v>121</v>
      </c>
      <c r="B295" t="s">
        <v>24</v>
      </c>
      <c r="C295" t="str">
        <f t="shared" si="22"/>
        <v>Bioaffald</v>
      </c>
      <c r="D295">
        <f t="shared" si="20"/>
        <v>2019</v>
      </c>
      <c r="E295" t="e">
        <f>IF(SUMIFS(Restprodukter!$G$2:$G$37,Restprodukter!$A$2:$A$37,C295,Restprodukter!$B$2:$B$37,B295,Restprodukter!$C$2:$C$37,D295)&gt;=0,SUMIFS(Restprodukter!$G$2:$G$37,Restprodukter!$A$2:$A$37,C295,Restprodukter!$B$2:$B$37,B295,Restprodukter!$C$2:$C$37,D295)*IF(A295="Energi",1-VLOOKUP(C295,'Forbrug til andet'!$A$9:$D$14,MATCH('Forbrug af biomasse'!D295,'Forbrug til andet'!$A$8:$D$8,0),FALSE),VLOOKUP(C295,'Forbrug til andet'!$A$9:$D$14,MATCH('Forbrug af biomasse'!D295,'Forbrug til andet'!$A$8:$D$8,0),FALSE)),0)</f>
        <v>#REF!</v>
      </c>
      <c r="F295" s="171">
        <v>1</v>
      </c>
    </row>
    <row r="296" spans="1:7" x14ac:dyDescent="0.25">
      <c r="A296" t="s">
        <v>165</v>
      </c>
      <c r="B296" t="s">
        <v>24</v>
      </c>
      <c r="C296" t="str">
        <f t="shared" si="22"/>
        <v>Halm</v>
      </c>
      <c r="D296">
        <f t="shared" si="20"/>
        <v>2019</v>
      </c>
      <c r="E296">
        <f>IF(SUMIFS(Restprodukter!$G$2:$G$37,Restprodukter!$A$2:$A$37,C296,Restprodukter!$B$2:$B$37,B296,Restprodukter!$C$2:$C$37,D296)&gt;=0,SUMIFS(Restprodukter!$G$2:$G$37,Restprodukter!$A$2:$A$37,C296,Restprodukter!$B$2:$B$37,B296,Restprodukter!$C$2:$C$37,D296)*IF(A296="Energi",1-VLOOKUP(C296,'Forbrug til andet'!$A$9:$D$14,MATCH('Forbrug af biomasse'!D296,'Forbrug til andet'!$A$8:$D$8,0),FALSE),VLOOKUP(C296,'Forbrug til andet'!$A$9:$D$14,MATCH('Forbrug af biomasse'!D296,'Forbrug til andet'!$A$8:$D$8,0),FALSE)),0)</f>
        <v>0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t="str">
        <f t="shared" si="22"/>
        <v>Rapsolie</v>
      </c>
      <c r="D297">
        <f t="shared" si="20"/>
        <v>2019</v>
      </c>
      <c r="E297">
        <f>IF(SUMIFS(Restprodukter!$G$2:$G$37,Restprodukter!$A$2:$A$37,C297,Restprodukter!$B$2:$B$37,B297,Restprodukter!$C$2:$C$37,D297)&gt;=0,SUMIFS(Restprodukter!$G$2:$G$37,Restprodukter!$A$2:$A$37,C297,Restprodukter!$B$2:$B$37,B297,Restprodukter!$C$2:$C$37,D297)*IF(A297="Energi",1-VLOOKUP(C297,'Forbrug til andet'!$A$9:$D$14,MATCH('Forbrug af biomasse'!D297,'Forbrug til andet'!$A$8:$D$8,0),FALSE),VLOOKUP(C297,'Forbrug til andet'!$A$9:$D$14,MATCH('Forbrug af biomasse'!D297,'Forbrug til andet'!$A$8:$D$8,0),FALSE)),0)</f>
        <v>29732.986734137623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t="str">
        <f t="shared" si="22"/>
        <v>Pil &amp; poppel</v>
      </c>
      <c r="D298">
        <f t="shared" si="20"/>
        <v>2019</v>
      </c>
      <c r="E298">
        <f>IF(SUMIFS(Restprodukter!$G$2:$G$37,Restprodukter!$A$2:$A$37,C298,Restprodukter!$B$2:$B$37,B298,Restprodukter!$C$2:$C$37,D298)&gt;=0,SUMIFS(Restprodukter!$G$2:$G$37,Restprodukter!$A$2:$A$37,C298,Restprodukter!$B$2:$B$37,B298,Restprodukter!$C$2:$C$37,D298)*IF(A298="Energi",1-VLOOKUP(C298,'Forbrug til andet'!$A$9:$D$14,MATCH('Forbrug af biomasse'!D298,'Forbrug til andet'!$A$8:$D$8,0),FALSE),VLOOKUP(C298,'Forbrug til andet'!$A$9:$D$14,MATCH('Forbrug af biomasse'!D298,'Forbrug til andet'!$A$8:$D$8,0),FALSE)),0)</f>
        <v>0</v>
      </c>
      <c r="F298" s="171">
        <v>1</v>
      </c>
      <c r="G298" s="171">
        <v>1</v>
      </c>
    </row>
    <row r="299" spans="1:7" x14ac:dyDescent="0.25">
      <c r="A299" t="s">
        <v>165</v>
      </c>
      <c r="B299" t="s">
        <v>24</v>
      </c>
      <c r="C299" t="str">
        <f t="shared" si="22"/>
        <v>Træ til energi</v>
      </c>
      <c r="D299">
        <f t="shared" si="20"/>
        <v>2019</v>
      </c>
      <c r="E299">
        <f>IF(SUMIFS(Restprodukter!$G$2:$G$37,Restprodukter!$A$2:$A$37,C299,Restprodukter!$B$2:$B$37,B299,Restprodukter!$C$2:$C$37,D299)&gt;=0,SUMIFS(Restprodukter!$G$2:$G$37,Restprodukter!$A$2:$A$37,C299,Restprodukter!$B$2:$B$37,B299,Restprodukter!$C$2:$C$37,D299)*IF(A299="Energi",1-VLOOKUP(C299,'Forbrug til andet'!$A$9:$D$14,MATCH('Forbrug af biomasse'!D299,'Forbrug til andet'!$A$8:$D$8,0),FALSE),VLOOKUP(C299,'Forbrug til andet'!$A$9:$D$14,MATCH('Forbrug af biomasse'!D299,'Forbrug til andet'!$A$8:$D$8,0),FALSE)),0)</f>
        <v>0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t="str">
        <f t="shared" si="22"/>
        <v>Have/parkaffald</v>
      </c>
      <c r="D300">
        <f t="shared" si="20"/>
        <v>2019</v>
      </c>
      <c r="E300">
        <f>IF(SUMIFS(Restprodukter!$G$2:$G$37,Restprodukter!$A$2:$A$37,C300,Restprodukter!$B$2:$B$37,B300,Restprodukter!$C$2:$C$37,D300)&gt;=0,SUMIFS(Restprodukter!$G$2:$G$37,Restprodukter!$A$2:$A$37,C300,Restprodukter!$B$2:$B$37,B300,Restprodukter!$C$2:$C$37,D300)*IF(A300="Energi",1-VLOOKUP(C300,'Forbrug til andet'!$A$9:$D$14,MATCH('Forbrug af biomasse'!D300,'Forbrug til andet'!$A$8:$D$8,0),FALSE),VLOOKUP(C300,'Forbrug til andet'!$A$9:$D$14,MATCH('Forbrug af biomasse'!D300,'Forbrug til andet'!$A$8:$D$8,0),FALSE)),0)</f>
        <v>0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t="str">
        <f t="shared" si="22"/>
        <v>Bioaffald</v>
      </c>
      <c r="D301">
        <f t="shared" si="20"/>
        <v>2019</v>
      </c>
      <c r="E301" t="e">
        <f>IF(SUMIFS(Restprodukter!$G$2:$G$37,Restprodukter!$A$2:$A$37,C301,Restprodukter!$B$2:$B$37,B301,Restprodukter!$C$2:$C$37,D301)&gt;=0,SUMIFS(Restprodukter!$G$2:$G$37,Restprodukter!$A$2:$A$37,C301,Restprodukter!$B$2:$B$37,B301,Restprodukter!$C$2:$C$37,D301)*IF(A301="Energi",1-VLOOKUP(C301,'Forbrug til andet'!$A$9:$D$14,MATCH('Forbrug af biomasse'!D301,'Forbrug til andet'!$A$8:$D$8,0),FALSE),VLOOKUP(C301,'Forbrug til andet'!$A$9:$D$14,MATCH('Forbrug af biomasse'!D301,'Forbrug til andet'!$A$8:$D$8,0),FALSE)),0)</f>
        <v>#REF!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t="str">
        <f t="shared" si="22"/>
        <v>Halm</v>
      </c>
      <c r="D302">
        <f t="shared" ref="D302:D325" si="23">År2</f>
        <v>2030</v>
      </c>
      <c r="E302">
        <f>IF(SUMIFS(Restprodukter!$G$2:$G$37,Restprodukter!$A$2:$A$37,C302,Restprodukter!$B$2:$B$37,B302,Restprodukter!$C$2:$C$37,D302)&gt;=0,SUMIFS(Restprodukter!$G$2:$G$37,Restprodukter!$A$2:$A$37,C302,Restprodukter!$B$2:$B$37,B302,Restprodukter!$C$2:$C$37,D302)*IF(A302="Energi",1-VLOOKUP(C302,'Forbrug til andet'!$A$9:$D$14,MATCH('Forbrug af biomasse'!D302,'Forbrug til andet'!$A$8:$D$8,0),FALSE),VLOOKUP(C302,'Forbrug til andet'!$A$9:$D$14,MATCH('Forbrug af biomasse'!D302,'Forbrug til andet'!$A$8:$D$8,0),FALSE)),0)</f>
        <v>1709437.3149926052</v>
      </c>
      <c r="F302" s="171">
        <v>1</v>
      </c>
    </row>
    <row r="303" spans="1:7" x14ac:dyDescent="0.25">
      <c r="A303" t="s">
        <v>121</v>
      </c>
      <c r="B303" t="s">
        <v>23</v>
      </c>
      <c r="C303" t="str">
        <f t="shared" si="22"/>
        <v>Rapsolie</v>
      </c>
      <c r="D303">
        <f t="shared" si="23"/>
        <v>2030</v>
      </c>
      <c r="E303">
        <f>IF(SUMIFS(Restprodukter!$G$2:$G$37,Restprodukter!$A$2:$A$37,C303,Restprodukter!$B$2:$B$37,B303,Restprodukter!$C$2:$C$37,D303)&gt;=0,SUMIFS(Restprodukter!$G$2:$G$37,Restprodukter!$A$2:$A$37,C303,Restprodukter!$B$2:$B$37,B303,Restprodukter!$C$2:$C$37,D303)*IF(A303="Energi",1-VLOOKUP(C303,'Forbrug til andet'!$A$9:$D$14,MATCH('Forbrug af biomasse'!D303,'Forbrug til andet'!$A$8:$D$8,0),FALSE),VLOOKUP(C303,'Forbrug til andet'!$A$9:$D$14,MATCH('Forbrug af biomasse'!D303,'Forbrug til andet'!$A$8:$D$8,0),FALSE)),0)</f>
        <v>118556.88830175188</v>
      </c>
      <c r="F303" s="171">
        <v>1</v>
      </c>
    </row>
    <row r="304" spans="1:7" x14ac:dyDescent="0.25">
      <c r="A304" t="s">
        <v>121</v>
      </c>
      <c r="B304" t="s">
        <v>23</v>
      </c>
      <c r="C304" t="str">
        <f t="shared" si="22"/>
        <v>Pil &amp; poppel</v>
      </c>
      <c r="D304">
        <f t="shared" si="23"/>
        <v>2030</v>
      </c>
      <c r="E304">
        <f>IF(SUMIFS(Restprodukter!$G$2:$G$37,Restprodukter!$A$2:$A$37,C304,Restprodukter!$B$2:$B$37,B304,Restprodukter!$C$2:$C$37,D304)&gt;=0,SUMIFS(Restprodukter!$G$2:$G$37,Restprodukter!$A$2:$A$37,C304,Restprodukter!$B$2:$B$37,B304,Restprodukter!$C$2:$C$37,D304)*IF(A304="Energi",1-VLOOKUP(C304,'Forbrug til andet'!$A$9:$D$14,MATCH('Forbrug af biomasse'!D304,'Forbrug til andet'!$A$8:$D$8,0),FALSE),VLOOKUP(C304,'Forbrug til andet'!$A$9:$D$14,MATCH('Forbrug af biomasse'!D304,'Forbrug til andet'!$A$8:$D$8,0),FALSE)),0)</f>
        <v>154484.73733408173</v>
      </c>
      <c r="F304" s="171">
        <v>1</v>
      </c>
    </row>
    <row r="305" spans="1:7" x14ac:dyDescent="0.25">
      <c r="A305" t="s">
        <v>121</v>
      </c>
      <c r="B305" t="s">
        <v>23</v>
      </c>
      <c r="C305" t="str">
        <f t="shared" si="22"/>
        <v>Træ til energi</v>
      </c>
      <c r="D305">
        <f t="shared" si="23"/>
        <v>2030</v>
      </c>
      <c r="E305">
        <f>IF(SUMIFS(Restprodukter!$G$2:$G$37,Restprodukter!$A$2:$A$37,C305,Restprodukter!$B$2:$B$37,B305,Restprodukter!$C$2:$C$37,D305)&gt;=0,SUMIFS(Restprodukter!$G$2:$G$37,Restprodukter!$A$2:$A$37,C305,Restprodukter!$B$2:$B$37,B305,Restprodukter!$C$2:$C$37,D305)*IF(A305="Energi",1-VLOOKUP(C305,'Forbrug til andet'!$A$9:$D$14,MATCH('Forbrug af biomasse'!D305,'Forbrug til andet'!$A$8:$D$8,0),FALSE),VLOOKUP(C305,'Forbrug til andet'!$A$9:$D$14,MATCH('Forbrug af biomasse'!D305,'Forbrug til andet'!$A$8:$D$8,0),FALSE)),0)</f>
        <v>2216341.6308326661</v>
      </c>
      <c r="F305" s="171">
        <v>1</v>
      </c>
    </row>
    <row r="306" spans="1:7" x14ac:dyDescent="0.25">
      <c r="A306" t="s">
        <v>121</v>
      </c>
      <c r="B306" t="s">
        <v>23</v>
      </c>
      <c r="C306" t="str">
        <f t="shared" si="22"/>
        <v>Have/parkaffald</v>
      </c>
      <c r="D306">
        <f t="shared" si="23"/>
        <v>2030</v>
      </c>
      <c r="E306">
        <f>IF(SUMIFS(Restprodukter!$G$2:$G$37,Restprodukter!$A$2:$A$37,C306,Restprodukter!$B$2:$B$37,B306,Restprodukter!$C$2:$C$37,D306)&gt;=0,SUMIFS(Restprodukter!$G$2:$G$37,Restprodukter!$A$2:$A$37,C306,Restprodukter!$B$2:$B$37,B306,Restprodukter!$C$2:$C$37,D306)*IF(A306="Energi",1-VLOOKUP(C306,'Forbrug til andet'!$A$9:$D$14,MATCH('Forbrug af biomasse'!D306,'Forbrug til andet'!$A$8:$D$8,0),FALSE),VLOOKUP(C306,'Forbrug til andet'!$A$9:$D$14,MATCH('Forbrug af biomasse'!D306,'Forbrug til andet'!$A$8:$D$8,0),FALSE)),0)</f>
        <v>526692.30595677684</v>
      </c>
      <c r="F306" s="171">
        <v>1</v>
      </c>
    </row>
    <row r="307" spans="1:7" x14ac:dyDescent="0.25">
      <c r="A307" t="s">
        <v>121</v>
      </c>
      <c r="B307" t="s">
        <v>23</v>
      </c>
      <c r="C307" t="str">
        <f t="shared" si="22"/>
        <v>Bioaffald</v>
      </c>
      <c r="D307">
        <f t="shared" si="23"/>
        <v>2030</v>
      </c>
      <c r="E307" t="e">
        <f>IF(SUMIFS(Restprodukter!$G$2:$G$37,Restprodukter!$A$2:$A$37,C307,Restprodukter!$B$2:$B$37,B307,Restprodukter!$C$2:$C$37,D307)&gt;=0,SUMIFS(Restprodukter!$G$2:$G$37,Restprodukter!$A$2:$A$37,C307,Restprodukter!$B$2:$B$37,B307,Restprodukter!$C$2:$C$37,D307)*IF(A307="Energi",1-VLOOKUP(C307,'Forbrug til andet'!$A$9:$D$14,MATCH('Forbrug af biomasse'!D307,'Forbrug til andet'!$A$8:$D$8,0),FALSE),VLOOKUP(C307,'Forbrug til andet'!$A$9:$D$14,MATCH('Forbrug af biomasse'!D307,'Forbrug til andet'!$A$8:$D$8,0),FALSE)),0)</f>
        <v>#REF!</v>
      </c>
      <c r="F307" s="171">
        <v>1</v>
      </c>
    </row>
    <row r="308" spans="1:7" x14ac:dyDescent="0.25">
      <c r="A308" t="s">
        <v>165</v>
      </c>
      <c r="B308" t="s">
        <v>23</v>
      </c>
      <c r="C308" t="str">
        <f t="shared" si="22"/>
        <v>Halm</v>
      </c>
      <c r="D308">
        <f t="shared" si="23"/>
        <v>2030</v>
      </c>
      <c r="E308">
        <f>IF(SUMIFS(Restprodukter!$G$2:$G$37,Restprodukter!$A$2:$A$37,C308,Restprodukter!$B$2:$B$37,B308,Restprodukter!$C$2:$C$37,D308)&gt;=0,SUMIFS(Restprodukter!$G$2:$G$37,Restprodukter!$A$2:$A$37,C308,Restprodukter!$B$2:$B$37,B308,Restprodukter!$C$2:$C$37,D308)*IF(A308="Energi",1-VLOOKUP(C308,'Forbrug til andet'!$A$9:$D$14,MATCH('Forbrug af biomasse'!D308,'Forbrug til andet'!$A$8:$D$8,0),FALSE),VLOOKUP(C308,'Forbrug til andet'!$A$9:$D$14,MATCH('Forbrug af biomasse'!D308,'Forbrug til andet'!$A$8:$D$8,0),FALSE)),0)</f>
        <v>0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t="str">
        <f t="shared" si="22"/>
        <v>Rapsolie</v>
      </c>
      <c r="D309">
        <f t="shared" si="23"/>
        <v>2030</v>
      </c>
      <c r="E309">
        <f>IF(SUMIFS(Restprodukter!$G$2:$G$37,Restprodukter!$A$2:$A$37,C309,Restprodukter!$B$2:$B$37,B309,Restprodukter!$C$2:$C$37,D309)&gt;=0,SUMIFS(Restprodukter!$G$2:$G$37,Restprodukter!$A$2:$A$37,C309,Restprodukter!$B$2:$B$37,B309,Restprodukter!$C$2:$C$37,D309)*IF(A309="Energi",1-VLOOKUP(C309,'Forbrug til andet'!$A$9:$D$14,MATCH('Forbrug af biomasse'!D309,'Forbrug til andet'!$A$8:$D$8,0),FALSE),VLOOKUP(C309,'Forbrug til andet'!$A$9:$D$14,MATCH('Forbrug af biomasse'!D309,'Forbrug til andet'!$A$8:$D$8,0),FALSE)),0)</f>
        <v>0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t="str">
        <f t="shared" si="22"/>
        <v>Pil &amp; poppel</v>
      </c>
      <c r="D310">
        <f t="shared" si="23"/>
        <v>2030</v>
      </c>
      <c r="E310">
        <f>IF(SUMIFS(Restprodukter!$G$2:$G$37,Restprodukter!$A$2:$A$37,C310,Restprodukter!$B$2:$B$37,B310,Restprodukter!$C$2:$C$37,D310)&gt;=0,SUMIFS(Restprodukter!$G$2:$G$37,Restprodukter!$A$2:$A$37,C310,Restprodukter!$B$2:$B$37,B310,Restprodukter!$C$2:$C$37,D310)*IF(A310="Energi",1-VLOOKUP(C310,'Forbrug til andet'!$A$9:$D$14,MATCH('Forbrug af biomasse'!D310,'Forbrug til andet'!$A$8:$D$8,0),FALSE),VLOOKUP(C310,'Forbrug til andet'!$A$9:$D$14,MATCH('Forbrug af biomasse'!D310,'Forbrug til andet'!$A$8:$D$8,0),FALSE)),0)</f>
        <v>0</v>
      </c>
      <c r="F310" s="171">
        <v>1</v>
      </c>
      <c r="G310" s="171">
        <v>1</v>
      </c>
    </row>
    <row r="311" spans="1:7" x14ac:dyDescent="0.25">
      <c r="A311" t="s">
        <v>165</v>
      </c>
      <c r="B311" t="s">
        <v>23</v>
      </c>
      <c r="C311" t="str">
        <f t="shared" si="22"/>
        <v>Træ til energi</v>
      </c>
      <c r="D311">
        <f t="shared" si="23"/>
        <v>2030</v>
      </c>
      <c r="E311">
        <f>IF(SUMIFS(Restprodukter!$G$2:$G$37,Restprodukter!$A$2:$A$37,C311,Restprodukter!$B$2:$B$37,B311,Restprodukter!$C$2:$C$37,D311)&gt;=0,SUMIFS(Restprodukter!$G$2:$G$37,Restprodukter!$A$2:$A$37,C311,Restprodukter!$B$2:$B$37,B311,Restprodukter!$C$2:$C$37,D311)*IF(A311="Energi",1-VLOOKUP(C311,'Forbrug til andet'!$A$9:$D$14,MATCH('Forbrug af biomasse'!D311,'Forbrug til andet'!$A$8:$D$8,0),FALSE),VLOOKUP(C311,'Forbrug til andet'!$A$9:$D$14,MATCH('Forbrug af biomasse'!D311,'Forbrug til andet'!$A$8:$D$8,0),FALSE)),0)</f>
        <v>0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t="str">
        <f t="shared" si="22"/>
        <v>Have/parkaffald</v>
      </c>
      <c r="D312">
        <f t="shared" si="23"/>
        <v>2030</v>
      </c>
      <c r="E312">
        <f>IF(SUMIFS(Restprodukter!$G$2:$G$37,Restprodukter!$A$2:$A$37,C312,Restprodukter!$B$2:$B$37,B312,Restprodukter!$C$2:$C$37,D312)&gt;=0,SUMIFS(Restprodukter!$G$2:$G$37,Restprodukter!$A$2:$A$37,C312,Restprodukter!$B$2:$B$37,B312,Restprodukter!$C$2:$C$37,D312)*IF(A312="Energi",1-VLOOKUP(C312,'Forbrug til andet'!$A$9:$D$14,MATCH('Forbrug af biomasse'!D312,'Forbrug til andet'!$A$8:$D$8,0),FALSE),VLOOKUP(C312,'Forbrug til andet'!$A$9:$D$14,MATCH('Forbrug af biomasse'!D312,'Forbrug til andet'!$A$8:$D$8,0),FALSE)),0)</f>
        <v>0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t="str">
        <f t="shared" si="22"/>
        <v>Bioaffald</v>
      </c>
      <c r="D313">
        <f t="shared" si="23"/>
        <v>2030</v>
      </c>
      <c r="E313" t="e">
        <f>IF(SUMIFS(Restprodukter!$G$2:$G$37,Restprodukter!$A$2:$A$37,C313,Restprodukter!$B$2:$B$37,B313,Restprodukter!$C$2:$C$37,D313)&gt;=0,SUMIFS(Restprodukter!$G$2:$G$37,Restprodukter!$A$2:$A$37,C313,Restprodukter!$B$2:$B$37,B313,Restprodukter!$C$2:$C$37,D313)*IF(A313="Energi",1-VLOOKUP(C313,'Forbrug til andet'!$A$9:$D$14,MATCH('Forbrug af biomasse'!D313,'Forbrug til andet'!$A$8:$D$8,0),FALSE),VLOOKUP(C313,'Forbrug til andet'!$A$9:$D$14,MATCH('Forbrug af biomasse'!D313,'Forbrug til andet'!$A$8:$D$8,0),FALSE)),0)</f>
        <v>#REF!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t="str">
        <f t="shared" si="22"/>
        <v>Halm</v>
      </c>
      <c r="D314">
        <f t="shared" si="23"/>
        <v>2030</v>
      </c>
      <c r="E314">
        <f>IF(SUMIFS(Restprodukter!$G$2:$G$37,Restprodukter!$A$2:$A$37,C314,Restprodukter!$B$2:$B$37,B314,Restprodukter!$C$2:$C$37,D314)&gt;=0,SUMIFS(Restprodukter!$G$2:$G$37,Restprodukter!$A$2:$A$37,C314,Restprodukter!$B$2:$B$37,B314,Restprodukter!$C$2:$C$37,D314)*IF(A314="Energi",1-VLOOKUP(C314,'Forbrug til andet'!$A$9:$D$14,MATCH('Forbrug af biomasse'!D314,'Forbrug til andet'!$A$8:$D$8,0),FALSE),VLOOKUP(C314,'Forbrug til andet'!$A$9:$D$14,MATCH('Forbrug af biomasse'!D314,'Forbrug til andet'!$A$8:$D$8,0),FALSE)),0)</f>
        <v>710590.59860996436</v>
      </c>
      <c r="F314" s="171">
        <v>1</v>
      </c>
    </row>
    <row r="315" spans="1:7" x14ac:dyDescent="0.25">
      <c r="A315" t="s">
        <v>121</v>
      </c>
      <c r="B315" t="s">
        <v>24</v>
      </c>
      <c r="C315" t="str">
        <f t="shared" si="22"/>
        <v>Rapsolie</v>
      </c>
      <c r="D315">
        <f t="shared" si="23"/>
        <v>2030</v>
      </c>
      <c r="E315">
        <f>IF(SUMIFS(Restprodukter!$G$2:$G$37,Restprodukter!$A$2:$A$37,C315,Restprodukter!$B$2:$B$37,B315,Restprodukter!$C$2:$C$37,D315)&gt;=0,SUMIFS(Restprodukter!$G$2:$G$37,Restprodukter!$A$2:$A$37,C315,Restprodukter!$B$2:$B$37,B315,Restprodukter!$C$2:$C$37,D315)*IF(A315="Energi",1-VLOOKUP(C315,'Forbrug til andet'!$A$9:$D$14,MATCH('Forbrug af biomasse'!D315,'Forbrug til andet'!$A$8:$D$8,0),FALSE),VLOOKUP(C315,'Forbrug til andet'!$A$9:$D$14,MATCH('Forbrug af biomasse'!D315,'Forbrug til andet'!$A$8:$D$8,0),FALSE)),0)</f>
        <v>35689.952707147801</v>
      </c>
      <c r="F315" s="171">
        <v>1</v>
      </c>
    </row>
    <row r="316" spans="1:7" x14ac:dyDescent="0.25">
      <c r="A316" t="s">
        <v>121</v>
      </c>
      <c r="B316" t="s">
        <v>24</v>
      </c>
      <c r="C316" t="str">
        <f t="shared" ref="C316:C347" si="24">C310</f>
        <v>Pil &amp; poppel</v>
      </c>
      <c r="D316">
        <f t="shared" si="23"/>
        <v>2030</v>
      </c>
      <c r="E316">
        <f>IF(SUMIFS(Restprodukter!$G$2:$G$37,Restprodukter!$A$2:$A$37,C316,Restprodukter!$B$2:$B$37,B316,Restprodukter!$C$2:$C$37,D316)&gt;=0,SUMIFS(Restprodukter!$G$2:$G$37,Restprodukter!$A$2:$A$37,C316,Restprodukter!$B$2:$B$37,B316,Restprodukter!$C$2:$C$37,D316)*IF(A316="Energi",1-VLOOKUP(C316,'Forbrug til andet'!$A$9:$D$14,MATCH('Forbrug af biomasse'!D316,'Forbrug til andet'!$A$8:$D$8,0),FALSE),VLOOKUP(C316,'Forbrug til andet'!$A$9:$D$14,MATCH('Forbrug af biomasse'!D316,'Forbrug til andet'!$A$8:$D$8,0),FALSE)),0)</f>
        <v>42074.872472772768</v>
      </c>
      <c r="F316" s="171">
        <v>1</v>
      </c>
    </row>
    <row r="317" spans="1:7" x14ac:dyDescent="0.25">
      <c r="A317" t="s">
        <v>121</v>
      </c>
      <c r="B317" t="s">
        <v>24</v>
      </c>
      <c r="C317" t="str">
        <f t="shared" si="24"/>
        <v>Træ til energi</v>
      </c>
      <c r="D317">
        <f t="shared" si="23"/>
        <v>2030</v>
      </c>
      <c r="E317">
        <f>IF(SUMIFS(Restprodukter!$G$2:$G$37,Restprodukter!$A$2:$A$37,C317,Restprodukter!$B$2:$B$37,B317,Restprodukter!$C$2:$C$37,D317)&gt;=0,SUMIFS(Restprodukter!$G$2:$G$37,Restprodukter!$A$2:$A$37,C317,Restprodukter!$B$2:$B$37,B317,Restprodukter!$C$2:$C$37,D317)*IF(A317="Energi",1-VLOOKUP(C317,'Forbrug til andet'!$A$9:$D$14,MATCH('Forbrug af biomasse'!D317,'Forbrug til andet'!$A$8:$D$8,0),FALSE),VLOOKUP(C317,'Forbrug til andet'!$A$9:$D$14,MATCH('Forbrug af biomasse'!D317,'Forbrug til andet'!$A$8:$D$8,0),FALSE)),0)</f>
        <v>647088.73530897219</v>
      </c>
      <c r="F317" s="171">
        <v>1</v>
      </c>
    </row>
    <row r="318" spans="1:7" x14ac:dyDescent="0.25">
      <c r="A318" t="s">
        <v>121</v>
      </c>
      <c r="B318" t="s">
        <v>24</v>
      </c>
      <c r="C318" t="str">
        <f t="shared" si="24"/>
        <v>Have/parkaffald</v>
      </c>
      <c r="D318">
        <f t="shared" si="23"/>
        <v>2030</v>
      </c>
      <c r="E318">
        <f>IF(SUMIFS(Restprodukter!$G$2:$G$37,Restprodukter!$A$2:$A$37,C318,Restprodukter!$B$2:$B$37,B318,Restprodukter!$C$2:$C$37,D318)&gt;=0,SUMIFS(Restprodukter!$G$2:$G$37,Restprodukter!$A$2:$A$37,C318,Restprodukter!$B$2:$B$37,B318,Restprodukter!$C$2:$C$37,D318)*IF(A318="Energi",1-VLOOKUP(C318,'Forbrug til andet'!$A$9:$D$14,MATCH('Forbrug af biomasse'!D318,'Forbrug til andet'!$A$8:$D$8,0),FALSE),VLOOKUP(C318,'Forbrug til andet'!$A$9:$D$14,MATCH('Forbrug af biomasse'!D318,'Forbrug til andet'!$A$8:$D$8,0),FALSE)),0)</f>
        <v>456038.69404322316</v>
      </c>
      <c r="F318" s="171">
        <v>1</v>
      </c>
    </row>
    <row r="319" spans="1:7" x14ac:dyDescent="0.25">
      <c r="A319" t="s">
        <v>121</v>
      </c>
      <c r="B319" t="s">
        <v>24</v>
      </c>
      <c r="C319" t="str">
        <f t="shared" si="24"/>
        <v>Bioaffald</v>
      </c>
      <c r="D319">
        <f t="shared" si="23"/>
        <v>2030</v>
      </c>
      <c r="E319" t="e">
        <f>IF(SUMIFS(Restprodukter!$G$2:$G$37,Restprodukter!$A$2:$A$37,C319,Restprodukter!$B$2:$B$37,B319,Restprodukter!$C$2:$C$37,D319)&gt;=0,SUMIFS(Restprodukter!$G$2:$G$37,Restprodukter!$A$2:$A$37,C319,Restprodukter!$B$2:$B$37,B319,Restprodukter!$C$2:$C$37,D319)*IF(A319="Energi",1-VLOOKUP(C319,'Forbrug til andet'!$A$9:$D$14,MATCH('Forbrug af biomasse'!D319,'Forbrug til andet'!$A$8:$D$8,0),FALSE),VLOOKUP(C319,'Forbrug til andet'!$A$9:$D$14,MATCH('Forbrug af biomasse'!D319,'Forbrug til andet'!$A$8:$D$8,0),FALSE)),0)</f>
        <v>#REF!</v>
      </c>
      <c r="F319" s="171">
        <v>1</v>
      </c>
    </row>
    <row r="320" spans="1:7" x14ac:dyDescent="0.25">
      <c r="A320" t="s">
        <v>165</v>
      </c>
      <c r="B320" t="s">
        <v>24</v>
      </c>
      <c r="C320" t="str">
        <f t="shared" si="24"/>
        <v>Halm</v>
      </c>
      <c r="D320">
        <f t="shared" si="23"/>
        <v>2030</v>
      </c>
      <c r="E320">
        <f>IF(SUMIFS(Restprodukter!$G$2:$G$37,Restprodukter!$A$2:$A$37,C320,Restprodukter!$B$2:$B$37,B320,Restprodukter!$C$2:$C$37,D320)&gt;=0,SUMIFS(Restprodukter!$G$2:$G$37,Restprodukter!$A$2:$A$37,C320,Restprodukter!$B$2:$B$37,B320,Restprodukter!$C$2:$C$37,D320)*IF(A320="Energi",1-VLOOKUP(C320,'Forbrug til andet'!$A$9:$D$14,MATCH('Forbrug af biomasse'!D320,'Forbrug til andet'!$A$8:$D$8,0),FALSE),VLOOKUP(C320,'Forbrug til andet'!$A$9:$D$14,MATCH('Forbrug af biomasse'!D320,'Forbrug til andet'!$A$8:$D$8,0),FALSE)),0)</f>
        <v>0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t="str">
        <f t="shared" si="24"/>
        <v>Rapsolie</v>
      </c>
      <c r="D321">
        <f t="shared" si="23"/>
        <v>2030</v>
      </c>
      <c r="E321">
        <f>IF(SUMIFS(Restprodukter!$G$2:$G$37,Restprodukter!$A$2:$A$37,C321,Restprodukter!$B$2:$B$37,B321,Restprodukter!$C$2:$C$37,D321)&gt;=0,SUMIFS(Restprodukter!$G$2:$G$37,Restprodukter!$A$2:$A$37,C321,Restprodukter!$B$2:$B$37,B321,Restprodukter!$C$2:$C$37,D321)*IF(A321="Energi",1-VLOOKUP(C321,'Forbrug til andet'!$A$9:$D$14,MATCH('Forbrug af biomasse'!D321,'Forbrug til andet'!$A$8:$D$8,0),FALSE),VLOOKUP(C321,'Forbrug til andet'!$A$9:$D$14,MATCH('Forbrug af biomasse'!D321,'Forbrug til andet'!$A$8:$D$8,0),FALSE)),0)</f>
        <v>0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t="str">
        <f t="shared" si="24"/>
        <v>Pil &amp; poppel</v>
      </c>
      <c r="D322">
        <f t="shared" si="23"/>
        <v>2030</v>
      </c>
      <c r="E322">
        <f>IF(SUMIFS(Restprodukter!$G$2:$G$37,Restprodukter!$A$2:$A$37,C322,Restprodukter!$B$2:$B$37,B322,Restprodukter!$C$2:$C$37,D322)&gt;=0,SUMIFS(Restprodukter!$G$2:$G$37,Restprodukter!$A$2:$A$37,C322,Restprodukter!$B$2:$B$37,B322,Restprodukter!$C$2:$C$37,D322)*IF(A322="Energi",1-VLOOKUP(C322,'Forbrug til andet'!$A$9:$D$14,MATCH('Forbrug af biomasse'!D322,'Forbrug til andet'!$A$8:$D$8,0),FALSE),VLOOKUP(C322,'Forbrug til andet'!$A$9:$D$14,MATCH('Forbrug af biomasse'!D322,'Forbrug til andet'!$A$8:$D$8,0),FALSE)),0)</f>
        <v>0</v>
      </c>
      <c r="F322" s="171">
        <v>1</v>
      </c>
      <c r="G322" s="171">
        <v>1</v>
      </c>
    </row>
    <row r="323" spans="1:7" x14ac:dyDescent="0.25">
      <c r="A323" t="s">
        <v>165</v>
      </c>
      <c r="B323" t="s">
        <v>24</v>
      </c>
      <c r="C323" t="str">
        <f t="shared" si="24"/>
        <v>Træ til energi</v>
      </c>
      <c r="D323">
        <f t="shared" si="23"/>
        <v>2030</v>
      </c>
      <c r="E323">
        <f>IF(SUMIFS(Restprodukter!$G$2:$G$37,Restprodukter!$A$2:$A$37,C323,Restprodukter!$B$2:$B$37,B323,Restprodukter!$C$2:$C$37,D323)&gt;=0,SUMIFS(Restprodukter!$G$2:$G$37,Restprodukter!$A$2:$A$37,C323,Restprodukter!$B$2:$B$37,B323,Restprodukter!$C$2:$C$37,D323)*IF(A323="Energi",1-VLOOKUP(C323,'Forbrug til andet'!$A$9:$D$14,MATCH('Forbrug af biomasse'!D323,'Forbrug til andet'!$A$8:$D$8,0),FALSE),VLOOKUP(C323,'Forbrug til andet'!$A$9:$D$14,MATCH('Forbrug af biomasse'!D323,'Forbrug til andet'!$A$8:$D$8,0),FALSE)),0)</f>
        <v>0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t="str">
        <f t="shared" si="24"/>
        <v>Have/parkaffald</v>
      </c>
      <c r="D324">
        <f t="shared" si="23"/>
        <v>2030</v>
      </c>
      <c r="E324">
        <f>IF(SUMIFS(Restprodukter!$G$2:$G$37,Restprodukter!$A$2:$A$37,C324,Restprodukter!$B$2:$B$37,B324,Restprodukter!$C$2:$C$37,D324)&gt;=0,SUMIFS(Restprodukter!$G$2:$G$37,Restprodukter!$A$2:$A$37,C324,Restprodukter!$B$2:$B$37,B324,Restprodukter!$C$2:$C$37,D324)*IF(A324="Energi",1-VLOOKUP(C324,'Forbrug til andet'!$A$9:$D$14,MATCH('Forbrug af biomasse'!D324,'Forbrug til andet'!$A$8:$D$8,0),FALSE),VLOOKUP(C324,'Forbrug til andet'!$A$9:$D$14,MATCH('Forbrug af biomasse'!D324,'Forbrug til andet'!$A$8:$D$8,0),FALSE)),0)</f>
        <v>0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t="str">
        <f t="shared" si="24"/>
        <v>Bioaffald</v>
      </c>
      <c r="D325">
        <f t="shared" si="23"/>
        <v>2030</v>
      </c>
      <c r="E325" t="e">
        <f>IF(SUMIFS(Restprodukter!$G$2:$G$37,Restprodukter!$A$2:$A$37,C325,Restprodukter!$B$2:$B$37,B325,Restprodukter!$C$2:$C$37,D325)&gt;=0,SUMIFS(Restprodukter!$G$2:$G$37,Restprodukter!$A$2:$A$37,C325,Restprodukter!$B$2:$B$37,B325,Restprodukter!$C$2:$C$37,D325)*IF(A325="Energi",1-VLOOKUP(C325,'Forbrug til andet'!$A$9:$D$14,MATCH('Forbrug af biomasse'!D325,'Forbrug til andet'!$A$8:$D$8,0),FALSE),VLOOKUP(C325,'Forbrug til andet'!$A$9:$D$14,MATCH('Forbrug af biomasse'!D325,'Forbrug til andet'!$A$8:$D$8,0),FALSE)),0)</f>
        <v>#REF!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t="str">
        <f t="shared" si="24"/>
        <v>Halm</v>
      </c>
      <c r="D326">
        <f t="shared" ref="D326:D349" si="25">År3</f>
        <v>2050</v>
      </c>
      <c r="E326">
        <f>IF(SUMIFS(Restprodukter!$G$2:$G$37,Restprodukter!$A$2:$A$37,C326,Restprodukter!$B$2:$B$37,B326,Restprodukter!$C$2:$C$37,D326)&gt;=0,SUMIFS(Restprodukter!$G$2:$G$37,Restprodukter!$A$2:$A$37,C326,Restprodukter!$B$2:$B$37,B326,Restprodukter!$C$2:$C$37,D326)*IF(A326="Energi",1-VLOOKUP(C326,'Forbrug til andet'!$A$9:$D$14,MATCH('Forbrug af biomasse'!D326,'Forbrug til andet'!$A$8:$D$8,0),FALSE),VLOOKUP(C326,'Forbrug til andet'!$A$9:$D$14,MATCH('Forbrug af biomasse'!D326,'Forbrug til andet'!$A$8:$D$8,0),FALSE)),0)</f>
        <v>1581173.6865962329</v>
      </c>
      <c r="F326" s="171">
        <v>1</v>
      </c>
    </row>
    <row r="327" spans="1:7" x14ac:dyDescent="0.25">
      <c r="A327" t="s">
        <v>121</v>
      </c>
      <c r="B327" t="s">
        <v>23</v>
      </c>
      <c r="C327" t="str">
        <f t="shared" si="24"/>
        <v>Rapsolie</v>
      </c>
      <c r="D327">
        <f t="shared" si="25"/>
        <v>2050</v>
      </c>
      <c r="E327">
        <f>IF(SUMIFS(Restprodukter!$G$2:$G$37,Restprodukter!$A$2:$A$37,C327,Restprodukter!$B$2:$B$37,B327,Restprodukter!$C$2:$C$37,D327)&gt;=0,SUMIFS(Restprodukter!$G$2:$G$37,Restprodukter!$A$2:$A$37,C327,Restprodukter!$B$2:$B$37,B327,Restprodukter!$C$2:$C$37,D327)*IF(A327="Energi",1-VLOOKUP(C327,'Forbrug til andet'!$A$9:$D$14,MATCH('Forbrug af biomasse'!D327,'Forbrug til andet'!$A$8:$D$8,0),FALSE),VLOOKUP(C327,'Forbrug til andet'!$A$9:$D$14,MATCH('Forbrug af biomasse'!D327,'Forbrug til andet'!$A$8:$D$8,0),FALSE)),0)</f>
        <v>120985.85798793298</v>
      </c>
      <c r="F327" s="171">
        <v>1</v>
      </c>
    </row>
    <row r="328" spans="1:7" x14ac:dyDescent="0.25">
      <c r="A328" t="s">
        <v>121</v>
      </c>
      <c r="B328" t="s">
        <v>23</v>
      </c>
      <c r="C328" t="str">
        <f t="shared" si="24"/>
        <v>Pil &amp; poppel</v>
      </c>
      <c r="D328">
        <f t="shared" si="25"/>
        <v>2050</v>
      </c>
      <c r="E328">
        <f>IF(SUMIFS(Restprodukter!$G$2:$G$37,Restprodukter!$A$2:$A$37,C328,Restprodukter!$B$2:$B$37,B328,Restprodukter!$C$2:$C$37,D328)&gt;=0,SUMIFS(Restprodukter!$G$2:$G$37,Restprodukter!$A$2:$A$37,C328,Restprodukter!$B$2:$B$37,B328,Restprodukter!$C$2:$C$37,D328)*IF(A328="Energi",1-VLOOKUP(C328,'Forbrug til andet'!$A$9:$D$14,MATCH('Forbrug af biomasse'!D328,'Forbrug til andet'!$A$8:$D$8,0),FALSE),VLOOKUP(C328,'Forbrug til andet'!$A$9:$D$14,MATCH('Forbrug af biomasse'!D328,'Forbrug til andet'!$A$8:$D$8,0),FALSE)),0)</f>
        <v>158491.06742829576</v>
      </c>
      <c r="F328" s="171">
        <v>1</v>
      </c>
    </row>
    <row r="329" spans="1:7" x14ac:dyDescent="0.25">
      <c r="A329" t="s">
        <v>121</v>
      </c>
      <c r="B329" t="s">
        <v>23</v>
      </c>
      <c r="C329" t="str">
        <f t="shared" si="24"/>
        <v>Træ til energi</v>
      </c>
      <c r="D329">
        <f t="shared" si="25"/>
        <v>2050</v>
      </c>
      <c r="E329">
        <f>IF(SUMIFS(Restprodukter!$G$2:$G$37,Restprodukter!$A$2:$A$37,C329,Restprodukter!$B$2:$B$37,B329,Restprodukter!$C$2:$C$37,D329)&gt;=0,SUMIFS(Restprodukter!$G$2:$G$37,Restprodukter!$A$2:$A$37,C329,Restprodukter!$B$2:$B$37,B329,Restprodukter!$C$2:$C$37,D329)*IF(A329="Energi",1-VLOOKUP(C329,'Forbrug til andet'!$A$9:$D$14,MATCH('Forbrug af biomasse'!D329,'Forbrug til andet'!$A$8:$D$8,0),FALSE),VLOOKUP(C329,'Forbrug til andet'!$A$9:$D$14,MATCH('Forbrug af biomasse'!D329,'Forbrug til andet'!$A$8:$D$8,0),FALSE)),0)</f>
        <v>2235295.9759470159</v>
      </c>
      <c r="F329" s="171">
        <v>1</v>
      </c>
    </row>
    <row r="330" spans="1:7" x14ac:dyDescent="0.25">
      <c r="A330" t="s">
        <v>121</v>
      </c>
      <c r="B330" t="s">
        <v>23</v>
      </c>
      <c r="C330" t="str">
        <f t="shared" si="24"/>
        <v>Have/parkaffald</v>
      </c>
      <c r="D330">
        <f t="shared" si="25"/>
        <v>2050</v>
      </c>
      <c r="E330">
        <f>IF(SUMIFS(Restprodukter!$G$2:$G$37,Restprodukter!$A$2:$A$37,C330,Restprodukter!$B$2:$B$37,B330,Restprodukter!$C$2:$C$37,D330)&gt;=0,SUMIFS(Restprodukter!$G$2:$G$37,Restprodukter!$A$2:$A$37,C330,Restprodukter!$B$2:$B$37,B330,Restprodukter!$C$2:$C$37,D330)*IF(A330="Energi",1-VLOOKUP(C330,'Forbrug til andet'!$A$9:$D$14,MATCH('Forbrug af biomasse'!D330,'Forbrug til andet'!$A$8:$D$8,0),FALSE),VLOOKUP(C330,'Forbrug til andet'!$A$9:$D$14,MATCH('Forbrug af biomasse'!D330,'Forbrug til andet'!$A$8:$D$8,0),FALSE)),0)</f>
        <v>524840.3181212655</v>
      </c>
      <c r="F330" s="171">
        <v>1</v>
      </c>
    </row>
    <row r="331" spans="1:7" x14ac:dyDescent="0.25">
      <c r="A331" t="s">
        <v>121</v>
      </c>
      <c r="B331" t="s">
        <v>23</v>
      </c>
      <c r="C331" t="str">
        <f t="shared" si="24"/>
        <v>Bioaffald</v>
      </c>
      <c r="D331">
        <f t="shared" si="25"/>
        <v>2050</v>
      </c>
      <c r="E331" t="e">
        <f>IF(SUMIFS(Restprodukter!$G$2:$G$37,Restprodukter!$A$2:$A$37,C331,Restprodukter!$B$2:$B$37,B331,Restprodukter!$C$2:$C$37,D331)&gt;=0,SUMIFS(Restprodukter!$G$2:$G$37,Restprodukter!$A$2:$A$37,C331,Restprodukter!$B$2:$B$37,B331,Restprodukter!$C$2:$C$37,D331)*IF(A331="Energi",1-VLOOKUP(C331,'Forbrug til andet'!$A$9:$D$14,MATCH('Forbrug af biomasse'!D331,'Forbrug til andet'!$A$8:$D$8,0),FALSE),VLOOKUP(C331,'Forbrug til andet'!$A$9:$D$14,MATCH('Forbrug af biomasse'!D331,'Forbrug til andet'!$A$8:$D$8,0),FALSE)),0)</f>
        <v>#REF!</v>
      </c>
      <c r="F331" s="171">
        <v>1</v>
      </c>
    </row>
    <row r="332" spans="1:7" x14ac:dyDescent="0.25">
      <c r="A332" t="s">
        <v>165</v>
      </c>
      <c r="B332" t="s">
        <v>23</v>
      </c>
      <c r="C332" t="str">
        <f t="shared" si="24"/>
        <v>Halm</v>
      </c>
      <c r="D332">
        <f t="shared" si="25"/>
        <v>2050</v>
      </c>
      <c r="E332">
        <f>IF(SUMIFS(Restprodukter!$G$2:$G$37,Restprodukter!$A$2:$A$37,C332,Restprodukter!$B$2:$B$37,B332,Restprodukter!$C$2:$C$37,D332)&gt;=0,SUMIFS(Restprodukter!$G$2:$G$37,Restprodukter!$A$2:$A$37,C332,Restprodukter!$B$2:$B$37,B332,Restprodukter!$C$2:$C$37,D332)*IF(A332="Energi",1-VLOOKUP(C332,'Forbrug til andet'!$A$9:$D$14,MATCH('Forbrug af biomasse'!D332,'Forbrug til andet'!$A$8:$D$8,0),FALSE),VLOOKUP(C332,'Forbrug til andet'!$A$9:$D$14,MATCH('Forbrug af biomasse'!D332,'Forbrug til andet'!$A$8:$D$8,0),FALSE)),0)</f>
        <v>0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t="str">
        <f t="shared" si="24"/>
        <v>Rapsolie</v>
      </c>
      <c r="D333">
        <f t="shared" si="25"/>
        <v>2050</v>
      </c>
      <c r="E333">
        <f>IF(SUMIFS(Restprodukter!$G$2:$G$37,Restprodukter!$A$2:$A$37,C333,Restprodukter!$B$2:$B$37,B333,Restprodukter!$C$2:$C$37,D333)&gt;=0,SUMIFS(Restprodukter!$G$2:$G$37,Restprodukter!$A$2:$A$37,C333,Restprodukter!$B$2:$B$37,B333,Restprodukter!$C$2:$C$37,D333)*IF(A333="Energi",1-VLOOKUP(C333,'Forbrug til andet'!$A$9:$D$14,MATCH('Forbrug af biomasse'!D333,'Forbrug til andet'!$A$8:$D$8,0),FALSE),VLOOKUP(C333,'Forbrug til andet'!$A$9:$D$14,MATCH('Forbrug af biomasse'!D333,'Forbrug til andet'!$A$8:$D$8,0),FALSE)),0)</f>
        <v>0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t="str">
        <f t="shared" si="24"/>
        <v>Pil &amp; poppel</v>
      </c>
      <c r="D334">
        <f t="shared" si="25"/>
        <v>2050</v>
      </c>
      <c r="E334">
        <f>IF(SUMIFS(Restprodukter!$G$2:$G$37,Restprodukter!$A$2:$A$37,C334,Restprodukter!$B$2:$B$37,B334,Restprodukter!$C$2:$C$37,D334)&gt;=0,SUMIFS(Restprodukter!$G$2:$G$37,Restprodukter!$A$2:$A$37,C334,Restprodukter!$B$2:$B$37,B334,Restprodukter!$C$2:$C$37,D334)*IF(A334="Energi",1-VLOOKUP(C334,'Forbrug til andet'!$A$9:$D$14,MATCH('Forbrug af biomasse'!D334,'Forbrug til andet'!$A$8:$D$8,0),FALSE),VLOOKUP(C334,'Forbrug til andet'!$A$9:$D$14,MATCH('Forbrug af biomasse'!D334,'Forbrug til andet'!$A$8:$D$8,0),FALSE)),0)</f>
        <v>0</v>
      </c>
      <c r="F334" s="171">
        <v>1</v>
      </c>
      <c r="G334" s="171">
        <v>1</v>
      </c>
    </row>
    <row r="335" spans="1:7" x14ac:dyDescent="0.25">
      <c r="A335" t="s">
        <v>165</v>
      </c>
      <c r="B335" t="s">
        <v>23</v>
      </c>
      <c r="C335" t="str">
        <f t="shared" si="24"/>
        <v>Træ til energi</v>
      </c>
      <c r="D335">
        <f t="shared" si="25"/>
        <v>2050</v>
      </c>
      <c r="E335">
        <f>IF(SUMIFS(Restprodukter!$G$2:$G$37,Restprodukter!$A$2:$A$37,C335,Restprodukter!$B$2:$B$37,B335,Restprodukter!$C$2:$C$37,D335)&gt;=0,SUMIFS(Restprodukter!$G$2:$G$37,Restprodukter!$A$2:$A$37,C335,Restprodukter!$B$2:$B$37,B335,Restprodukter!$C$2:$C$37,D335)*IF(A335="Energi",1-VLOOKUP(C335,'Forbrug til andet'!$A$9:$D$14,MATCH('Forbrug af biomasse'!D335,'Forbrug til andet'!$A$8:$D$8,0),FALSE),VLOOKUP(C335,'Forbrug til andet'!$A$9:$D$14,MATCH('Forbrug af biomasse'!D335,'Forbrug til andet'!$A$8:$D$8,0),FALSE)),0)</f>
        <v>0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t="str">
        <f t="shared" si="24"/>
        <v>Have/parkaffald</v>
      </c>
      <c r="D336">
        <f t="shared" si="25"/>
        <v>2050</v>
      </c>
      <c r="E336">
        <f>IF(SUMIFS(Restprodukter!$G$2:$G$37,Restprodukter!$A$2:$A$37,C336,Restprodukter!$B$2:$B$37,B336,Restprodukter!$C$2:$C$37,D336)&gt;=0,SUMIFS(Restprodukter!$G$2:$G$37,Restprodukter!$A$2:$A$37,C336,Restprodukter!$B$2:$B$37,B336,Restprodukter!$C$2:$C$37,D336)*IF(A336="Energi",1-VLOOKUP(C336,'Forbrug til andet'!$A$9:$D$14,MATCH('Forbrug af biomasse'!D336,'Forbrug til andet'!$A$8:$D$8,0),FALSE),VLOOKUP(C336,'Forbrug til andet'!$A$9:$D$14,MATCH('Forbrug af biomasse'!D336,'Forbrug til andet'!$A$8:$D$8,0),FALSE)),0)</f>
        <v>0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t="str">
        <f t="shared" si="24"/>
        <v>Bioaffald</v>
      </c>
      <c r="D337">
        <f t="shared" si="25"/>
        <v>2050</v>
      </c>
      <c r="E337" t="e">
        <f>IF(SUMIFS(Restprodukter!$G$2:$G$37,Restprodukter!$A$2:$A$37,C337,Restprodukter!$B$2:$B$37,B337,Restprodukter!$C$2:$C$37,D337)&gt;=0,SUMIFS(Restprodukter!$G$2:$G$37,Restprodukter!$A$2:$A$37,C337,Restprodukter!$B$2:$B$37,B337,Restprodukter!$C$2:$C$37,D337)*IF(A337="Energi",1-VLOOKUP(C337,'Forbrug til andet'!$A$9:$D$14,MATCH('Forbrug af biomasse'!D337,'Forbrug til andet'!$A$8:$D$8,0),FALSE),VLOOKUP(C337,'Forbrug til andet'!$A$9:$D$14,MATCH('Forbrug af biomasse'!D337,'Forbrug til andet'!$A$8:$D$8,0),FALSE)),0)</f>
        <v>#REF!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t="str">
        <f t="shared" si="24"/>
        <v>Halm</v>
      </c>
      <c r="D338">
        <f t="shared" si="25"/>
        <v>2050</v>
      </c>
      <c r="E338">
        <f>IF(SUMIFS(Restprodukter!$G$2:$G$37,Restprodukter!$A$2:$A$37,C338,Restprodukter!$B$2:$B$37,B338,Restprodukter!$C$2:$C$37,D338)&gt;=0,SUMIFS(Restprodukter!$G$2:$G$37,Restprodukter!$A$2:$A$37,C338,Restprodukter!$B$2:$B$37,B338,Restprodukter!$C$2:$C$37,D338)*IF(A338="Energi",1-VLOOKUP(C338,'Forbrug til andet'!$A$9:$D$14,MATCH('Forbrug af biomasse'!D338,'Forbrug til andet'!$A$8:$D$8,0),FALSE),VLOOKUP(C338,'Forbrug til andet'!$A$9:$D$14,MATCH('Forbrug af biomasse'!D338,'Forbrug til andet'!$A$8:$D$8,0),FALSE)),0)</f>
        <v>688009.43316682125</v>
      </c>
      <c r="F338" s="171">
        <v>1</v>
      </c>
    </row>
    <row r="339" spans="1:7" x14ac:dyDescent="0.25">
      <c r="A339" t="s">
        <v>121</v>
      </c>
      <c r="B339" t="s">
        <v>24</v>
      </c>
      <c r="C339" t="str">
        <f t="shared" si="24"/>
        <v>Rapsolie</v>
      </c>
      <c r="D339">
        <f t="shared" si="25"/>
        <v>2050</v>
      </c>
      <c r="E339">
        <f>IF(SUMIFS(Restprodukter!$G$2:$G$37,Restprodukter!$A$2:$A$37,C339,Restprodukter!$B$2:$B$37,B339,Restprodukter!$C$2:$C$37,D339)&gt;=0,SUMIFS(Restprodukter!$G$2:$G$37,Restprodukter!$A$2:$A$37,C339,Restprodukter!$B$2:$B$37,B339,Restprodukter!$C$2:$C$37,D339)*IF(A339="Energi",1-VLOOKUP(C339,'Forbrug til andet'!$A$9:$D$14,MATCH('Forbrug af biomasse'!D339,'Forbrug til andet'!$A$8:$D$8,0),FALSE),VLOOKUP(C339,'Forbrug til andet'!$A$9:$D$14,MATCH('Forbrug af biomasse'!D339,'Forbrug til andet'!$A$8:$D$8,0),FALSE)),0)</f>
        <v>37147.808703410541</v>
      </c>
      <c r="F339" s="171">
        <v>1</v>
      </c>
    </row>
    <row r="340" spans="1:7" x14ac:dyDescent="0.25">
      <c r="A340" t="s">
        <v>121</v>
      </c>
      <c r="B340" t="s">
        <v>24</v>
      </c>
      <c r="C340" t="str">
        <f t="shared" si="24"/>
        <v>Pil &amp; poppel</v>
      </c>
      <c r="D340">
        <f t="shared" si="25"/>
        <v>2050</v>
      </c>
      <c r="E340">
        <f>IF(SUMIFS(Restprodukter!$G$2:$G$37,Restprodukter!$A$2:$A$37,C340,Restprodukter!$B$2:$B$37,B340,Restprodukter!$C$2:$C$37,D340)&gt;=0,SUMIFS(Restprodukter!$G$2:$G$37,Restprodukter!$A$2:$A$37,C340,Restprodukter!$B$2:$B$37,B340,Restprodukter!$C$2:$C$37,D340)*IF(A340="Energi",1-VLOOKUP(C340,'Forbrug til andet'!$A$9:$D$14,MATCH('Forbrug af biomasse'!D340,'Forbrug til andet'!$A$8:$D$8,0),FALSE),VLOOKUP(C340,'Forbrug til andet'!$A$9:$D$14,MATCH('Forbrug af biomasse'!D340,'Forbrug til andet'!$A$8:$D$8,0),FALSE)),0)</f>
        <v>43858.564110476924</v>
      </c>
      <c r="F340" s="171">
        <v>1</v>
      </c>
    </row>
    <row r="341" spans="1:7" x14ac:dyDescent="0.25">
      <c r="A341" t="s">
        <v>121</v>
      </c>
      <c r="B341" t="s">
        <v>24</v>
      </c>
      <c r="C341" t="str">
        <f t="shared" si="24"/>
        <v>Træ til energi</v>
      </c>
      <c r="D341">
        <f t="shared" si="25"/>
        <v>2050</v>
      </c>
      <c r="E341">
        <f>IF(SUMIFS(Restprodukter!$G$2:$G$37,Restprodukter!$A$2:$A$37,C341,Restprodukter!$B$2:$B$37,B341,Restprodukter!$C$2:$C$37,D341)&gt;=0,SUMIFS(Restprodukter!$G$2:$G$37,Restprodukter!$A$2:$A$37,C341,Restprodukter!$B$2:$B$37,B341,Restprodukter!$C$2:$C$37,D341)*IF(A341="Energi",1-VLOOKUP(C341,'Forbrug til andet'!$A$9:$D$14,MATCH('Forbrug af biomasse'!D341,'Forbrug til andet'!$A$8:$D$8,0),FALSE),VLOOKUP(C341,'Forbrug til andet'!$A$9:$D$14,MATCH('Forbrug af biomasse'!D341,'Forbrug til andet'!$A$8:$D$8,0),FALSE)),0)</f>
        <v>624603.98534617631</v>
      </c>
      <c r="F341" s="171">
        <v>1</v>
      </c>
    </row>
    <row r="342" spans="1:7" x14ac:dyDescent="0.25">
      <c r="A342" t="s">
        <v>121</v>
      </c>
      <c r="B342" t="s">
        <v>24</v>
      </c>
      <c r="C342" t="str">
        <f t="shared" si="24"/>
        <v>Have/parkaffald</v>
      </c>
      <c r="D342">
        <f t="shared" si="25"/>
        <v>2050</v>
      </c>
      <c r="E342">
        <f>IF(SUMIFS(Restprodukter!$G$2:$G$37,Restprodukter!$A$2:$A$37,C342,Restprodukter!$B$2:$B$37,B342,Restprodukter!$C$2:$C$37,D342)&gt;=0,SUMIFS(Restprodukter!$G$2:$G$37,Restprodukter!$A$2:$A$37,C342,Restprodukter!$B$2:$B$37,B342,Restprodukter!$C$2:$C$37,D342)*IF(A342="Energi",1-VLOOKUP(C342,'Forbrug til andet'!$A$9:$D$14,MATCH('Forbrug af biomasse'!D342,'Forbrug til andet'!$A$8:$D$8,0),FALSE),VLOOKUP(C342,'Forbrug til andet'!$A$9:$D$14,MATCH('Forbrug af biomasse'!D342,'Forbrug til andet'!$A$8:$D$8,0),FALSE)),0)</f>
        <v>457890.6818787345</v>
      </c>
      <c r="F342" s="171">
        <v>1</v>
      </c>
    </row>
    <row r="343" spans="1:7" x14ac:dyDescent="0.25">
      <c r="A343" t="s">
        <v>121</v>
      </c>
      <c r="B343" t="s">
        <v>24</v>
      </c>
      <c r="C343" t="str">
        <f t="shared" si="24"/>
        <v>Bioaffald</v>
      </c>
      <c r="D343">
        <f t="shared" si="25"/>
        <v>2050</v>
      </c>
      <c r="E343" t="e">
        <f>IF(SUMIFS(Restprodukter!$G$2:$G$37,Restprodukter!$A$2:$A$37,C343,Restprodukter!$B$2:$B$37,B343,Restprodukter!$C$2:$C$37,D343)&gt;=0,SUMIFS(Restprodukter!$G$2:$G$37,Restprodukter!$A$2:$A$37,C343,Restprodukter!$B$2:$B$37,B343,Restprodukter!$C$2:$C$37,D343)*IF(A343="Energi",1-VLOOKUP(C343,'Forbrug til andet'!$A$9:$D$14,MATCH('Forbrug af biomasse'!D343,'Forbrug til andet'!$A$8:$D$8,0),FALSE),VLOOKUP(C343,'Forbrug til andet'!$A$9:$D$14,MATCH('Forbrug af biomasse'!D343,'Forbrug til andet'!$A$8:$D$8,0),FALSE)),0)</f>
        <v>#REF!</v>
      </c>
      <c r="F343" s="171">
        <v>1</v>
      </c>
    </row>
    <row r="344" spans="1:7" x14ac:dyDescent="0.25">
      <c r="A344" t="s">
        <v>165</v>
      </c>
      <c r="B344" t="s">
        <v>24</v>
      </c>
      <c r="C344" t="str">
        <f t="shared" si="24"/>
        <v>Halm</v>
      </c>
      <c r="D344">
        <f t="shared" si="25"/>
        <v>2050</v>
      </c>
      <c r="E344">
        <f>IF(SUMIFS(Restprodukter!$G$2:$G$37,Restprodukter!$A$2:$A$37,C344,Restprodukter!$B$2:$B$37,B344,Restprodukter!$C$2:$C$37,D344)&gt;=0,SUMIFS(Restprodukter!$G$2:$G$37,Restprodukter!$A$2:$A$37,C344,Restprodukter!$B$2:$B$37,B344,Restprodukter!$C$2:$C$37,D344)*IF(A344="Energi",1-VLOOKUP(C344,'Forbrug til andet'!$A$9:$D$14,MATCH('Forbrug af biomasse'!D344,'Forbrug til andet'!$A$8:$D$8,0),FALSE),VLOOKUP(C344,'Forbrug til andet'!$A$9:$D$14,MATCH('Forbrug af biomasse'!D344,'Forbrug til andet'!$A$8:$D$8,0),FALSE)),0)</f>
        <v>0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t="str">
        <f t="shared" si="24"/>
        <v>Rapsolie</v>
      </c>
      <c r="D345">
        <f t="shared" si="25"/>
        <v>2050</v>
      </c>
      <c r="E345">
        <f>IF(SUMIFS(Restprodukter!$G$2:$G$37,Restprodukter!$A$2:$A$37,C345,Restprodukter!$B$2:$B$37,B345,Restprodukter!$C$2:$C$37,D345)&gt;=0,SUMIFS(Restprodukter!$G$2:$G$37,Restprodukter!$A$2:$A$37,C345,Restprodukter!$B$2:$B$37,B345,Restprodukter!$C$2:$C$37,D345)*IF(A345="Energi",1-VLOOKUP(C345,'Forbrug til andet'!$A$9:$D$14,MATCH('Forbrug af biomasse'!D345,'Forbrug til andet'!$A$8:$D$8,0),FALSE),VLOOKUP(C345,'Forbrug til andet'!$A$9:$D$14,MATCH('Forbrug af biomasse'!D345,'Forbrug til andet'!$A$8:$D$8,0),FALSE)),0)</f>
        <v>0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t="str">
        <f t="shared" si="24"/>
        <v>Pil &amp; poppel</v>
      </c>
      <c r="D346">
        <f t="shared" si="25"/>
        <v>2050</v>
      </c>
      <c r="E346">
        <f>IF(SUMIFS(Restprodukter!$G$2:$G$37,Restprodukter!$A$2:$A$37,C346,Restprodukter!$B$2:$B$37,B346,Restprodukter!$C$2:$C$37,D346)&gt;=0,SUMIFS(Restprodukter!$G$2:$G$37,Restprodukter!$A$2:$A$37,C346,Restprodukter!$B$2:$B$37,B346,Restprodukter!$C$2:$C$37,D346)*IF(A346="Energi",1-VLOOKUP(C346,'Forbrug til andet'!$A$9:$D$14,MATCH('Forbrug af biomasse'!D346,'Forbrug til andet'!$A$8:$D$8,0),FALSE),VLOOKUP(C346,'Forbrug til andet'!$A$9:$D$14,MATCH('Forbrug af biomasse'!D346,'Forbrug til andet'!$A$8:$D$8,0),FALSE)),0)</f>
        <v>0</v>
      </c>
      <c r="F346" s="171">
        <v>1</v>
      </c>
      <c r="G346" s="171">
        <v>1</v>
      </c>
    </row>
    <row r="347" spans="1:7" x14ac:dyDescent="0.25">
      <c r="A347" t="s">
        <v>165</v>
      </c>
      <c r="B347" t="s">
        <v>24</v>
      </c>
      <c r="C347" t="str">
        <f t="shared" si="24"/>
        <v>Træ til energi</v>
      </c>
      <c r="D347">
        <f t="shared" si="25"/>
        <v>2050</v>
      </c>
      <c r="E347">
        <f>IF(SUMIFS(Restprodukter!$G$2:$G$37,Restprodukter!$A$2:$A$37,C347,Restprodukter!$B$2:$B$37,B347,Restprodukter!$C$2:$C$37,D347)&gt;=0,SUMIFS(Restprodukter!$G$2:$G$37,Restprodukter!$A$2:$A$37,C347,Restprodukter!$B$2:$B$37,B347,Restprodukter!$C$2:$C$37,D347)*IF(A347="Energi",1-VLOOKUP(C347,'Forbrug til andet'!$A$9:$D$14,MATCH('Forbrug af biomasse'!D347,'Forbrug til andet'!$A$8:$D$8,0),FALSE),VLOOKUP(C347,'Forbrug til andet'!$A$9:$D$14,MATCH('Forbrug af biomasse'!D347,'Forbrug til andet'!$A$8:$D$8,0),FALSE)),0)</f>
        <v>0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t="str">
        <f t="shared" ref="C348:C349" si="26">C342</f>
        <v>Have/parkaffald</v>
      </c>
      <c r="D348">
        <f t="shared" si="25"/>
        <v>2050</v>
      </c>
      <c r="E348">
        <f>IF(SUMIFS(Restprodukter!$G$2:$G$37,Restprodukter!$A$2:$A$37,C348,Restprodukter!$B$2:$B$37,B348,Restprodukter!$C$2:$C$37,D348)&gt;=0,SUMIFS(Restprodukter!$G$2:$G$37,Restprodukter!$A$2:$A$37,C348,Restprodukter!$B$2:$B$37,B348,Restprodukter!$C$2:$C$37,D348)*IF(A348="Energi",1-VLOOKUP(C348,'Forbrug til andet'!$A$9:$D$14,MATCH('Forbrug af biomasse'!D348,'Forbrug til andet'!$A$8:$D$8,0),FALSE),VLOOKUP(C348,'Forbrug til andet'!$A$9:$D$14,MATCH('Forbrug af biomasse'!D348,'Forbrug til andet'!$A$8:$D$8,0),FALSE)),0)</f>
        <v>0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t="str">
        <f t="shared" si="26"/>
        <v>Bioaffald</v>
      </c>
      <c r="D349">
        <f t="shared" si="25"/>
        <v>2050</v>
      </c>
      <c r="E349" t="e">
        <f>IF(SUMIFS(Restprodukter!$G$2:$G$37,Restprodukter!$A$2:$A$37,C349,Restprodukter!$B$2:$B$37,B349,Restprodukter!$C$2:$C$37,D349)&gt;=0,SUMIFS(Restprodukter!$G$2:$G$37,Restprodukter!$A$2:$A$37,C349,Restprodukter!$B$2:$B$37,B349,Restprodukter!$C$2:$C$37,D349)*IF(A349="Energi",1-VLOOKUP(C349,'Forbrug til andet'!$A$9:$D$14,MATCH('Forbrug af biomasse'!D349,'Forbrug til andet'!$A$8:$D$8,0),FALSE),VLOOKUP(C349,'Forbrug til andet'!$A$9:$D$14,MATCH('Forbrug af biomasse'!D349,'Forbrug til andet'!$A$8:$D$8,0),FALSE)),0)</f>
        <v>#REF!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7">År1</f>
        <v>2019</v>
      </c>
      <c r="E350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12818096.433914844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7"/>
        <v>2019</v>
      </c>
      <c r="E351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6000958.9027446285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7"/>
        <v>2019</v>
      </c>
      <c r="E352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3107.1675348074377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7"/>
        <v>2019</v>
      </c>
      <c r="E353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730307.97492940596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7"/>
        <v>2019</v>
      </c>
      <c r="E354" t="e">
        <f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#REF!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7"/>
        <v>2019</v>
      </c>
      <c r="E355" t="e">
        <f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#REF!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8">År2</f>
        <v>2030</v>
      </c>
      <c r="E356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1205986.6540704854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8"/>
        <v>2030</v>
      </c>
      <c r="E357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688125.32570079644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8"/>
        <v>2030</v>
      </c>
      <c r="E358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505.33084021018328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8"/>
        <v>2030</v>
      </c>
      <c r="E359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401728.76679519669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8"/>
        <v>2030</v>
      </c>
      <c r="E360" t="e">
        <f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#REF!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8"/>
        <v>2030</v>
      </c>
      <c r="E361" t="e">
        <f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#REF!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9">År3</f>
        <v>2050</v>
      </c>
      <c r="E362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1154583.3414063647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9"/>
        <v>2050</v>
      </c>
      <c r="E363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674976.54463514045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9"/>
        <v>2050</v>
      </c>
      <c r="E364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521.85506433322087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9"/>
        <v>2050</v>
      </c>
      <c r="E365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420665.19876426988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9"/>
        <v>2050</v>
      </c>
      <c r="E366" t="e">
        <f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#REF!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9"/>
        <v>2050</v>
      </c>
      <c r="E367" t="e">
        <f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#REF!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30">År1</f>
        <v>2019</v>
      </c>
      <c r="E368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1924034.2327518209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30"/>
        <v>2019</v>
      </c>
      <c r="E369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422965.94308870414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30"/>
        <v>2019</v>
      </c>
      <c r="E370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255.68246519256246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30"/>
        <v>2019</v>
      </c>
      <c r="E371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93457.017927737121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30"/>
        <v>2019</v>
      </c>
      <c r="E372" t="e">
        <f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#REF!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30"/>
        <v>2019</v>
      </c>
      <c r="E373" t="e">
        <f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#REF!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31">År2</f>
        <v>2030</v>
      </c>
      <c r="E374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174743.98704342762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31"/>
        <v>2030</v>
      </c>
      <c r="E375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48907.826151309069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31"/>
        <v>2030</v>
      </c>
      <c r="E376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42.412230894972893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31"/>
        <v>2030</v>
      </c>
      <c r="E377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54219.773738244621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31"/>
        <v>2030</v>
      </c>
      <c r="E378" t="e">
        <f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#REF!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31"/>
        <v>2030</v>
      </c>
      <c r="E379" t="e">
        <f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#REF!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2">År3</f>
        <v>2050</v>
      </c>
      <c r="E380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167295.79533098158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2"/>
        <v>2050</v>
      </c>
      <c r="E381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47973.289556822005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2"/>
        <v>2050</v>
      </c>
      <c r="E382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43.799102926323776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2"/>
        <v>2050</v>
      </c>
      <c r="E383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57097.370490994261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2"/>
        <v>2050</v>
      </c>
      <c r="E384" t="e">
        <f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#REF!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2"/>
        <v>2050</v>
      </c>
      <c r="E385" t="e">
        <f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#REF!</v>
      </c>
    </row>
    <row r="386" spans="1:7" x14ac:dyDescent="0.25">
      <c r="A386" t="s">
        <v>211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data'!$A$3:$J$470,MATCH(D386,'[1]Processer - data'!$A$2:$J$2,0),FALSE)</f>
        <v>0</v>
      </c>
      <c r="G386" s="171">
        <v>1</v>
      </c>
    </row>
    <row r="387" spans="1:7" x14ac:dyDescent="0.25">
      <c r="A387" t="s">
        <v>211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data'!$A$3:$J$470,MATCH(D387,'[1]Processer - data'!$A$2:$J$2,0),FALSE)</f>
        <v>0</v>
      </c>
      <c r="G387" s="171">
        <v>1</v>
      </c>
    </row>
    <row r="388" spans="1:7" x14ac:dyDescent="0.25">
      <c r="A388" t="s">
        <v>211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data'!$A$3:$J$470,MATCH(D388,'[1]Processer - data'!$A$2:$J$2,0),FALSE)</f>
        <v>0</v>
      </c>
      <c r="G388" s="171">
        <v>1</v>
      </c>
    </row>
    <row r="389" spans="1:7" x14ac:dyDescent="0.25">
      <c r="A389" t="s">
        <v>211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data'!$A$3:$J$470,MATCH(D389,'[1]Processer - data'!$A$2:$J$2,0),FALSE)</f>
        <v>0</v>
      </c>
      <c r="G389" s="171">
        <v>1</v>
      </c>
    </row>
    <row r="390" spans="1:7" x14ac:dyDescent="0.25">
      <c r="A390" t="s">
        <v>211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data'!$A$3:$J$470,MATCH(D390,'[1]Processer - data'!$A$2:$J$2,0),FALSE)</f>
        <v>0</v>
      </c>
      <c r="G390" s="171">
        <v>1</v>
      </c>
    </row>
    <row r="391" spans="1:7" x14ac:dyDescent="0.25">
      <c r="A391" t="s">
        <v>211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data'!$A$3:$J$470,MATCH(D391,'[1]Processer - data'!$A$2:$J$2,0),FALSE)</f>
        <v>0</v>
      </c>
      <c r="G391" s="171">
        <v>1</v>
      </c>
    </row>
    <row r="392" spans="1:7" x14ac:dyDescent="0.25">
      <c r="A392" t="s">
        <v>239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484833.6848947219</v>
      </c>
      <c r="G392" s="171">
        <v>1</v>
      </c>
    </row>
    <row r="393" spans="1:7" x14ac:dyDescent="0.25">
      <c r="A393" t="s">
        <v>239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370490.27594297461</v>
      </c>
      <c r="G393" s="171">
        <v>1</v>
      </c>
    </row>
    <row r="394" spans="1:7" x14ac:dyDescent="0.25">
      <c r="A394" t="s">
        <v>239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378080.80621229054</v>
      </c>
      <c r="G394" s="171">
        <v>1</v>
      </c>
    </row>
    <row r="395" spans="1:7" x14ac:dyDescent="0.25">
      <c r="A395" t="s">
        <v>239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193574.13238370849</v>
      </c>
      <c r="G395" s="171">
        <v>1</v>
      </c>
    </row>
    <row r="396" spans="1:7" x14ac:dyDescent="0.25">
      <c r="A396" t="s">
        <v>239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111531.10220983687</v>
      </c>
      <c r="G396" s="171">
        <v>1</v>
      </c>
    </row>
    <row r="397" spans="1:7" x14ac:dyDescent="0.25">
      <c r="A397" t="s">
        <v>239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116086.90219815794</v>
      </c>
      <c r="G397" s="171">
        <v>1</v>
      </c>
    </row>
    <row r="398" spans="1:7" x14ac:dyDescent="0.25">
      <c r="A398" t="s">
        <v>320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0</v>
      </c>
      <c r="G398" s="171">
        <v>1</v>
      </c>
    </row>
    <row r="399" spans="1:7" x14ac:dyDescent="0.25">
      <c r="A399" s="171" t="s">
        <v>320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0</v>
      </c>
      <c r="G399" s="171">
        <v>1</v>
      </c>
    </row>
    <row r="400" spans="1:7" x14ac:dyDescent="0.25">
      <c r="A400" s="171" t="s">
        <v>320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0</v>
      </c>
      <c r="G400" s="171">
        <v>1</v>
      </c>
    </row>
    <row r="401" spans="1:7" x14ac:dyDescent="0.25">
      <c r="A401" s="171" t="s">
        <v>320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0</v>
      </c>
      <c r="G401" s="171">
        <v>1</v>
      </c>
    </row>
    <row r="402" spans="1:7" x14ac:dyDescent="0.25">
      <c r="A402" s="171" t="s">
        <v>320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0</v>
      </c>
      <c r="G402" s="171">
        <v>1</v>
      </c>
    </row>
    <row r="403" spans="1:7" x14ac:dyDescent="0.25">
      <c r="A403" s="171" t="s">
        <v>320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0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316</v>
      </c>
      <c r="D404" s="171">
        <f t="shared" ref="D404:D411" si="33">År1</f>
        <v>2019</v>
      </c>
      <c r="E404" s="171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0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317</v>
      </c>
      <c r="D405" s="171">
        <f t="shared" si="33"/>
        <v>2019</v>
      </c>
      <c r="E405" s="171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0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316</v>
      </c>
      <c r="D406" s="171">
        <f>År2</f>
        <v>2030</v>
      </c>
      <c r="E406" s="171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0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317</v>
      </c>
      <c r="D407" s="171">
        <f>År2</f>
        <v>2030</v>
      </c>
      <c r="E407" s="171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0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316</v>
      </c>
      <c r="D408" s="171">
        <f>År3</f>
        <v>2050</v>
      </c>
      <c r="E408" s="171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0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317</v>
      </c>
      <c r="D409" s="171">
        <f>År3</f>
        <v>2050</v>
      </c>
      <c r="E409" s="171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0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316</v>
      </c>
      <c r="D410" s="171">
        <f t="shared" si="33"/>
        <v>2019</v>
      </c>
      <c r="E410" s="171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0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317</v>
      </c>
      <c r="D411" s="171">
        <f t="shared" si="33"/>
        <v>2019</v>
      </c>
      <c r="E411" s="171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0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316</v>
      </c>
      <c r="D412" s="171">
        <f>År2</f>
        <v>2030</v>
      </c>
      <c r="E412" s="171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0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317</v>
      </c>
      <c r="D413" s="171">
        <f>År2</f>
        <v>2030</v>
      </c>
      <c r="E413" s="171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0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316</v>
      </c>
      <c r="D414" s="171">
        <f>År3</f>
        <v>2050</v>
      </c>
      <c r="E414" s="171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0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317</v>
      </c>
      <c r="D415" s="171">
        <f>År3</f>
        <v>2050</v>
      </c>
      <c r="E415" s="171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D14" sqref="D14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193</v>
      </c>
      <c r="G1" t="s">
        <v>167</v>
      </c>
      <c r="H1" t="s">
        <v>230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tr">
        <f>'Forbrug til andet'!A12</f>
        <v>Træ til energi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andet'!A13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andet'!A14</f>
        <v>Bioaffald</v>
      </c>
      <c r="B7" t="s">
        <v>23</v>
      </c>
      <c r="C7">
        <f t="shared" si="0"/>
        <v>2019</v>
      </c>
      <c r="D7" s="171" t="e">
        <f>SUMIFS('Forbrug af biomasse'!E:E,'Forbrug af biomasse'!F:F,"",'Forbrug af biomasse'!B:B,Restprodukter!$B7,'Forbrug af biomasse'!C:C,Restprodukter!$A7,'Forbrug af biomasse'!D:D,Restprodukter!$C7)</f>
        <v>#REF!</v>
      </c>
      <c r="E7" t="e">
        <f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#REF!</v>
      </c>
      <c r="F7" t="e">
        <f t="shared" si="2"/>
        <v>#REF!</v>
      </c>
      <c r="G7" t="e">
        <f t="shared" si="3"/>
        <v>#REF!</v>
      </c>
      <c r="H7" t="e">
        <f t="shared" si="1"/>
        <v>#REF!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 t="e">
        <f>SUMIFS('Forbrug af biomasse'!E:E,'Forbrug af biomasse'!F:F,"",'Forbrug af biomasse'!B:B,Restprodukter!$B13,'Forbrug af biomasse'!C:C,Restprodukter!$A13,'Forbrug af biomasse'!D:D,Restprodukter!$C13)</f>
        <v>#REF!</v>
      </c>
      <c r="E13" t="e">
        <f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#REF!</v>
      </c>
      <c r="F13" t="e">
        <f>E13-D13</f>
        <v>#REF!</v>
      </c>
      <c r="G13" t="e">
        <f t="shared" si="3"/>
        <v>#REF!</v>
      </c>
      <c r="H13" t="e">
        <f t="shared" si="1"/>
        <v>#REF!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675226.59815047972</v>
      </c>
      <c r="E14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2384663.9131430849</v>
      </c>
      <c r="F14">
        <f>E14-D14</f>
        <v>1709437.3149926052</v>
      </c>
      <c r="G14">
        <f t="shared" si="3"/>
        <v>1709437.3149926052</v>
      </c>
      <c r="H14">
        <f t="shared" si="1"/>
        <v>710590.59860996436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118556.88830175188</v>
      </c>
      <c r="F15">
        <f t="shared" si="2"/>
        <v>118556.88830175188</v>
      </c>
      <c r="G15">
        <f t="shared" si="3"/>
        <v>118556.88830175188</v>
      </c>
      <c r="H15">
        <f t="shared" si="1"/>
        <v>35689.952707147801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154484.73733408173</v>
      </c>
      <c r="F16">
        <f t="shared" si="2"/>
        <v>154484.73733408173</v>
      </c>
      <c r="G16">
        <f t="shared" si="3"/>
        <v>154484.73733408173</v>
      </c>
      <c r="H16">
        <f t="shared" si="1"/>
        <v>42074.872472772768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2216341.6308326661</v>
      </c>
      <c r="F17">
        <f t="shared" si="2"/>
        <v>2216341.6308326661</v>
      </c>
      <c r="G17">
        <f t="shared" si="3"/>
        <v>2216341.6308326661</v>
      </c>
      <c r="H17">
        <f t="shared" si="1"/>
        <v>647088.73530897219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 t="e">
        <f>SUMIFS('Forbrug af biomasse'!E:E,'Forbrug af biomasse'!F:F,"",'Forbrug af biomasse'!B:B,Restprodukter!$B19,'Forbrug af biomasse'!C:C,Restprodukter!$A19,'Forbrug af biomasse'!D:D,Restprodukter!$C19)</f>
        <v>#REF!</v>
      </c>
      <c r="E19" t="e">
        <f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#REF!</v>
      </c>
      <c r="F19" t="e">
        <f t="shared" si="2"/>
        <v>#REF!</v>
      </c>
      <c r="G19" t="e">
        <f t="shared" si="3"/>
        <v>#REF!</v>
      </c>
      <c r="H19" t="e">
        <f t="shared" si="1"/>
        <v>#REF!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95087.675111391232</v>
      </c>
      <c r="E20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805678.2737213556</v>
      </c>
      <c r="F20">
        <f t="shared" si="2"/>
        <v>710590.59860996436</v>
      </c>
      <c r="G20">
        <f t="shared" si="3"/>
        <v>710590.59860996436</v>
      </c>
      <c r="H20">
        <f t="shared" si="1"/>
        <v>1709437.3149926052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35689.952707147801</v>
      </c>
      <c r="F21">
        <f t="shared" si="2"/>
        <v>35689.952707147801</v>
      </c>
      <c r="G21">
        <f t="shared" si="3"/>
        <v>35689.952707147801</v>
      </c>
      <c r="H21">
        <f t="shared" si="1"/>
        <v>118556.88830175188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42074.872472772768</v>
      </c>
      <c r="F22">
        <f t="shared" si="2"/>
        <v>42074.872472772768</v>
      </c>
      <c r="G22">
        <f t="shared" si="3"/>
        <v>42074.872472772768</v>
      </c>
      <c r="H22">
        <f t="shared" si="1"/>
        <v>154484.73733408173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647088.73530897219</v>
      </c>
      <c r="F23">
        <f t="shared" si="2"/>
        <v>647088.73530897219</v>
      </c>
      <c r="G23">
        <f t="shared" si="3"/>
        <v>647088.73530897219</v>
      </c>
      <c r="H23">
        <f t="shared" si="1"/>
        <v>2216341.6308326661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 t="e">
        <f>SUMIFS('Forbrug af biomasse'!E:E,'Forbrug af biomasse'!F:F,"",'Forbrug af biomasse'!B:B,Restprodukter!$B25,'Forbrug af biomasse'!C:C,Restprodukter!$A25,'Forbrug af biomasse'!D:D,Restprodukter!$C25)</f>
        <v>#REF!</v>
      </c>
      <c r="E25" t="e">
        <f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#REF!</v>
      </c>
      <c r="F25" t="e">
        <f t="shared" si="2"/>
        <v>#REF!</v>
      </c>
      <c r="G25" t="e">
        <f t="shared" si="3"/>
        <v>#REF!</v>
      </c>
      <c r="H25" t="e">
        <f t="shared" si="1"/>
        <v>#REF!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674829.12423315702</v>
      </c>
      <c r="E26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2256002.8108293898</v>
      </c>
      <c r="F26">
        <f t="shared" si="2"/>
        <v>1581173.6865962329</v>
      </c>
      <c r="G26">
        <f t="shared" si="3"/>
        <v>1581173.6865962329</v>
      </c>
      <c r="H26">
        <f t="shared" si="1"/>
        <v>688009.43316682125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120985.85798793298</v>
      </c>
      <c r="F27">
        <f t="shared" si="2"/>
        <v>120985.85798793298</v>
      </c>
      <c r="G27">
        <f t="shared" si="3"/>
        <v>120985.85798793298</v>
      </c>
      <c r="H27">
        <f t="shared" si="1"/>
        <v>37147.808703410541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158491.06742829576</v>
      </c>
      <c r="F28">
        <f t="shared" si="2"/>
        <v>158491.06742829576</v>
      </c>
      <c r="G28">
        <f t="shared" si="3"/>
        <v>158491.06742829576</v>
      </c>
      <c r="H28">
        <f t="shared" si="1"/>
        <v>43858.564110476924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2235295.9759470159</v>
      </c>
      <c r="F29">
        <f t="shared" si="2"/>
        <v>2235295.9759470159</v>
      </c>
      <c r="G29">
        <f t="shared" si="3"/>
        <v>2235295.9759470159</v>
      </c>
      <c r="H29">
        <f t="shared" si="1"/>
        <v>624603.98534617631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 t="e">
        <f>SUMIFS('Forbrug af biomasse'!E:E,'Forbrug af biomasse'!F:F,"",'Forbrug af biomasse'!B:B,Restprodukter!$B31,'Forbrug af biomasse'!C:C,Restprodukter!$A31,'Forbrug af biomasse'!D:D,Restprodukter!$C31)</f>
        <v>#REF!</v>
      </c>
      <c r="E31" t="e">
        <f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#REF!</v>
      </c>
      <c r="F31" t="e">
        <f t="shared" si="2"/>
        <v>#REF!</v>
      </c>
      <c r="G31" t="e">
        <f t="shared" si="3"/>
        <v>#REF!</v>
      </c>
      <c r="H31" t="e">
        <f t="shared" si="1"/>
        <v>#REF!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95485.149028714004</v>
      </c>
      <c r="E32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783494.5821955353</v>
      </c>
      <c r="F32">
        <f t="shared" si="2"/>
        <v>688009.43316682125</v>
      </c>
      <c r="G32">
        <f t="shared" si="3"/>
        <v>688009.43316682125</v>
      </c>
      <c r="H32">
        <f t="shared" si="1"/>
        <v>1581173.6865962329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37147.808703410541</v>
      </c>
      <c r="F33">
        <f t="shared" si="2"/>
        <v>37147.808703410541</v>
      </c>
      <c r="G33">
        <f t="shared" si="3"/>
        <v>37147.808703410541</v>
      </c>
      <c r="H33">
        <f t="shared" si="1"/>
        <v>120985.85798793298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43858.564110476924</v>
      </c>
      <c r="F34">
        <f t="shared" si="2"/>
        <v>43858.564110476924</v>
      </c>
      <c r="G34">
        <f t="shared" si="3"/>
        <v>43858.564110476924</v>
      </c>
      <c r="H34">
        <f t="shared" si="1"/>
        <v>158491.06742829576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624603.98534617631</v>
      </c>
      <c r="F35">
        <f t="shared" si="2"/>
        <v>624603.98534617631</v>
      </c>
      <c r="G35">
        <f t="shared" si="3"/>
        <v>624603.98534617631</v>
      </c>
      <c r="H35">
        <f t="shared" si="1"/>
        <v>2235295.9759470159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 t="e">
        <f>SUMIFS('Forbrug af biomasse'!E:E,'Forbrug af biomasse'!F:F,"",'Forbrug af biomasse'!B:B,Restprodukter!$B37,'Forbrug af biomasse'!C:C,Restprodukter!$A37,'Forbrug af biomasse'!D:D,Restprodukter!$C37)</f>
        <v>#REF!</v>
      </c>
      <c r="E37" t="e">
        <f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#REF!</v>
      </c>
      <c r="F37" t="e">
        <f t="shared" si="2"/>
        <v>#REF!</v>
      </c>
      <c r="G37" t="e">
        <f t="shared" si="3"/>
        <v>#REF!</v>
      </c>
      <c r="H37" t="e">
        <f t="shared" si="1"/>
        <v>#REF!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410" zoomScale="80" zoomScaleNormal="80" workbookViewId="0">
      <selection activeCell="M418" sqref="M418:O43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3727146.4907319495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3852150.2091205032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4002333.5486616795</v>
      </c>
      <c r="M3">
        <f>SUMIF($F$3:$F$472,"Roer",H3:H472)</f>
        <v>376449.39511597221</v>
      </c>
      <c r="N3" s="171">
        <f>SUMIF($F$3:$F$472,"Roer",I3:I472)</f>
        <v>4923583.0761439931</v>
      </c>
      <c r="O3" s="171">
        <f>SUMIF($F$3:$F$472,"Roer",J3:J472)</f>
        <v>5024574.3595380196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303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304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530462.48766233202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526734.10986839118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524881.97503939818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191617.83362271384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190271.03966005245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878.90231344976178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144989.33878430488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-142.38217477886138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-23488.272883057391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76.5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10800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-15.861000000000001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-447.84000000000003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1333916.9387477553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1262358.4040746661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1634998.8306815128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1547288.6314050737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-434670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-411351.94520750927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-372113.28071606322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-896872.67486777669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-592783.78179574793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16398.219881514029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108383.26407385738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4099.5549703785073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27095.816018464346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-114799.70238307542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-758763.24069855735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173417.68247712258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60029.197780542447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-35874.906994711069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7971.3568868470975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3985.6784434235497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-89687.267486777666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14231744.940235101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11179450.521719089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10702943.763836339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15352538.506892066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12059866.540704856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11545833.414063649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1968084.6638925183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1545987.8753404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1480092.5373921432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160864.90802355704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126364.07464315755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120978.00174055072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-8783081404.0200005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-6899366479.4311991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-6605291672.6084795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-674539.66619999998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-529870.57138021174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-507285.65921701177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1150151.6436268529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903477.64426614856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864968.30946007557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224727.20289902308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250001.99508437468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412474.2353108211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243586.51339107481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270982.38903804816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447089.44687999511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7449.8701829066958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8287.7479220134319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13673.82082462027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-406756309.19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-452503691.13680112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-746578497.95952106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-27458.796750000001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-30547.05385711979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-50399.088521119782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58591.57596922417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65181.298474246374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107541.56676092674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411928.1258385395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320710.24991141836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305215.91139179375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11953488.544958346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9306493.1916532889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8856872.5263272319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234254.90515230247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182381.20793873124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173569.90185730331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4474552.90572685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3483702.3515116847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3315395.7147551631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50974.141893857719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39686.364587318778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37769.014057677145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-3101358722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-2414589993.7588573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-2297934929.6948571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-12971.687549999999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-10099.220944102173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-9611.3015585021712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3354535.1850575823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2611702.7463139286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2485524.6572905863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21677.657032824009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19991.394030461786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24638.981899308401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1171427.2358122203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1080304.1774153388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1331452.6757126269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9671.5700607984036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8919.2373366675656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10992.77653969144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447449.07465188007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412642.87678260863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508573.85715239123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8943.0621574433171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8247.3986537220499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10164.749183363683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-544112030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-501786607.84114248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-618441671.90514243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-2743.422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-2530.0165101234074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-3118.1933037234076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492157.47803573997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453873.49996140599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559389.75206455449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97185929.8774468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75949470.02073957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72316591.351941347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6185.7778797696892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4834.1004940422599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4602.8717499465147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137099.40658193204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107141.30412896334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102016.43152338694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202533.97911315371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158277.5242695417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150706.6611481533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8553.8229892246891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6684.6952383134503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6364.9472962665268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-336558388.31999999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-263015760.16375715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-250434970.00951719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-7976.870891999999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-6233.8150947903478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-5935.6340294463489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12995.753733500585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10156.003135680934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9670.2126865601167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1144367.3520506443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1041493.740480428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1295897.5887379702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2021.8344763254286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1840.0804143941255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2289.5536280394222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7613.0179455684893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6928.640984266608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8621.0879583398764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14016.013855362682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12756.03561276813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15871.930046182108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1438.3001997417073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1309.0033128596663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1628.7512549065907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-56591304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-51503993.692242816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-64084783.846482813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-2526.3975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-2299.2854326894117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-2860.9278502894113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2403.7175816775175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2187.6339015735002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2722.0033956064012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5979978.6547463266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4688506.9969091984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4648196.2391557153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1951850.0829625647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2056610.6420093102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1900635.8217001741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-136490240.33657807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-99825558.304963022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-92254716.648876071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1939606.81668759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1418580.0603067866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1310993.9351157292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197993.19645791754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111796.04760086381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114384.54421676249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64624.484340873139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49039.265886152367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46771.554168873641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-3059809.2652792772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-1611668.6303805837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-1537140.6012300362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376396.41994728032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198256.24737469372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189088.32842095065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116765.5313169249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71852.349000698814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73515.99960574256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38111.977508016003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31517.987646306181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30060.508448789125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-1189785.3201235472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-682967.64788402733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-651385.3289067311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487237.24792620342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279686.82379027107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266753.32904852438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512288.11454099719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490260.64493692142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660607.28368606966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167209.55986589513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215052.52320201407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270120.66678102477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-11692738.705643302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-10438406.645877348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-13111352.154037235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248001.06469683221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221396.88802475863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278089.62260030617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16961.525644387857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11690.118503466048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16256.470072018667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5536.1995665140876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5127.8631206965101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6647.2299712732547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-262125.33687237542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-168526.50591667491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-218460.28544754154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48126.616225455735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30941.726468882833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40109.645422625894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10002.977825723143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7513.3467827898357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10448.182974270687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3264.9469548714701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3295.724835385427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4272.2358977218482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-101925.59431142393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-71415.518787410721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-92575.672502199057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62298.892335309647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43650.544753394912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56584.039495141536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150765.11162055825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178329.32553102204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176796.08899185038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-1462628.9238441708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-1613843.0099978768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-1491448.0032086263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16627.855729329058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18346.928809189772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16955.484621464453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2306.9008244740317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1302.5821038158078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1332.7417511380027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-18183.839849707405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-9577.8271535376043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-9134.9218516399105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1491.2328682247362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785.46504894346981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749.14296575533228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686.36538368376091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422.35893190592401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432.13812078956232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-4518.3955317975597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-2593.6762845931198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-2473.7374968662707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973.87343605045032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559.02862365711928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533.17758903713695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10987.921619592245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15864.094334811727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21376.254396287361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-106597.95095164997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-143566.72788362612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-180329.62220613388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2126.0628128443682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2863.3935135729703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3596.6179500076114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168.1293846502677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115.87710160534844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161.14059354668581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-1325.2575802461581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-852.03907452568637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-1104.4950966073709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190.67129268097077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122.5870307599635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158.90911394810081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50.023038866573799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37.572855271862259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52.249427331828905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-329.30547005237952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-230.7322428895267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-299.09735189383088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124.52093225416603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87.247241842440587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113.09827646242299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18236.102309973223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19958.567943102735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18449.455553785181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-15603369.829116948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-17077164.38427062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-15785921.424345665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3378.7899137386457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3697.9288069656591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3418.3200598193143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1329.066523912735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1775.5049748228382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2230.7068987758444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-1137190.1817400893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-1519176.6466700858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-1908661.4085799758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432.01719481741156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577.13339761891791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725.09819450712723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1850258.7939976691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1545241.6146092198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1531955.9651608609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-6534799.6524023823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-5090980.2288279133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-4704876.6513354834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99054.247748754948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77168.887141772459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71316.343612368961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75029.927467991118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42365.341298400272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43346.257394591979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-176661.96949607978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-93051.732880512078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-88748.762573898814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23542.701854494557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12400.457271583722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11827.025721452683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74843.560387776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46055.42030071569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47121.775526598212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-113286.31602235936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-65029.285100948444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-62022.150529806306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51547.406552955894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29589.548982112399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28221.24613900893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134848.82799393893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137463.97947303986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185227.40306035863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-476263.14608548256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-452891.24694602075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-568862.35875238117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12665.226113397273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12043.699149293971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15127.709251108568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5468.2608813162569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3768.801170996418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5240.956575891576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-12875.312153591285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-8277.8391273472898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-10730.532202116854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3010.2055094474103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1935.3314816922575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2508.7630318232964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5454.6782503755512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4097.0688926474822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5697.4510409432396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-8256.4271511228308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-5784.9751312346616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-7499.0418367856728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6590.9294592629785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4618.022095474189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5986.3249385776526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9377249.6664450914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20694034.653696515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20516111.869659446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-29292093.879463714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-60301112.547205016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-55727833.093198992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429685.60558446439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884556.77388185076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817471.35623339622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1187184.2593990122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670338.730568339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685859.579228185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-2591931.239451021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-1365227.015333388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-1302095.1302312659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318841.32463721925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167940.71670343023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160174.6720003814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1421322.1657873134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874618.86351881211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894869.56125816668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-2148310.4077800992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-1233185.9212836758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-1176159.9827272054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837875.72596093966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480962.40901614353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458721.37276106171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935211.68689167371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2519169.7676696456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3394483.963889109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-2921358.5543774571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-7340701.9089256525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-9220423.2936020177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54940.252195975947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138052.21326479755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173403.0149585992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118400.23816969505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81603.084773232491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113478.5849268452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-258498.4374926165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-166194.68753133615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-215437.55791099134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40767.534584363588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26210.400872789687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33976.445575838487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141751.2754340893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106470.94373240569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148060.23649907848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-214255.25307450022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-150120.7832499088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-194601.0153239558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107132.05910299365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75063.497360901019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97304.533615982786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227506.41036576603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198669.48686870435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196961.37007087242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67541.817252888533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79264.908013529246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73253.400763838348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134010.3740454606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109164.43364893465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100885.32501517503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9345.9404573331649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5277.1470077505037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5399.332697354941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2774.6110600167954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2105.4696357053253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2008.1068779848476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32266.283111051216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16995.358795448854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16209.446249994571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3702.1136020833915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2278.1171427648283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2330.8640747111231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1099.0788345670949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908.9203813398658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866.88938104669285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28054.741810923333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16104.149801251846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15359.449232407831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16580.909059022317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17673.545681556996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23814.420199478205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4922.5194479169131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7051.3695625908395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8857.0020923550001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17134.769355189386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17037.223748677665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21399.917427461369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681.14207659001795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469.45255751029043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652.82840795291543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202.21660385890681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187.30160516476852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242.79837706544058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4125.6158188884119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2652.4548409082026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3438.367386362484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269.81397519140432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202.66024755578439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281.82265630598124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80.102033939855289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80.857136813991531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104.81480698110012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3587.1217707853484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2513.3644198485545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3258.0649886925698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345562.72197585326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4518285.3117263559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4479438.0827935226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-574139.38653041748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-7002761.2633525226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-6471666.8464472126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9669.7591800427253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117941.76919503704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108996.98116303275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3765.9342889773907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2126.4193748279954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2175.6539361013506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-4055.43529925238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-2136.0866928895298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-2037.3081174957942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617.65030316910463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325.32995747754416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310.28579759418949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1548.442836537469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952.84330781266669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974.90519399455104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-1020.9044365488588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-586.02563836620595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-558.92618688106347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557.43688618611748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319.98323778511235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305.1863250551649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25184.97855976026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401944.5719506857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541604.78637412598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-41843.88888189412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-622962.40371673589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-782483.35507043567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1236.3900515198202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18407.096926393064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23120.571761855434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274.46529470267637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189.16528426938063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263.05633954679962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-295.56443611213086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-190.02528441369861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-246.32907238812783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78.973703061042258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50.774039606321921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65.818199489676559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112.85216014109164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84.764500041832036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117.8749007284321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-74.404600701819234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-52.132569794542832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-67.579257141074024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71.274724385396382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49.939580463572447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64.736493193519834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22720.469700023845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28639.099571212086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28392.866856649849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-374660.27773890906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-440539.56585993303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-407128.73046868219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5260.4828405136559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6185.4724518954326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5716.3618023128201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865.32022470025004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488.59952140396285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499.9124276723424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-11890.933594231939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-6263.2154485005403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-5973.5869884542717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905.55356946975951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476.97492049732955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454.9182767749096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576.59340131419003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354.81010393622921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363.02528482173392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-6791.4417115923443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-3898.4637758230629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-3718.187994282112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1382.6256855599813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793.66302172301653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756.96184152773253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1655.8919868178593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2547.7210543407746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3432.9557199403907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-27305.639358598386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-39190.196061181334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-49225.564683940669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672.61330185195686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965.36275260795776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1212.5615944299923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63.065457934219985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43.465587482121322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60.443957164019572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-866.62388209568098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-557.17275001400765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-722.26097224038006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115.78545065749256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74.441172563167044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96.497816285586893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42.022740088301042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31.56374277213045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43.893057164809647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-494.96749220613719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-346.80553473940427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-449.56273021774621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176.78461384335924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123.8664831590835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160.56766335436751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1410243.012533868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889585.65459409577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881937.19169386837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-6724808.9652137514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-3957117.8143912707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-3657007.172428072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107614.03120203332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63323.940077826213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58521.407224424431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53709.796346617048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30327.016566325976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31029.200421988789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-187769.53484407938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-98902.331097338974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-94328.812896305957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24022.02410201143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12652.926809123981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12067.820367083566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35788.732627988727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22022.804830128913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22532.715126590461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-92586.925666000592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-53147.297901066311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-50689.619385410064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35134.438446015294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20168.079383186116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19235.451434830688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102780.01004170519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79137.128463601912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106634.22408662227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-490111.22681001009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-352023.37088717712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-442165.41266630322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13759.692987674753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9882.9270641694075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12413.63183548397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3914.4270588688114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2697.877369686455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3751.7124146586439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-13684.84332507006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-8798.3056392372655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-11405.211013826085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3071.492377844826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1974.7342418864021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2559.8406839268173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2608.3208824239759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1959.1385337322772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2724.4101016695731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-6747.8335755651324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-4727.9590444937021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-6128.8357984177601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4492.342503218043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3147.6193256995675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4080.2472740549938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6482362.7921532476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5011192.8252289798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4968107.6852970216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-23302135.402033687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-16803846.947789624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-15529431.190792952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331137.08758742217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238792.57598298136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220682.37642974351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266294.8115655054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150362.27487729816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153843.72389120501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-648137.60023057926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-341388.28531406302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-325601.54379664967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79729.372392022284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41995.208610634007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40053.233645980406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105484.6913011686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64910.618468653665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66413.542050012024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-169279.28122278876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-97170.70010598356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-92677.257326516105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69322.733873832651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39793.048122148248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37952.907168522899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687941.11987552466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649137.75267850538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874688.05004774837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-2472940.4443964041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-2176729.5381500898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-2734121.0672274861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42339.689454451029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37268.205500234093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46811.413182066812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28260.552017725568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19477.564046244228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27085.819266906095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-68783.639674685895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-44222.609675654057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-57325.605135107107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10194.318286939981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6554.1655057058852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8496.1404703594817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11194.568861725998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8408.3639299568149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11692.808463956662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-17964.77334423404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-12587.256585983192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-16316.814092941169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8863.7097274002645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6210.4757184855662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8050.6166721109175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436106.27464553615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331398.16745020711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328548.87848533195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232926.54181955408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237874.25042587353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219833.69733892803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-17345135.923402004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-12295344.153618181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-11362856.469354367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225357.35915605063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159747.74141929686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147632.35858809573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11407.483483912159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6441.1888357212947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6590.3264471255488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6092.7939661749042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4623.4201532780698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4409.6203774039395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-313273.69416046649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-165008.12365367546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-157377.6901899217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34550.187381981341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18198.341252564318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17356.799460538223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5464.7424062050713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3362.7610317964691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3440.6215263101758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2918.7462428661593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2413.7558332156741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2302.1370663617699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-102020.35336259467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-58562.330190049237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-55854.245556983376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36329.620262329074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20854.144759918803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19889.791245009263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30668.664765661808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28446.605703095818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38330.702489955387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16380.287194663799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20418.685657943479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25647.264689541596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-1219776.4395433674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-1055409.5993134684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-1325666.5880913427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28814.533196688037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24931.728429601244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31315.954852020295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802.21796183116862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552.89973532058536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768.87141883131392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428.46862450383622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396.86583396635467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514.45571069712628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-22030.606906348377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-14163.992117092956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-18360.73052215753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4417.6392774487476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2840.2035480880736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3681.7453401141684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384.3016315755155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288.65318683339638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401.40584473618719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205.25742293264071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207.19233597255931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268.58265774220655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-7174.4622777896566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-5026.8821001285041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-6516.3286483147276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4645.1602600963715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3254.6931128196979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4219.046627729238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711399.98164280283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959054.33163231891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950808.59224015288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118184.45884859512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214121.57001522297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197882.43717926473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-7468054.9445148157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-9391653.9231852219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-8679384.1803605724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113200.49642276853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142358.33751012647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131561.77949418829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63575.679900016126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35897.747314111104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36728.91442095473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10561.790158560272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8014.6470970260507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7644.0275780884294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-500548.23188054201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-263649.72891233605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-251457.83393373093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59293.43955865829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31231.154702492393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29786.939456134362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54606.120392299716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33602.193864491768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34380.210323674139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9071.6825343208366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7502.1344139856974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7155.2149035123684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-327564.57521950954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-188030.56625759034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-179335.5111705341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111786.03641670461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64168.085676050519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61200.775355770711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51847.586981155284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85317.029848678532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114961.40251630939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8613.4090077190758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19048.155852799315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23925.78558622019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-544279.78395730944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-835477.19004520553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-1049416.4508981418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14473.986890291675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22217.775218343435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27907.044135130851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4633.4631410733318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3193.4470009489587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4440.8596527154359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769.75449543603963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712.97929955624807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924.23242535069198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-36480.487293181584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-23454.157965091628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-30403.538102896557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7581.3489690642873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4874.2264564583511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6318.4417028163807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3979.7521082376875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2989.2356275984293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4156.8799754987822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661.15386758582895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667.38640827306278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865.13052924285921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-23873.254489576524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-16727.112223724362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-21683.293623346395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14293.131892022484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10014.6723309443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12981.982651224092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671116.11556488532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630305.44197743817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624886.21363907715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-1476455.4542427477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-1293537.2876402647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-1195434.4956573648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26384.183365892331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23115.445094971714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21362.353225559131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25559.786201072951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14432.228611503813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14766.388679971789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-42599.643668454919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-22438.166373606673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-21400.563304306943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4541.8438095685351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2392.2887204218396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2281.6626524254539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17031.387504718623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10480.36338423961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10723.02299283639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-21897.498220352514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-12569.732203912112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-11988.472911245653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6934.6200187671584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3980.6518395226949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3796.5754538800256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48911.655993936409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56071.680647588284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75554.424012724761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-107605.64318666011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-115072.47894094611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-144538.89811129955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3373.5216383041152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3607.6128182903835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4531.4082599670874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1862.824392010257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1283.8843834164375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1785.39063130568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-3104.7073200170953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-1996.0889045653566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-2587.5226540662029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580.72702713187982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373.36297948780157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483.98904748418721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1241.2656281231627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932.32828025114225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1296.510961861127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-1595.9129504440664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-1118.1975642670948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-1449.5153610869743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886.67101658223703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621.25780154400434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805.33418718667212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120418.55608782951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118234.19798149291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117217.6462058101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-592459.29595212115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-542642.02804938902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-501487.66898485716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9704.9491751457172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8888.9031508130938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8214.7623857245562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20477.362879112719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11562.459095204431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11830.173266516264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-83957.187804362155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-44222.091688748289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-42177.139471927563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7459.3823026973923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3929.0202156362775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3747.3314195374901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19611.217719488592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12067.876915532306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12347.293399632554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-68919.42227134564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-39561.536796654415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-37732.101569063459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16369.335913013036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9396.4235873856196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8961.9068897030465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8776.2323896765447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10518.059577659977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14172.679041247946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-43179.063357208601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-48273.183882543912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-60634.418159078174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1240.8894975813275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1387.2854628436623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1742.5253545476332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1492.4119769693252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1028.5910143074923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1430.3754949515117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-6118.8891055742333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-3933.9768271088792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-5099.5995906966946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953.76791684457555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613.19968683340744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794.88848293219473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1429.2863969008301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1073.5527498846368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1492.9000201373901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-5022.92076625149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-3519.3760190781009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-4562.1540988049455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2093.0080776578347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1466.4938546786805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1901.0105523612524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1641051.5457713443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1621606.8216653448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1607664.6008682679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-5950150.6373145189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-5484745.9414719753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-5068778.8910308909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233923.55186918346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215626.684084804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199273.40232257242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327244.33575082856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721412.14189979096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738115.53104502044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-988773.07152172015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-2033354.7485892207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-1939326.7833365398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210839.92574728845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433580.13740267023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413530.18885225768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410092.10534101515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651539.44861149741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666625.02358527971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-1062084.5989356032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-1574068.518572781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-1501279.2229162364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605424.21262551891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897272.39659684058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855780.03143629304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209827.33566007458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253083.1455778284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341019.76382054167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-760795.2707036786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-856000.811674817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-1075195.5223398861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29909.819568635943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33652.719481443404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42270.115644182035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41841.956309893176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112590.33428493848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156569.96113076189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-126426.02220779905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-317344.38272779743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-411372.34798047814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26958.312177529657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67668.576357642174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87718.524908054649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52434.997584728757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101685.34747115859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141405.30803324116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-135799.74511739551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-245663.87284083871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-318453.16849738348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77410.456610368681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140036.73241684798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181529.0975773955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640280.13059892249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613803.17949896643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687223.1739007252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693636.80814883276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664953.44445721374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744491.77172578557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3160794.2116654618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2502141.5052936058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2455663.5565474145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123050.04950946826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97408.630707357341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95599.239297688866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16168.776505544129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12799.494074946755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12561.740043716316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1638157.7192038004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1296795.0922933305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1272706.7760624508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1394376.9846055224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1102410.4206254377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1072120.6999068451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19793.458911774498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21120.452678686721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20540.149189969037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124355.90277843094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98317.201590938494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95615.847791748558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122702.02440075704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97009.626395618849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94344.199404397878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108094.85577035608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84934.510833187902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82230.492590145455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46730.877781272859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41193.926040245511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39882.455279742353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6920.1731003712566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5437.460580082532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5264.3508222216306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71128.867816474158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55888.835329455884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54109.529970176744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185576.29959415729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145303.11165081069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138927.00099994309</v>
      </c>
    </row>
    <row r="417" spans="1:15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507.16810392744208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535.94813157761189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512.42995257070322</v>
      </c>
    </row>
    <row r="418" spans="1:15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5290666613.2844982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4232533290.6275983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4232533290.6275983</v>
      </c>
      <c r="N418" s="171"/>
      <c r="O418" s="171"/>
    </row>
    <row r="419" spans="1:15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146913194.13793731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117530555.31034985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117530555.31034985</v>
      </c>
      <c r="M419" s="171"/>
      <c r="N419" s="171"/>
      <c r="O419" s="171"/>
    </row>
    <row r="420" spans="1:15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  <c r="M420" s="171"/>
      <c r="N420" s="171"/>
      <c r="O420" s="171"/>
    </row>
    <row r="421" spans="1:15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69873348.431457981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55898678.745166384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55898678.745166384</v>
      </c>
      <c r="M421" s="171"/>
      <c r="N421" s="171"/>
      <c r="O421" s="171"/>
    </row>
    <row r="422" spans="1:15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128101138.7910063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102480911.03280504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102480911.03280504</v>
      </c>
      <c r="M422" s="171"/>
      <c r="N422" s="171"/>
      <c r="O422" s="171"/>
    </row>
    <row r="423" spans="1:15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1498693742.6388359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1198954994.1110687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1198954994.1110687</v>
      </c>
      <c r="M423" s="171"/>
      <c r="N423" s="171"/>
      <c r="O423" s="171"/>
    </row>
    <row r="424" spans="1:15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215890730.41001761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172712584.32801408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172712584.32801408</v>
      </c>
      <c r="M424" s="171"/>
      <c r="N424" s="171"/>
      <c r="O424" s="171"/>
    </row>
    <row r="425" spans="1:15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  <c r="M425" s="171"/>
      <c r="N425" s="171"/>
      <c r="O425" s="171"/>
    </row>
    <row r="426" spans="1:15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  <c r="M426" s="171"/>
      <c r="N426" s="171"/>
      <c r="O426" s="171"/>
    </row>
    <row r="427" spans="1:15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2035285226.1060581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1628228180.8848464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1628228180.8848464</v>
      </c>
      <c r="M427" s="171"/>
      <c r="N427" s="171"/>
      <c r="O427" s="171"/>
    </row>
    <row r="428" spans="1:15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146017381.97855964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116813905.5828477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116813905.5828477</v>
      </c>
      <c r="M428" s="171"/>
      <c r="N428" s="171"/>
      <c r="O428" s="171"/>
    </row>
    <row r="429" spans="1:15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  <c r="M429" s="171"/>
      <c r="N429" s="171"/>
      <c r="O429" s="171"/>
    </row>
    <row r="430" spans="1:15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  <c r="M430" s="171"/>
      <c r="N430" s="171"/>
      <c r="O430" s="171"/>
    </row>
    <row r="431" spans="1:15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108393271.28469765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86714617.027758121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86714617.027758121</v>
      </c>
      <c r="M431" s="171"/>
      <c r="N431" s="171"/>
      <c r="O431" s="171"/>
    </row>
    <row r="432" spans="1:15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3588623510.4669328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2870898808.3735456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2870898808.3735456</v>
      </c>
      <c r="M432" s="171"/>
      <c r="N432" s="171"/>
      <c r="O432" s="171"/>
    </row>
    <row r="433" spans="1:13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8534106.1751940791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9115316.0605718922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9051481.7494498603</v>
      </c>
      <c r="L433" s="132"/>
      <c r="M433" s="125"/>
    </row>
    <row r="434" spans="1:13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270953.680396009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278082.42537508241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276828.90937738947</v>
      </c>
      <c r="L434" s="127"/>
      <c r="M434" s="125"/>
    </row>
    <row r="435" spans="1:13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3881990.8998577143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3434062.4452771964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3421381.7726310147</v>
      </c>
      <c r="L435" s="127"/>
      <c r="M435" s="125"/>
    </row>
    <row r="436" spans="1:13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30413304.875726663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130246558.63961244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124695000.87188742</v>
      </c>
      <c r="L436" s="127"/>
      <c r="M436" s="125"/>
    </row>
    <row r="437" spans="1:13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-32257.365042424757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-138143.84213505097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-132255.674893794</v>
      </c>
      <c r="L437" s="127"/>
      <c r="M437" s="125"/>
    </row>
    <row r="438" spans="1:13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57342790.956111364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131808458.6134809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129289846.81388581</v>
      </c>
      <c r="L438" s="127"/>
      <c r="M438" s="125"/>
    </row>
    <row r="439" spans="1:13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-119673.00061953654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-275081.02564076782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-269824.74448619323</v>
      </c>
      <c r="L439" s="127"/>
      <c r="M439" s="125"/>
    </row>
    <row r="440" spans="1:13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53759.86093242302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78688.592910464984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81261.695206454198</v>
      </c>
      <c r="L440" s="127"/>
      <c r="M440" s="125"/>
    </row>
    <row r="441" spans="1:13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40271680.293017551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63670219.643012308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66671465.464525796</v>
      </c>
      <c r="L441" s="127"/>
      <c r="M441" s="125"/>
    </row>
    <row r="442" spans="1:13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31482143.493156105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25521575.389295254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25409883.749353029</v>
      </c>
      <c r="L442" s="128"/>
      <c r="M442" s="125"/>
    </row>
    <row r="443" spans="1:13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310039.29866931034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1657725.1509563283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1649699.8451419007</v>
      </c>
      <c r="L443" s="127"/>
      <c r="M443" s="125"/>
    </row>
    <row r="444" spans="1:13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 t="e">
        <f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#REF!</v>
      </c>
      <c r="I444" s="281" t="e">
        <f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#REF!</v>
      </c>
      <c r="J444" s="282" t="e">
        <f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#REF!</v>
      </c>
      <c r="L444" s="127"/>
      <c r="M444" s="125"/>
    </row>
    <row r="445" spans="1:13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73468664.440101922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52165656.986353792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51820277.872833423</v>
      </c>
      <c r="L445" s="127"/>
      <c r="M445" s="125"/>
    </row>
    <row r="446" spans="1:13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  <c r="L446" s="127"/>
      <c r="M446" s="125"/>
    </row>
    <row r="447" spans="1:13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  <c r="L447" s="127"/>
      <c r="M447" s="125"/>
    </row>
    <row r="448" spans="1:13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1991.3211030641837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1977.3250193561946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1970.3722276763394</v>
      </c>
      <c r="L448" s="127"/>
      <c r="M448" s="125"/>
    </row>
    <row r="449" spans="1:13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  <c r="L449" s="128"/>
      <c r="M449" s="125"/>
    </row>
    <row r="450" spans="1:13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3" ht="15.75" thickBot="1" x14ac:dyDescent="0.3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20296537.965774857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20820332.183769889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21602494.19547702</v>
      </c>
      <c r="L451" s="142"/>
      <c r="M451" s="125"/>
    </row>
    <row r="452" spans="1:13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 t="e">
        <f>SUMIFS('Forbrug af biomasse'!$E$1:$E$425,'Forbrug af biomasse'!$A$1:$A$425,"Biogas",'Forbrug af biomasse'!$B$1:$B$425,$A$1,'Forbrug af biomasse'!$D$1:$D$425,H$2)*'[1]Processer - data'!H452</f>
        <v>#REF!</v>
      </c>
      <c r="I452" s="287" t="e">
        <f>SUMIFS('Forbrug af biomasse'!$E$1:$E$425,'Forbrug af biomasse'!$A$1:$A$425,"Biogas",'Forbrug af biomasse'!$B$1:$B$425,$A$1,'Forbrug af biomasse'!$D$1:$D$425,I$2)*'[1]Processer - data'!I452</f>
        <v>#REF!</v>
      </c>
      <c r="J452" s="288" t="e">
        <f>SUMIFS('Forbrug af biomasse'!$E$1:$E$425,'Forbrug af biomasse'!$A$1:$A$425,"Biogas",'Forbrug af biomasse'!$B$1:$B$425,$A$1,'Forbrug af biomasse'!$D$1:$D$425,J$2)*'[1]Processer - data'!J452</f>
        <v>#REF!</v>
      </c>
    </row>
    <row r="453" spans="1:13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data'!H$453</f>
        <v>67935911.099748671</v>
      </c>
      <c r="I453" s="287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data'!I$453</f>
        <v>6391729.2665735725</v>
      </c>
      <c r="J453" s="288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data'!J$453</f>
        <v>6119291.7094537327</v>
      </c>
    </row>
    <row r="454" spans="1:13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data'!H$453</f>
        <v>48007671.221957028</v>
      </c>
      <c r="I454" s="287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data'!I$453</f>
        <v>5505002.6056063715</v>
      </c>
      <c r="J454" s="288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data'!J$453</f>
        <v>5399812.3570811236</v>
      </c>
    </row>
    <row r="455" spans="1:13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data'!H$453</f>
        <v>21750.172743652063</v>
      </c>
      <c r="I455" s="287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data'!I$453</f>
        <v>3537.3158814712829</v>
      </c>
      <c r="J455" s="288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data'!J$453</f>
        <v>3652.985450332546</v>
      </c>
    </row>
    <row r="456" spans="1:13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10224311.649011683</v>
      </c>
      <c r="I456" s="287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5624202.7351327538</v>
      </c>
      <c r="J456" s="288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5889312.7826997787</v>
      </c>
    </row>
    <row r="457" spans="1:13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 t="e">
        <f>H452*'[1]Processer - data'!H$457*Biogasanlæg!AA$3</f>
        <v>#REF!</v>
      </c>
      <c r="I457" s="287" t="e">
        <f>I452*'[1]Processer - data'!I$457*Biogasanlæg!AB$3</f>
        <v>#REF!</v>
      </c>
      <c r="J457" s="288" t="e">
        <f>J452*'[1]Processer - data'!J$457*Biogasanlæg!AC$3</f>
        <v>#REF!</v>
      </c>
    </row>
    <row r="458" spans="1:13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 t="e">
        <f>-SUMIFS('Resultater - Vestdanmark'!H$3:H$482,'Resultater - Vestdanmark'!$F$3:$F$482,"Gødning",'Resultater - Vestdanmark'!$A$3:$A$482,"&lt;&gt;Gødning")-SUM(H453:H457)</f>
        <v>#REF!</v>
      </c>
      <c r="I458" s="287" t="e">
        <f>-SUMIFS('Resultater - Vestdanmark'!I$3:I$482,'Resultater - Vestdanmark'!$F$3:$F$482,"Gødning",'Resultater - Vestdanmark'!$A$3:$A$482,"&lt;&gt;Gødning")-SUM(I453:I457)</f>
        <v>#REF!</v>
      </c>
      <c r="J458" s="288" t="e">
        <f>-SUMIFS('Resultater - Vestdanmark'!J$3:J$482,'Resultater - Vestdanmark'!$F$3:$F$482,"Gødning",'Resultater - Vestdanmark'!$A$3:$A$482,"&lt;&gt;Gødning")-SUM(J453:J457)</f>
        <v>#REF!</v>
      </c>
    </row>
    <row r="459" spans="1:13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11.985300912376998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17.668413036653398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16.342705013193797</v>
      </c>
    </row>
    <row r="460" spans="1:13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2.8236713808268599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4.1494910905613152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4.2345050295776536</v>
      </c>
    </row>
    <row r="461" spans="1:13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3.1685732410795864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2.8425191669471035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2.9162356406806413</v>
      </c>
    </row>
    <row r="462" spans="1:13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33.750241076188566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32.122700134129985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32.397416241013886</v>
      </c>
    </row>
    <row r="463" spans="1:13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9.4691817325671721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9.4026271924825835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9.3695650972414288</v>
      </c>
    </row>
    <row r="464" spans="1:13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 t="e">
        <f>SUMIFS('Forbrug af biomasse'!$E$1:$E$425,'Forbrug af biomasse'!$A$1:$A$425,$F464,'Forbrug af biomasse'!$C$1:$C$425,$D464,'Forbrug af biomasse'!$B$1:$B$425,$A$1,'Forbrug af biomasse'!$D$1:$D$425,H$2)*'[1]Processer - data'!H464</f>
        <v>#REF!</v>
      </c>
      <c r="I464" s="291" t="e">
        <f>SUMIFS('Forbrug af biomasse'!$E$1:$E$425,'Forbrug af biomasse'!$A$1:$A$425,$F464,'Forbrug af biomasse'!$C$1:$C$425,$D464,'Forbrug af biomasse'!$B$1:$B$425,$A$1,'Forbrug af biomasse'!$D$1:$D$425,I$2)*'[1]Processer - data'!I464</f>
        <v>#REF!</v>
      </c>
      <c r="J464" s="292" t="e">
        <f>SUMIFS('Forbrug af biomasse'!$E$1:$E$425,'Forbrug af biomasse'!$A$1:$A$425,$F464,'Forbrug af biomasse'!$C$1:$C$425,$D464,'Forbrug af biomasse'!$B$1:$B$425,$A$1,'Forbrug af biomasse'!$D$1:$D$425,J$2)*'[1]Processer - data'!J464</f>
        <v>#REF!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 t="e">
        <f>SUM(H433:H451)*'[1]Processer - data'!$H$467</f>
        <v>#REF!</v>
      </c>
      <c r="I467" s="287" t="e">
        <f>SUM(I433:I451)*'[1]Processer - data'!$H$467</f>
        <v>#REF!</v>
      </c>
      <c r="J467" s="288" t="e">
        <f>SUM(J433:J451)*'[1]Processer - data'!$H$467</f>
        <v>#REF!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x14ac:dyDescent="0.25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2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242416.84244736095</v>
      </c>
      <c r="I471" s="303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185245.1379714873</v>
      </c>
      <c r="J471" s="304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189040.40310614527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155146.779166311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118556.88830175188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120985.85798793298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46" zoomScale="80" zoomScaleNormal="80" workbookViewId="0">
      <selection activeCell="H472" sqref="H47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SUMIF($F$3:$F$472,"Roer",H3:H472)</f>
        <v>2252973.7408705982</v>
      </c>
      <c r="N3" s="171">
        <f>SUMIF($F$3:$F$472,"Roer",I3:I472)</f>
        <v>1508318.1394402247</v>
      </c>
      <c r="O3" s="171">
        <f>SUMIF($F$3:$F$472,"Roer",J3:J472)</f>
        <v>1571187.4884325294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303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304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M4" s="171" t="e">
        <f>SUMIF($F$3:$F$472,"Bioaffald",H3:H472)</f>
        <v>#REF!</v>
      </c>
      <c r="N4" s="171" t="e">
        <f>SUMIF($F$3:$F$472,"Bioaffald",I3:I472)</f>
        <v>#REF!</v>
      </c>
      <c r="O4" s="171" t="e">
        <f>SUMIF($F$3:$F$472,"Bioaffald",J3:J472)</f>
        <v>#REF!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-145665.52516434077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-109241.28287606536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2663.3159619376597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19973.432427345255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665.82899048441493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4993.3581068363137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-18645.187221035616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-139828.84208136366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28165.623168904222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9749.6387892360799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-5826.6210065736304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1294.6674814974735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647.33374074873689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-14566.552516434074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2136227.0597648998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1619870.1291811671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1550825.6746305928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2304461.4931079326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1747439.8704342765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1672957.9533098161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295415.33610748179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224009.18314141617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214461.13877310805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24146.299060980604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18309.789870119137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17529.363444725979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-1318366527.9400001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-999698298.99885452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-957087707.86189473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-101250.40139999999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-76776.717177954502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-73504.228560354517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172641.16763381023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130911.30422612706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125331.41270768401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7300.7971009769335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36224.567861015261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59766.326756290277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7913.4866089252109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39264.566418903487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64781.971051799803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242.02673255564358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1200.8707647098604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1981.2971901030198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-13214445.09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-65566479.42514535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-108177070.56210533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-892.06425000000002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-4426.1799791952308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-7302.6825311952289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1903.4865492896727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9444.5821084449508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15582.462778732337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28671.874161460488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22794.163449276428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21692.918681289459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832011.45504165464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661449.78842651786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629493.44484708668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16305.094847697548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12962.563762711534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12336.308907816358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311447.09427315003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247600.69511628913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235638.46756389324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3548.0077474534546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2820.6690661142875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2684.3952757559205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-215867190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-171614592.91035649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-163323449.74235648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-902.88225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-717.79212848296538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-683.11374128296541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233489.30229120082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185624.18661968777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176656.20388227972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1722.3429671759945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1420.8685354930128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1751.1912412893646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93072.7641877797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76781.549706449339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94631.680538906046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768.42993920159756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633.92596198919023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781.30070765217795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35550.925348119883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29328.183873637823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36146.383313793289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710.54820124551452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586.17569284488786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722.44948320325477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-43231034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-35663986.289643541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-43955129.457643531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-217.9716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-179.81841826711027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-221.62250146711023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39103.117544225825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32258.609590036394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39758.072727427665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8381070.1225531893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6374410.9849512335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6069504.8192194803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533.44592409892732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405.72427013864109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386.31732699607659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11823.107951660928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8992.3301083624119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8562.2014422302946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17466.020886846287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13284.174189749368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12648.754442470523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737.66017754835775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561.0440039478965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534.20767719482114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-29023948.800000001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-22074815.668171618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-21018914.594251622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-687.90527999999995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-523.2017999274442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-498.17557317544419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1120.7211113095154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852.38959447123887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811.61738138779606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80339.647949355684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87412.185210291747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108764.20629093802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141.94171980595465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154.43726998364264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192.16139089876592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534.46752083856347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581.51828036235077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723.56473019319401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983.98614463731735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1070.6093605689982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1332.1252302502314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100.97503348524653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109.86416487898698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136.70049163206232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-3972959.7600000002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-4322711.179828384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-5378612.2537483834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-177.36427499999999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-192.97817767090999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-240.11661847090997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168.75160230287838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183.60730587631363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228.45674026810067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2050859.7378424879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1429105.5040805461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1446149.8252657517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669395.49128244352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626876.22950838739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591327.04817660281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-46809922.689700156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-30427864.331989396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-28702347.211129479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665196.60976250691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432397.89841410023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407877.28242223198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27941.849064152942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15807.50285438189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16173.505665057821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9120.1496799168617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6933.9511736563081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6613.3060326779805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-431816.49766284862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-227883.33775461648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-217345.37993937408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53119.057334325189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28032.620683186826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26736.314524426736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17419.002948073918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11078.80316982528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11335.318897605612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5685.5190147439562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4859.7100345183553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4634.9835589336908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-177491.36894308048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-105305.73109296802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-100436.10190947815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72685.722938236315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43124.481148638362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41130.285488585716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175691.44121500885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149436.52351917388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205528.56607564774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57345.247183975865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65550.236946859717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84040.116846917197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-4010075.6910701026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-3181734.4841947295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-4079212.3763696142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85053.045820675907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67484.065070408717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86519.423544109814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2393.7003792651926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1652.9348360449044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2298.5982293673087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781.29781954121086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725.05882503724069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939.89106949271911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-36992.516560208642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-23828.957109716841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-30889.388845929232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6791.8831080941573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4375.033285815286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5671.3394445753684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1492.2374631505099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1158.4713834805743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1610.9892615081917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487.06257737866866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508.16274291582118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658.72948155754591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-15205.191187594357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-11011.448991166426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-14274.100544104624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9293.7066016947356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6730.4103526776635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8724.6060127303044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79382.462637587189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54356.625856239647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55004.91374470725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-770119.05905611347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-491916.06834122166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-464020.26899468317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8755.0768343454401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5592.3339693151429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5275.2013600614973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499.82869849372969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282.76738450634605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289.31450699939148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-3939.8334376901089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-2079.1757583080207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-1983.0289024325054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323.10057535558866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170.51047827254712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162.62560066456805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157.19958443228344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99.981799158956548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102.29675173848246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-1034.856822305195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-613.98114679222374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-585.58895503304575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223.0481068481555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132.33456984649141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126.21505216572879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5785.478271838314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4835.5403001591212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6650.5941164055112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-56127.095769740605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-43760.625963996536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-56104.26888753895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1119.437381710318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872.79200677172753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1118.9821066797115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36.428046934984714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25.154855766200381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34.980754028108237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-287.13924954030608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-184.96251399052281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-239.76622183956653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41.312128830928614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26.611461926929326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34.496339534908373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11.45687283886752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8.8943346188227839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12.368607255652877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-75.421465409104954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-54.61947889671864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-70.803028199450068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28.519268699737236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20.653372172573807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26.772889853336412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9513.5863477905532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6070.7214776899573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5726.8171351632291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-8140116.9867659071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-5194295.9485457521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-4900040.8192932047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1762.6798231887965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1124.7848991677165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1061.0662105976953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693.36028731789952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540.04857538525096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692.42425361519042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-593260.38009379094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-462082.16559606418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-592459.48087817826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225.37891139039866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175.54446403195573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225.07465073284445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104910.18611455506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471005.6523383949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476623.13236039522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-370524.95033607027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-1551783.5146624425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-1463784.271823596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5616.4032839463534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23521.876245631913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22187.987027060775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1750.6053726466703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990.36750794385637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1013.2982196981856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-4121.8938012983772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-2175.2548186413396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-2074.6650004382718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549.30054904663734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289.88341859260265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276.47840501606606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1845.915969818406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1174.0361809811022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1201.219509431693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-2794.0549437266272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-1657.7144021995252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-1581.0570888030154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1271.3476011272733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754.29126163837566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719.41074086897106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7645.9658984285725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41900.445025941619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57628.06963993868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-27004.252301040244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-138045.94387661846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-176984.82559321658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718.12182871381867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3671.0442695494903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4706.5427027098622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127.58598070016448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88.102635533271382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122.51696656350789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-300.40800239605193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-193.50966276815154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-250.84585914390013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70.234399998019043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45.241920820810819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58.646934397347358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134.53231835071648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104.44171575317434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145.23835886765016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-203.63369477528411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-147.46950664653579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-191.16417528254641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162.55642946119403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117.72175759674072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152.60227836614536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1219312.186444331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6307756.1459814962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6382986.0162766455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-3808814.7702311832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-18380403.804494981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-17338079.535300989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55871.488321742392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269622.06840250688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254332.21795115346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63522.285434047881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35936.372929728066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36768.434364031891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-138685.62922252828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-73188.829646116588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-69804.375096007134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17060.139966839099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9003.179960112735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8586.8479388358446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80390.415202441174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51129.768415755148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52313.613778413965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-121509.09190211787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-72091.413984747458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-68757.706979672424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47390.506613773643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28116.814781173754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26816.615253720633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121604.4199838896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767869.04297323886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1056094.0499657723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-379860.64283560839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-2237521.989148349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-2868664.0685679815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7143.8131021069394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42079.744779582004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53949.258353274978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6335.2033729641935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4374.6821612720996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6083.5045947761864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-13831.392558198058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-8909.5766031630956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-11549.451152248455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2181.3353300534141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1405.1205718095021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1821.4525930863913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8017.4953729155104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6224.236548183836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8655.5251887921277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-12118.342462085115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-8775.9836908600082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-11376.27515481853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6059.4219383129521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4388.1734051542853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5688.3729326074072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24612.677857086128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60556.517749486411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61278.749058114612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7306.9808769558731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24160.76512144462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22790.645502950778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14497.851557614207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33274.45028457306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31387.507677402606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416.06078973908456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235.37748365531598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240.82735270682102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123.51960448705799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93.910619514131341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89.567931906541432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1436.4242201645229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758.04687290627828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722.9926822516527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174.21569511364672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110.80435550829287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113.3698907433492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51.720936667380549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44.208585753622167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42.164258088714782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1320.212416786286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783.28278482250096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747.0616155821541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1793.798128990067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5387.0798159803235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7409.1578406629487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532.54053466904622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2149.3304925955649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2755.596228993139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1853.7172540181223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5193.122298748397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6657.9561739944929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30.322952687784319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20.939072100897761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29.118216281824715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9.0022400938663676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8.3542452851010474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10.829577221427281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183.66337594414472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118.30789345936137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153.36208411398692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12.697025075863115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9.8571042270094082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13.70745042624131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3.7694768510062779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3.9327753453655787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5.0980421143627872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168.80435878655354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122.24644618617069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158.46761542651754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2086504.8977723797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1377220.1709949747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1393645.6783281683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-3466648.9346714136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-2134514.1794213997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-2013469.1819439486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58385.9270874953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35949.873089394714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33911.211393270474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9356.9392533941373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5293.4880442848644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5416.0520900000693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-10076.241067785293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-5317.5537733620231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-5071.6553329753397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1534.6301669440738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809.87328310737632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772.42249544923175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4066.8673481557489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2586.6017132162474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2646.491216691737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-2681.3278608799519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-1590.8333592291856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-1517.2688108255236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1464.065587437058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868.63095355671726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828.46304818993258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152066.69520013814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122516.869546894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168504.43201604218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-252653.05989809873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-189885.3943427476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-243446.72836231376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7465.313050269966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5610.6738347610244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7193.2872652391916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681.94368054022107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470.90624856383846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654.84993451819003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-734.36716149284473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-473.0471246938817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-613.20923571429103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196.22013701105115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126.39640834623793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163.84719600438248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296.39761599009711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230.1028922913182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319.9848471090919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-195.4180251325493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-141.51979999154429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-183.45159258163147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187.19764302048543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135.56668061289807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175.73458597968269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14347.680241215498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8729.4942411541961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8833.607130794464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-236593.07818258772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-134281.02352214055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-126666.154382263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3321.9262940682847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1885.3960828403881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1778.4781872875585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224.85874801283754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127.2090223121897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130.15438693672888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-3089.9317551822983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-1630.6555345060033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-1555.249498228269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235.31362850101124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124.18250662536892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118.43996296639233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158.38219565292272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100.73396143707008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103.06632938639916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-1865.5146720014454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-1106.8109259035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-1055.6289177692342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379.7880644246078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225.3284766621083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214.90866271241543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1045.6741895977941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776.57177093273447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1068.0634076324213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-17243.155069928289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-11945.577757258628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-15315.089575309981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424.74652629870178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294.25256784214145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377.25294881857297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16.38794461190048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11.31645579991098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15.736848602349943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-225.19751135316716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-145.06236228929129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-188.04380296759976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30.08755687175195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19.381084849046019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25.123628508022612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11.543062801911081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8.9612466272630531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12.461656189446442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-135.96069260201509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-98.461388148294034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-127.63513278482559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48.560277024239056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35.166872080213437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45.586686029906303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359549.63570951426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271154.92334118381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274388.87044388597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-1714529.0507869916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-1206170.5042926839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-1137770.4406823968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27436.821435762409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19301.792951348078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18207.218128828263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5634.9095864199426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3187.8294513369001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3261.6396255239879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-19699.653022370087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-10396.135181594165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-9915.389046029115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2520.246642234029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1330.0145314169347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1268.5109692704866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3969.0221549749999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2524.3703880597795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2582.819003614567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-10268.023823285401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-6092.0244292996404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-5810.3123169620849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3896.4599848887397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2311.7719460194639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2204.8691970705872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26204.359702741542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24121.816590871786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33176.108880942571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-124956.70000878678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-107300.37029516997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-137566.78964614432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3508.1135359104669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3012.4185531005674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3862.1371788423589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410.6782013659747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283.58783385014385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394.36188199517301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-1435.7316557940972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-924.83537829326133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-1198.8606755653386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322.2425520446742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207.57452224426149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269.07808439070931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289.2665542877732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224.56682238289022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312.28629770976124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-748.34449260594852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-541.94367610937263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-702.51958014177922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498.20727401405861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360.79677770245979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467.69952665133667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323273.59927012771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1527463.4874736806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1545680.8816442573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-1162070.902790843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-5121986.6321292222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-4831526.6928405175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16513.712914339278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72786.450973800223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68658.843924169618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5464.7230908847241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3091.5500852944588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3163.1310320756588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-13300.644084007601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-7019.1740810152432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-6694.5879963440175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1636.1525775550244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863.44989704439536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823.5215781059261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2288.2245944856058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1455.3525231168544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1489.0493770027558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-3672.0874835279487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-2178.6516121482823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-2077.9047167888239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1503.7820431610533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892.19474953925908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850.93718886692341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34307.429102438567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197863.91187448081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272133.51279857982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-123324.84062885126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-663489.71344517847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-850641.51773949701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2111.4683396751602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11359.73512307865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14563.99719603598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579.94404871994413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400.47189255172731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556.90276655635091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-1411.5316096306585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-909.24676968526933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-1178.6532199623862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209.20094616550776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134.7580764173334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174.68639535580252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242.83796518803848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188.52283261877869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262.16293576927308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-389.70049296793417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-282.21724062568217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-365.83716377403238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192.2758491913404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139.24426726913293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180.5018279414686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177969.97824137105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101013.59461711594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102218.33992514975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95054.655228607488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72506.535830436711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68394.802335617322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-7078351.4073272571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-3747748.273828716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-3535219.2661860092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91965.758433844385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48692.766519758341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45931.475047732638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1915.6352087060125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1083.7296042953458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1108.8219977517138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1023.1503431459247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777.89014124472283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741.91834280566036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-52607.406299691625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-27762.606114107224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-26478.786178194747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5801.9418138675701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3061.8697367012819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2920.2803847150949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970.05512563764921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616.97272988911175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631.25795604595646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518.11129287869664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442.85678096765122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422.37785468012976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-18109.795364988582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-10744.551987008117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-10247.694091655139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6448.9287377801475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3826.1531225001299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3649.2211861995452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12515.531003246944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8670.8201159778728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11925.47299126747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6684.6076864892084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6223.8269195490475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7979.3936058220197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-497776.80126550345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-321699.77957431471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-412442.24772170105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11758.881135608359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7599.4491100200885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9743.040161640256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134.71481023026971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93.025344646161201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129.36256640436665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71.951853718038194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66.772650852509457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86.557139993993729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-3699.5544476115733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-2383.0907560375276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-3089.1917207893875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741.84506610753328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477.86406295337923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619.45341493956573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68.217994516528847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52.959797912446881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73.646761538694932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36.435571961250638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38.014006921211688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49.277416379348473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-1273.5502223053275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-922.29246824896279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-1195.5643106930997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824.56979392080507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597.14528501447114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774.077221315055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533476.73476254696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292329.69577555696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295816.18520026724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88626.174913066206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65266.472771150577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61565.312053592097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-5600272.2373240925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-2862673.4102970543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-2700335.6291434513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84888.716282593246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43392.296059618711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40931.586068691817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19618.292165198382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11098.628751714377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11355.603515862538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3259.1752922503911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2477.9157290165494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2363.3300305649173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-154460.03049042419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-81513.48428868987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-77744.074610600175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18296.871108113697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9655.8424264707883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9209.3294818941049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17812.105731467851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11328.823700605051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11591.128338742388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2959.114606618693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2529.3097973610966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2412.3474945929538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-106849.10053628395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-63393.632690994433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-60462.135225514932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36463.764238355216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21633.972256718655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20633.557354673863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38880.351590888582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26005.514554831338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35766.866028759585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6459.1698498517517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5806.075236693684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7443.8059119343161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-408153.79453945684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-254662.1028004142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-326495.12606916274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10853.999809499195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6772.2080555474295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8682.457650934628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1429.8019900252984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987.32888143863761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1372.9956978270159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237.5321602645615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220.43423739632777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285.74808551375816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-11257.211235050621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-7251.4018682250708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-9399.9653847362006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2339.4656465387015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1506.9811879463082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1953.4941325229918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1298.165202502795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1007.8069176434207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1401.4727900479434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215.66341848867819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225.00622995021553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291.6747425280571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-7787.2760428250604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-5639.468249216211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-7310.4218045395319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4662.312112003121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3376.4002944011777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4376.8151964459712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132407.14540962569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192123.62847612135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194415.0036206884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-291295.71990117652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-394283.56590248778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-371924.35475262126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5205.4395989305913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7045.8271335145691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6646.2691751626544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2075.102347154057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1173.9447235743173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1201.1259344438934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-3458.5039119234279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-1825.162816502359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-1740.7622238317294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368.73511677680449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194.59328120447103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185.59474796958216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1461.6254375303615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929.62040242373098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951.14459149287632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-1879.232705396179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-1114.9498429922146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-1063.3914687497997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595.12573571760834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353.08844066711117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336.76065150331408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9649.9735250189897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17091.229145939349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23506.541346865048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-21229.941755041782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-35075.28369502478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-44969.035620089657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665.57538963205775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1099.637760721927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1409.8146735193507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151.23566518854705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104.43357974455924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145.22704480094345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-252.05944198091174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-162.36564015012317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-210.47397797238182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47.147030400691499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30.370049667749818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39.368582902638643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106.52481580225133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82.698601117348062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115.00202788050234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-136.96047746003742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-99.18542244884496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-128.57369576702126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76.093677758106608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55.106288427815031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71.43407759161208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30701.40932395155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36039.008412974523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36468.830027147276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-151050.93387384163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-165402.91174611441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-156023.16846396922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2474.3330826602437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2709.4297665419317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2555.7821953904954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2148.3620538691534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1215.3898341091012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1243.5306542910553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-8808.2844208635306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-4648.4126117978685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-4433.4571152985454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782.59363664275531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412.99962134128094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393.90137295555706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2174.912378814317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1383.2838899177418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1415.3120854105096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-7643.2635026903145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-4534.7526241972882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-4325.0530808818066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1815.3830026986316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1077.0677777251983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1027.2611752870387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2237.5513514799004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3206.013522980797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4409.4130851005339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-11008.75264928111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-14714.166542038731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-18864.619459734458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316.37197479141111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422.85898090538819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542.13561720404448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156.57491049939674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108.12051761236455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150.35416092791846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-641.95713304752667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-413.52063639057332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-536.04526939518769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100.06360744999898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64.456588301818414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83.554836687542391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158.50992640815937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123.05629517823145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171.12409759963427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-557.04916994867449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-403.40949645315754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-522.93823614298196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232.11761973009638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168.09728322878817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217.90388566694759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432346.04194797156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494282.55856805464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500177.65214961587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-1567607.1136619709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-1671807.383162329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-1577001.7723921426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61628.729475109525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65725.247132055942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61998.070030116462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35477.25037276862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77753.345320381952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79553.626059779548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-107194.97937143044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-219153.69141077931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-209019.41666346003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22857.602155742003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46730.993546559053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44570.022746718168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46996.225732903971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70222.510539305498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71848.424288419978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-121714.04157490926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-169652.11142721825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-161806.92708376306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69381.128263989667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96707.452573943272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92235.431645668432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55280.419618069624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77142.364632008524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106098.28984991852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-200436.61935485722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-260917.91529123051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-334515.52747712121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7879.9426740734016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10257.697529280407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13151.1057639641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4536.174955287267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12134.915165608745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16875.011588438083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-13706.112386050478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-34203.177272202549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-44337.452019521821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2922.6076245295421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7293.2764494629737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9454.2472493038549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6009.0085878318096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10959.582569718201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15240.574849058785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-15562.541665367786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-26477.497159161238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-34322.681502616411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8871.1761225514183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15093.070632927565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19565.091561202396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187413.07432328182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178637.61286448501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184169.19735067486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203030.83051688864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193524.08060319209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199516.63046323109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222833.98833453824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177837.22990030446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174533.85571503793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8674.9504905317481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6923.221974748174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6794.6212719421637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1139.8884944558718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909.71136748191009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892.81323513320024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115489.08079619991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92168.427114874314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90456.37389070644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206750.71206041813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159736.08962264023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155347.1964728414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2934.8675209995276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3060.2926630894976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2976.2083616824511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18438.823741508058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14245.87887682287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13854.46050441212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18193.595560018719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14056.415003223578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13670.202321642862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7577.0634215631153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6036.6362564051497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5844.4508372651044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3275.6676732725955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2927.8175036130328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2834.6060179118035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485.07942488126918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386.46212662561334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374.15852199671258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4985.8796582732966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3972.2436306328855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3845.7812640674751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15969.006082579654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12195.236527675561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11660.091914249606</v>
      </c>
    </row>
    <row r="417" spans="1:10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43.642267650662333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44.981928858219973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43.008056775021096</v>
      </c>
    </row>
    <row r="418" spans="1:10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649382479.82762504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519505983.86209995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519505983.86210006</v>
      </c>
    </row>
    <row r="419" spans="1:10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18032293.716852441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14425834.973481953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14425834.973481957</v>
      </c>
    </row>
    <row r="420" spans="1:10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</row>
    <row r="421" spans="1:10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8576334.816551771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6861067.8532414157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6861067.8532414176</v>
      </c>
    </row>
    <row r="422" spans="1:10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15723280.49701158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12578624.397609264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12578624.397609266</v>
      </c>
    </row>
    <row r="423" spans="1:10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183951386.51398861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147161109.21119085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147161109.21119091</v>
      </c>
    </row>
    <row r="424" spans="1:10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26498675.522935595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21198940.418348476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21198940.41834848</v>
      </c>
    </row>
    <row r="425" spans="1:10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</row>
    <row r="426" spans="1:10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</row>
    <row r="427" spans="1:10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249813239.78468746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199850591.82774997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199850591.82775</v>
      </c>
    </row>
    <row r="428" spans="1:10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17922340.706383828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14337872.565107062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14337872.565107064</v>
      </c>
    </row>
    <row r="429" spans="1:10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</row>
    <row r="430" spans="1:10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</row>
    <row r="431" spans="1:10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13304314.266702106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10643451.413361685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10643451.413361687</v>
      </c>
    </row>
    <row r="432" spans="1:10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440471759.93726146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352377407.94980913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352377407.94980925</v>
      </c>
    </row>
    <row r="433" spans="1:10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3660894.2248059185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3079684.3394281087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3143518.6505501424</v>
      </c>
    </row>
    <row r="434" spans="1:10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90230.719603990976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83101.974624917522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84355.490622610581</v>
      </c>
    </row>
    <row r="435" spans="1:10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508955.35014228517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956883.80472280353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969564.47736898623</v>
      </c>
    </row>
    <row r="436" spans="1:10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4565127.1242733356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18872350.600690186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18067945.895746015</v>
      </c>
    </row>
    <row r="437" spans="1:10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-4841.9260160802014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-20016.644196433852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-19163.465749854124</v>
      </c>
    </row>
    <row r="438" spans="1:10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4041695.3438886409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9368155.6809073556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9189147.8411482479</v>
      </c>
    </row>
    <row r="439" spans="1:10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-8434.9192170182378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-19551.111515712801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-19177.526537353628</v>
      </c>
    </row>
    <row r="440" spans="1:10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4423.7890675769768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6604.3045580417247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6820.2640839801934</v>
      </c>
    </row>
    <row r="441" spans="1:10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5153539.7069824543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8593322.6302123554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9049394.5683839954</v>
      </c>
    </row>
    <row r="442" spans="1:10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1520456.5068438919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7481024.610704748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7592716.250646973</v>
      </c>
    </row>
    <row r="443" spans="1:10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1855522.7013306897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507836.8490436718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515862.15485809901</v>
      </c>
    </row>
    <row r="444" spans="1:10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 t="e">
        <f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#REF!</v>
      </c>
      <c r="I444" s="281" t="e">
        <f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#REF!</v>
      </c>
      <c r="J444" s="282" t="e">
        <f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#REF!</v>
      </c>
    </row>
    <row r="445" spans="1:10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28680457.689898066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22315029.973646216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22359190.167166591</v>
      </c>
    </row>
    <row r="446" spans="1:10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</row>
    <row r="447" spans="1:10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</row>
    <row r="448" spans="1:10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1698.0788969358161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1712.0749806438052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1719.0277723236602</v>
      </c>
    </row>
    <row r="449" spans="1:10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</row>
    <row r="450" spans="1:10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25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16800254.634225141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17619254.17166714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18442985.604932848</v>
      </c>
    </row>
    <row r="452" spans="1:10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 t="e">
        <f>SUMIFS('Forbrug af biomasse'!$E$1:$E$425,'Forbrug af biomasse'!$A$1:$A$425,"Biogas",'Forbrug af biomasse'!$B$1:$B$425,$A$1,'Forbrug af biomasse'!$D$1:$D$425,H$2)*'[1]Processer - data'!H452</f>
        <v>#REF!</v>
      </c>
      <c r="I452" s="287" t="e">
        <f>SUMIFS('Forbrug af biomasse'!$E$1:$E$425,'Forbrug af biomasse'!$A$1:$A$425,"Biogas",'Forbrug af biomasse'!$B$1:$B$425,$A$1,'Forbrug af biomasse'!$D$1:$D$425,I$2)*'[1]Processer - data'!I452</f>
        <v>#REF!</v>
      </c>
      <c r="J452" s="288" t="e">
        <f>SUMIFS('Forbrug af biomasse'!$E$1:$E$425,'Forbrug af biomasse'!$A$1:$A$425,"Biogas",'Forbrug af biomasse'!$B$1:$B$425,$A$1,'Forbrug af biomasse'!$D$1:$D$425,J$2)*'[1]Processer - data'!J452</f>
        <v>#REF!</v>
      </c>
    </row>
    <row r="453" spans="1:10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data'!H$453</f>
        <v>10197381.433584651</v>
      </c>
      <c r="I453" s="287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data'!I$453</f>
        <v>926143.13133016636</v>
      </c>
      <c r="J453" s="288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data'!J$453</f>
        <v>886667.71525420237</v>
      </c>
    </row>
    <row r="454" spans="1:10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data'!H$453</f>
        <v>3383727.5447096331</v>
      </c>
      <c r="I454" s="287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data'!I$453</f>
        <v>391262.60921047255</v>
      </c>
      <c r="J454" s="288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data'!J$453</f>
        <v>383786.31645457604</v>
      </c>
    </row>
    <row r="455" spans="1:10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data'!H$453</f>
        <v>1789.7772563479373</v>
      </c>
      <c r="I455" s="287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data'!I$453</f>
        <v>296.88561626481027</v>
      </c>
      <c r="J455" s="288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data'!J$453</f>
        <v>306.59372048426644</v>
      </c>
    </row>
    <row r="456" spans="1:10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1308398.2509883197</v>
      </c>
      <c r="I456" s="287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759076.83233542473</v>
      </c>
      <c r="J456" s="288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799363.18687391968</v>
      </c>
    </row>
    <row r="457" spans="1:10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 t="e">
        <f>H452*'[1]Processer - data'!H$457*Biogasanlæg!AA$3</f>
        <v>#REF!</v>
      </c>
      <c r="I457" s="287" t="e">
        <f>I452*'[1]Processer - data'!I$457*Biogasanlæg!AB$3</f>
        <v>#REF!</v>
      </c>
      <c r="J457" s="288" t="e">
        <f>J452*'[1]Processer - data'!J$457*Biogasanlæg!AC$3</f>
        <v>#REF!</v>
      </c>
    </row>
    <row r="458" spans="1:10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 t="e">
        <f>-SUMIFS('Resultater - Østdanmark'!H$3:H$482,'Resultater - Østdanmark'!$F$3:$F$482,"Gødning",'Resultater - Østdanmark'!$A$3:$A$482,"&lt;&gt;Gødning")-SUM(H453:H457)</f>
        <v>#REF!</v>
      </c>
      <c r="I458" s="287" t="e">
        <f>-SUMIFS('Resultater - Østdanmark'!I$3:I$482,'Resultater - Østdanmark'!$F$3:$F$482,"Gødning",'Resultater - Østdanmark'!$A$3:$A$482,"&lt;&gt;Gødning")-SUM(I453:I457)</f>
        <v>#REF!</v>
      </c>
      <c r="J458" s="288" t="e">
        <f>-SUMIFS('Resultater - Østdanmark'!J$3:J$482,'Resultater - Østdanmark'!$F$3:$F$482,"Gødning",'Resultater - Østdanmark'!$A$3:$A$482,"&lt;&gt;Gødning")-SUM(J453:J457)</f>
        <v>#REF!</v>
      </c>
    </row>
    <row r="459" spans="1:10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7.5882895761801983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7.3445268136421529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7.1111322607098728</v>
      </c>
    </row>
    <row r="460" spans="1:10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1.1273757470027184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1.249148344750173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1.3001733046193689</v>
      </c>
    </row>
    <row r="461" spans="1:10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0.69142268698841347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0.77417765349901879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0.8069975796327753</v>
      </c>
    </row>
    <row r="462" spans="1:10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9.878857920085288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9.3786251701161518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9.0527408973136652</v>
      </c>
    </row>
    <row r="463" spans="1:10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8.0747487919351268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8.1413033320197155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8.1743654272608701</v>
      </c>
    </row>
    <row r="464" spans="1:10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 t="e">
        <f>SUMIFS('Forbrug af biomasse'!$E$1:$E$425,'Forbrug af biomasse'!$A$1:$A$425,$F464,'Forbrug af biomasse'!$C$1:$C$425,$D464,'Forbrug af biomasse'!$B$1:$B$425,$A$1,'Forbrug af biomasse'!$D$1:$D$425,H$2)*'[1]Processer - data'!H464</f>
        <v>#REF!</v>
      </c>
      <c r="I464" s="291" t="e">
        <f>SUMIFS('Forbrug af biomasse'!$E$1:$E$425,'Forbrug af biomasse'!$A$1:$A$425,$F464,'Forbrug af biomasse'!$C$1:$C$425,$D464,'Forbrug af biomasse'!$B$1:$B$425,$A$1,'Forbrug af biomasse'!$D$1:$D$425,I$2)*'[1]Processer - data'!I464</f>
        <v>#REF!</v>
      </c>
      <c r="J464" s="292" t="e">
        <f>SUMIFS('Forbrug af biomasse'!$E$1:$E$425,'Forbrug af biomasse'!$A$1:$A$425,$F464,'Forbrug af biomasse'!$C$1:$C$425,$D464,'Forbrug af biomasse'!$B$1:$B$425,$A$1,'Forbrug af biomasse'!$D$1:$D$425,J$2)*'[1]Processer - data'!J464</f>
        <v>#REF!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 t="e">
        <f>SUM(H433:H451)*'[1]Processer - data'!$H$467</f>
        <v>#REF!</v>
      </c>
      <c r="I467" s="287" t="e">
        <f>SUM(I433:I451)*'[1]Processer - data'!$H$467</f>
        <v>#REF!</v>
      </c>
      <c r="J467" s="288" t="e">
        <f>SUM(J433:J451)*'[1]Processer - data'!$H$467</f>
        <v>#REF!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ht="15.75" thickBot="1" x14ac:dyDescent="0.3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5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96787.066191854246</v>
      </c>
      <c r="I471" s="306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55765.551104918435</v>
      </c>
      <c r="J471" s="307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58043.451099078971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61943.722362786721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35689.952707147801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37147.808703410541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489"/>
  <sheetViews>
    <sheetView topLeftCell="A285" zoomScale="80" zoomScaleNormal="80" workbookViewId="0">
      <selection activeCell="H300" sqref="H300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7">
        <f>'Resultater - Vestdanmark'!H3+'Resultater - Østdanmark'!H3</f>
        <v>6905432.901678659</v>
      </c>
      <c r="I3" s="278">
        <f>'Resultater - Vestdanmark'!I3+'Resultater - Østdanmark'!I3</f>
        <v>7187550.2724163011</v>
      </c>
      <c r="J3" s="279">
        <f>'Resultater - Vestdanmark'!J3+'Resultater - Østdanmark'!J3</f>
        <v>7494121.763909651</v>
      </c>
      <c r="L3" s="98" t="s">
        <v>112</v>
      </c>
      <c r="M3" s="98">
        <f>SUMIF($F$3:$F$487,$L$3,H$3:H$487)</f>
        <v>14517462.442375839</v>
      </c>
      <c r="N3" s="98">
        <f>SUMIF($F$3:$F$487,$L$3,I$3:I$487)</f>
        <v>11073393.99720826</v>
      </c>
      <c r="O3" s="98">
        <f>SUMIF($F$3:$F$487,$L$3,J$3:J$487)</f>
        <v>10394060.267736508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80" t="e">
        <f>'Resultater - Vestdanmark'!H4+'Resultater - Østdanmark'!H4</f>
        <v>#REF!</v>
      </c>
      <c r="I4" s="281" t="e">
        <f>'Resultater - Vestdanmark'!I4+'Resultater - Østdanmark'!I4</f>
        <v>#REF!</v>
      </c>
      <c r="J4" s="282" t="e">
        <f>'Resultater - Vestdanmark'!J4+'Resultater - Østdanmark'!J4</f>
        <v>#REF!</v>
      </c>
      <c r="L4" s="98" t="s">
        <v>168</v>
      </c>
      <c r="M4" s="98">
        <f t="shared" ref="M4:O6" si="0">SUMIFS(H$3:H$487,$F$3:$F$487,$L$3,$A$3:$A$487,$L4)</f>
        <v>1383287.873779177</v>
      </c>
      <c r="N4" s="98">
        <f t="shared" si="0"/>
        <v>1109014.829074967</v>
      </c>
      <c r="O4" s="98">
        <f t="shared" si="0"/>
        <v>1113423.7517074186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80">
        <f>'Resultater - Vestdanmark'!H5+'Resultater - Østdanmark'!H5</f>
        <v>982809</v>
      </c>
      <c r="I5" s="281">
        <f>'Resultater - Vestdanmark'!I5+'Resultater - Østdanmark'!I5</f>
        <v>982809</v>
      </c>
      <c r="J5" s="282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3283459.0424850588</v>
      </c>
      <c r="O5" s="98">
        <f t="shared" si="0"/>
        <v>3261328.6859648484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80">
        <f>'Resultater - Vestdanmark'!H6+'Resultater - Østdanmark'!H6</f>
        <v>355018</v>
      </c>
      <c r="I6" s="281">
        <f>'Resultater - Vestdanmark'!I6+'Resultater - Østdanmark'!I6</f>
        <v>355018</v>
      </c>
      <c r="J6" s="282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13379.633937601986</v>
      </c>
      <c r="O6" s="98">
        <f t="shared" si="0"/>
        <v>13432.290203822415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80">
        <f>'Resultater - Vestdanmark'!H7+'Resultater - Østdanmark'!H7</f>
        <v>880.09999999999991</v>
      </c>
      <c r="I7" s="281">
        <f>'Resultater - Vestdanmark'!I7+'Resultater - Østdanmark'!I7</f>
        <v>148232.6739623498</v>
      </c>
      <c r="J7" s="282">
        <f>'Resultater - Vestdanmark'!J7+'Resultater - Østdanmark'!J7</f>
        <v>243411.82603765032</v>
      </c>
      <c r="L7" s="98" t="s">
        <v>42</v>
      </c>
      <c r="M7" s="98">
        <f>SUMIFS(H$3:H$487,$F$3:$F$487,$L$3,$C$3:$C$487,$L7)+SUMIFS(H$3:H$487,$F$3:$F$487,$L$3,$C$3:$C$487,"",$A$3:$A$487,"Grøntsager I drivhus")</f>
        <v>5798.8658431352524</v>
      </c>
      <c r="N7" s="98">
        <f>SUMIFS(I$3:I$487,$F$3:$F$487,$L$3,$C$3:$C$487,$L7)+SUMIFS(I$3:I$487,$F$3:$F$487,$L$3,$C$3:$C$487,"",$A$3:$A$487,"Grøntsager I drivhus")</f>
        <v>5575.3915677842497</v>
      </c>
      <c r="O7" s="98">
        <f>SUMIFS(J$3:J$487,$F$3:$F$487,$L$3,$C$3:$C$487,$L7)+SUMIFS(J$3:J$487,$F$3:$F$487,$L$3,$C$3:$C$487,"",$A$3:$A$487,"Grøntsager I drivhus")</f>
        <v>5429.5591156569817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80">
        <f>'Resultater - Vestdanmark'!H8+'Resultater - Østdanmark'!H8</f>
        <v>-142.57619999999997</v>
      </c>
      <c r="I8" s="281">
        <f>'Resultater - Vestdanmark'!I8+'Resultater - Østdanmark'!I8</f>
        <v>-24013.693181900664</v>
      </c>
      <c r="J8" s="282">
        <f>'Resultater - Vestdanmark'!J8+'Resultater - Østdanmark'!J8</f>
        <v>-39432.71581809935</v>
      </c>
      <c r="L8" s="98" t="s">
        <v>41</v>
      </c>
      <c r="M8" s="98">
        <f>SUMIFS(H$3:H$487,$F$3:$F$487,$L$3,$C$3:$C$487,$L8)+SUMIFS(H$3:H$487,$F$3:$F$487,$L$3,$C$3:$C$487,"",$A$3:$A$487,"Grøntsager I drivhus")</f>
        <v>1473168.6340477788</v>
      </c>
      <c r="N8" s="98">
        <f>SUMIFS(I$3:I$487,$F$3:$F$487,$L$3,$C$3:$C$487,$L8)+SUMIFS(I$3:I$487,$F$3:$F$487,$L$3,$C$3:$C$487,"",$A$3:$A$487,"Grøntsager I drivhus")</f>
        <v>1210890.6378442696</v>
      </c>
      <c r="O8" s="98">
        <f>SUMIFS(J$3:J$487,$F$3:$F$487,$L$3,$C$3:$C$487,$L8)</f>
        <v>1205315.2462764853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80">
        <f>'Resultater - Vestdanmark'!H9+'Resultater - Østdanmark'!H9</f>
        <v>76.5</v>
      </c>
      <c r="I9" s="281">
        <f>'Resultater - Vestdanmark'!I9+'Resultater - Østdanmark'!I9</f>
        <v>14400</v>
      </c>
      <c r="J9" s="282">
        <f>'Resultater - Vestdanmark'!J9+'Resultater - Østdanmark'!J9</f>
        <v>18000</v>
      </c>
      <c r="L9" s="98" t="s">
        <v>40</v>
      </c>
      <c r="M9" s="98">
        <f>SUMIFS(H$3:H$487,$F$3:$F$487,$L$3,$C$3:$C$487,$L9)+SUMIFS(H$3:H$487,$F$3:$F$487,$L$3,$C$3:$C$487,"",$A$3:$A$487,"Grøntsager I drivhus")</f>
        <v>2863539.7669857088</v>
      </c>
      <c r="N9" s="98">
        <f>SUMIFS(I$3:I$487,$F$3:$F$487,$L$3,$C$3:$C$487,$L9)+SUMIFS(I$3:I$487,$F$3:$F$487,$L$3,$C$3:$C$487,"",$A$3:$A$487,"Grøntsager I drivhus")</f>
        <v>2392228.9190607881</v>
      </c>
      <c r="O9" s="98">
        <f>SUMIFS(J$3:J$487,$F$3:$F$487,$L$3,$C$3:$C$487,$L9)</f>
        <v>2386653.5274930028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80">
        <f>'Resultater - Vestdanmark'!H10+'Resultater - Østdanmark'!H10</f>
        <v>-15.861000000000001</v>
      </c>
      <c r="I10" s="281">
        <f>'Resultater - Vestdanmark'!I10+'Resultater - Østdanmark'!I10</f>
        <v>-597.12</v>
      </c>
      <c r="J10" s="282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80">
        <f>'Resultater - Vestdanmark'!H11+'Resultater - Østdanmark'!H11</f>
        <v>1724360.8435879257</v>
      </c>
      <c r="I11" s="281">
        <f>'Resultater - Vestdanmark'!I11+'Resultater - Østdanmark'!I11</f>
        <v>1631856.7815804055</v>
      </c>
      <c r="J11" s="282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80">
        <f>'Resultater - Vestdanmark'!H12+'Resultater - Østdanmark'!H12</f>
        <v>2113570.8536589644</v>
      </c>
      <c r="I12" s="281">
        <f>'Resultater - Vestdanmark'!I12+'Resultater - Østdanmark'!I12</f>
        <v>2000187.4571203692</v>
      </c>
      <c r="J12" s="282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80">
        <f>'Resultater - Vestdanmark'!H13+'Resultater - Østdanmark'!H13</f>
        <v>-561900</v>
      </c>
      <c r="I13" s="281">
        <f>'Resultater - Vestdanmark'!I13+'Resultater - Østdanmark'!I13</f>
        <v>-531756.63839717361</v>
      </c>
      <c r="J13" s="282">
        <f>'Resultater - Vestdanmark'!J13+'Resultater - Østdanmark'!J13</f>
        <v>-481032.62804968352</v>
      </c>
    </row>
    <row r="14" spans="1:2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80">
        <f>'Resultater - Vestdanmark'!H14+'Resultater - Østdanmark'!H14</f>
        <v>0</v>
      </c>
      <c r="I14" s="281">
        <f>'Resultater - Vestdanmark'!I14+'Resultater - Østdanmark'!I14</f>
        <v>0</v>
      </c>
      <c r="J14" s="282">
        <f>'Resultater - Vestdanmark'!J14+'Resultater - Østdanmark'!J14</f>
        <v>0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80">
        <f>'Resultater - Vestdanmark'!H15+'Resultater - Østdanmark'!H15</f>
        <v>0</v>
      </c>
      <c r="I15" s="281">
        <f>'Resultater - Vestdanmark'!I15+'Resultater - Østdanmark'!I15</f>
        <v>0</v>
      </c>
      <c r="J15" s="282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80">
        <f>'Resultater - Vestdanmark'!H16+'Resultater - Østdanmark'!H16</f>
        <v>0</v>
      </c>
      <c r="I16" s="281">
        <f>'Resultater - Vestdanmark'!I16+'Resultater - Østdanmark'!I16</f>
        <v>0</v>
      </c>
      <c r="J16" s="282">
        <f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80">
        <f>'Resultater - Vestdanmark'!H17+'Resultater - Østdanmark'!H17</f>
        <v>0</v>
      </c>
      <c r="I17" s="281">
        <f>'Resultater - Vestdanmark'!I17+'Resultater - Østdanmark'!I17</f>
        <v>0</v>
      </c>
      <c r="J17" s="282">
        <f>'Resultater - Vestdanmark'!J17+'Resultater - Østdanmark'!J17</f>
        <v>0</v>
      </c>
    </row>
    <row r="18" spans="1:10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80">
        <f>'Resultater - Vestdanmark'!H18+'Resultater - Østdanmark'!H18</f>
        <v>0</v>
      </c>
      <c r="I18" s="281">
        <f>'Resultater - Vestdanmark'!I18+'Resultater - Østdanmark'!I18</f>
        <v>0</v>
      </c>
      <c r="J18" s="282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80">
        <f>'Resultater - Vestdanmark'!H19+'Resultater - Østdanmark'!H19</f>
        <v>0</v>
      </c>
      <c r="I19" s="281">
        <f>'Resultater - Vestdanmark'!I19+'Resultater - Østdanmark'!I19</f>
        <v>0</v>
      </c>
      <c r="J19" s="282">
        <f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80">
        <f>'Resultater - Vestdanmark'!H20+'Resultater - Østdanmark'!H20</f>
        <v>0</v>
      </c>
      <c r="I20" s="281">
        <f>'Resultater - Vestdanmark'!I20+'Resultater - Østdanmark'!I20</f>
        <v>0</v>
      </c>
      <c r="J20" s="282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80">
        <f>'Resultater - Vestdanmark'!H21+'Resultater - Østdanmark'!H21</f>
        <v>0</v>
      </c>
      <c r="I21" s="281">
        <f>'Resultater - Vestdanmark'!I21+'Resultater - Østdanmark'!I21</f>
        <v>0</v>
      </c>
      <c r="J21" s="282">
        <f>'Resultater - Vestdanmark'!J21+'Resultater - Østdanmark'!J21</f>
        <v>0</v>
      </c>
    </row>
    <row r="22" spans="1:10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80">
        <f>'Resultater - Vestdanmark'!H22+'Resultater - Østdanmark'!H22</f>
        <v>0</v>
      </c>
      <c r="I22" s="281">
        <f>'Resultater - Vestdanmark'!I22+'Resultater - Østdanmark'!I22</f>
        <v>0</v>
      </c>
      <c r="J22" s="282">
        <f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80">
        <f>'Resultater - Vestdanmark'!H23+'Resultater - Østdanmark'!H23</f>
        <v>0</v>
      </c>
      <c r="I23" s="281">
        <f>'Resultater - Vestdanmark'!I23+'Resultater - Østdanmark'!I23</f>
        <v>0</v>
      </c>
      <c r="J23" s="282">
        <f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80">
        <f>'Resultater - Vestdanmark'!H24+'Resultater - Østdanmark'!H24</f>
        <v>0</v>
      </c>
      <c r="I24" s="281">
        <f>'Resultater - Vestdanmark'!I24+'Resultater - Østdanmark'!I24</f>
        <v>0</v>
      </c>
      <c r="J24" s="282">
        <f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80">
        <f>'Resultater - Vestdanmark'!H25+'Resultater - Østdanmark'!H25</f>
        <v>0</v>
      </c>
      <c r="I25" s="281">
        <f>'Resultater - Vestdanmark'!I25+'Resultater - Østdanmark'!I25</f>
        <v>0</v>
      </c>
      <c r="J25" s="282">
        <f>'Resultater - Vestdanmark'!J25+'Resultater - Østdanmark'!J25</f>
        <v>0</v>
      </c>
    </row>
    <row r="26" spans="1:10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80">
        <f>'Resultater - Vestdanmark'!H26+'Resultater - Østdanmark'!H26</f>
        <v>0</v>
      </c>
      <c r="I26" s="281">
        <f>'Resultater - Vestdanmark'!I26+'Resultater - Østdanmark'!I26</f>
        <v>0</v>
      </c>
      <c r="J26" s="282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80">
        <f>'Resultater - Vestdanmark'!H27+'Resultater - Østdanmark'!H27</f>
        <v>0</v>
      </c>
      <c r="I27" s="281">
        <f>'Resultater - Vestdanmark'!I27+'Resultater - Østdanmark'!I27</f>
        <v>0</v>
      </c>
      <c r="J27" s="282">
        <f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80">
        <f>'Resultater - Vestdanmark'!H28+'Resultater - Østdanmark'!H28</f>
        <v>0</v>
      </c>
      <c r="I28" s="281">
        <f>'Resultater - Vestdanmark'!I28+'Resultater - Østdanmark'!I28</f>
        <v>-1042538.2000321174</v>
      </c>
      <c r="J28" s="282">
        <f>'Resultater - Vestdanmark'!J28+'Resultater - Østdanmark'!J28</f>
        <v>-702025.06467181328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80">
        <f>'Resultater - Vestdanmark'!H29+'Resultater - Østdanmark'!H29</f>
        <v>0</v>
      </c>
      <c r="I29" s="281">
        <f>'Resultater - Vestdanmark'!I29+'Resultater - Østdanmark'!I29</f>
        <v>19061.535843451689</v>
      </c>
      <c r="J29" s="282">
        <f>'Resultater - Vestdanmark'!J29+'Resultater - Østdanmark'!J29</f>
        <v>128356.69650120263</v>
      </c>
    </row>
    <row r="30" spans="1:10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80">
        <f>'Resultater - Vestdanmark'!H30+'Resultater - Østdanmark'!H30</f>
        <v>0</v>
      </c>
      <c r="I30" s="281">
        <f>'Resultater - Vestdanmark'!I30+'Resultater - Østdanmark'!I30</f>
        <v>4765.3839608629223</v>
      </c>
      <c r="J30" s="282">
        <f>'Resultater - Vestdanmark'!J30+'Resultater - Østdanmark'!J30</f>
        <v>32089.174125300658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80">
        <f>'Resultater - Vestdanmark'!H31+'Resultater - Østdanmark'!H31</f>
        <v>0</v>
      </c>
      <c r="I31" s="281">
        <f>'Resultater - Vestdanmark'!I31+'Resultater - Østdanmark'!I31</f>
        <v>-133444.88960411103</v>
      </c>
      <c r="J31" s="282">
        <f>'Resultater - Vestdanmark'!J31+'Resultater - Østdanmark'!J31</f>
        <v>-898592.08277992101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80">
        <f>'Resultater - Vestdanmark'!H32+'Resultater - Østdanmark'!H32</f>
        <v>0</v>
      </c>
      <c r="I32" s="281">
        <f>'Resultater - Vestdanmark'!I32+'Resultater - Østdanmark'!I32</f>
        <v>0</v>
      </c>
      <c r="J32" s="282">
        <f>'Resultater - Vestdanmark'!J32+'Resultater - Østdanmark'!J32</f>
        <v>201583.3056460268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80">
        <f>'Resultater - Vestdanmark'!H33+'Resultater - Østdanmark'!H33</f>
        <v>0</v>
      </c>
      <c r="I33" s="281">
        <f>'Resultater - Vestdanmark'!I33+'Resultater - Østdanmark'!I33</f>
        <v>0</v>
      </c>
      <c r="J33" s="282">
        <f>'Resultater - Vestdanmark'!J33+'Resultater - Østdanmark'!J33</f>
        <v>69778.836569778534</v>
      </c>
    </row>
    <row r="34" spans="1:10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80">
        <f>'Resultater - Vestdanmark'!H34+'Resultater - Østdanmark'!H34</f>
        <v>0</v>
      </c>
      <c r="I34" s="281">
        <f>'Resultater - Vestdanmark'!I34+'Resultater - Østdanmark'!I34</f>
        <v>0</v>
      </c>
      <c r="J34" s="282">
        <f>'Resultater - Vestdanmark'!J34+'Resultater - Østdanmark'!J34</f>
        <v>-41701.5280012847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80">
        <f>'Resultater - Vestdanmark'!H35+'Resultater - Østdanmark'!H35</f>
        <v>0</v>
      </c>
      <c r="I35" s="281">
        <f>'Resultater - Vestdanmark'!I35+'Resultater - Østdanmark'!I35</f>
        <v>0</v>
      </c>
      <c r="J35" s="282">
        <f>'Resultater - Vestdanmark'!J35+'Resultater - Østdanmark'!J35</f>
        <v>9266.0243683445715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80">
        <f>'Resultater - Vestdanmark'!H36+'Resultater - Østdanmark'!H36</f>
        <v>0</v>
      </c>
      <c r="I36" s="281">
        <f>'Resultater - Vestdanmark'!I36+'Resultater - Østdanmark'!I36</f>
        <v>0</v>
      </c>
      <c r="J36" s="282">
        <f>'Resultater - Vestdanmark'!J36+'Resultater - Østdanmark'!J36</f>
        <v>4633.0121841722867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80">
        <f>'Resultater - Vestdanmark'!H37+'Resultater - Østdanmark'!H37</f>
        <v>0</v>
      </c>
      <c r="I37" s="281">
        <f>'Resultater - Vestdanmark'!I37+'Resultater - Østdanmark'!I37</f>
        <v>0</v>
      </c>
      <c r="J37" s="282">
        <f>'Resultater - Vestdanmark'!J37+'Resultater - Østdanmark'!J37</f>
        <v>-104253.82000321175</v>
      </c>
    </row>
    <row r="38" spans="1:10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80">
        <f>'Resultater - Vestdanmark'!H38+'Resultater - Østdanmark'!H38</f>
        <v>0</v>
      </c>
      <c r="I38" s="281">
        <f>'Resultater - Vestdanmark'!I38+'Resultater - Østdanmark'!I38</f>
        <v>0</v>
      </c>
      <c r="J38" s="282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80">
        <f>'Resultater - Vestdanmark'!H39+'Resultater - Østdanmark'!H39</f>
        <v>0</v>
      </c>
      <c r="I39" s="281">
        <f>'Resultater - Vestdanmark'!I39+'Resultater - Østdanmark'!I39</f>
        <v>0</v>
      </c>
      <c r="J39" s="282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80">
        <f>'Resultater - Vestdanmark'!H40+'Resultater - Østdanmark'!H40</f>
        <v>0</v>
      </c>
      <c r="I40" s="281">
        <f>'Resultater - Vestdanmark'!I40+'Resultater - Østdanmark'!I40</f>
        <v>0</v>
      </c>
      <c r="J40" s="282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80">
        <f>'Resultater - Vestdanmark'!H41+'Resultater - Østdanmark'!H41</f>
        <v>0</v>
      </c>
      <c r="I41" s="281">
        <f>'Resultater - Vestdanmark'!I41+'Resultater - Østdanmark'!I41</f>
        <v>0</v>
      </c>
      <c r="J41" s="282">
        <f>'Resultater - Vestdanmark'!J41+'Resultater - Østdanmark'!J41</f>
        <v>0</v>
      </c>
    </row>
    <row r="42" spans="1:10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80">
        <f>'Resultater - Vestdanmark'!H42+'Resultater - Østdanmark'!H42</f>
        <v>0</v>
      </c>
      <c r="I42" s="281">
        <f>'Resultater - Vestdanmark'!I42+'Resultater - Østdanmark'!I42</f>
        <v>0</v>
      </c>
      <c r="J42" s="282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80">
        <f>'Resultater - Vestdanmark'!H43+'Resultater - Østdanmark'!H43</f>
        <v>0</v>
      </c>
      <c r="I43" s="281">
        <f>'Resultater - Vestdanmark'!I43+'Resultater - Østdanmark'!I43</f>
        <v>0</v>
      </c>
      <c r="J43" s="282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80">
        <f>'Resultater - Vestdanmark'!H44+'Resultater - Østdanmark'!H44</f>
        <v>0</v>
      </c>
      <c r="I44" s="281">
        <f>'Resultater - Vestdanmark'!I44+'Resultater - Østdanmark'!I44</f>
        <v>0</v>
      </c>
      <c r="J44" s="282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80">
        <f>'Resultater - Vestdanmark'!H45+'Resultater - Østdanmark'!H45</f>
        <v>0</v>
      </c>
      <c r="I45" s="281">
        <f>'Resultater - Vestdanmark'!I45+'Resultater - Østdanmark'!I45</f>
        <v>0</v>
      </c>
      <c r="J45" s="282">
        <f>'Resultater - Vestdanmark'!J45+'Resultater - Østdanmark'!J45</f>
        <v>0</v>
      </c>
    </row>
    <row r="46" spans="1:10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80">
        <f>'Resultater - Vestdanmark'!H46+'Resultater - Østdanmark'!H46</f>
        <v>0</v>
      </c>
      <c r="I46" s="281">
        <f>'Resultater - Vestdanmark'!I46+'Resultater - Østdanmark'!I46</f>
        <v>0</v>
      </c>
      <c r="J46" s="282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80">
        <f>'Resultater - Vestdanmark'!H47+'Resultater - Østdanmark'!H47</f>
        <v>0</v>
      </c>
      <c r="I47" s="281">
        <f>'Resultater - Vestdanmark'!I47+'Resultater - Østdanmark'!I47</f>
        <v>0</v>
      </c>
      <c r="J47" s="282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80">
        <f>'Resultater - Vestdanmark'!H48+'Resultater - Østdanmark'!H48</f>
        <v>0</v>
      </c>
      <c r="I48" s="281">
        <f>'Resultater - Vestdanmark'!I48+'Resultater - Østdanmark'!I48</f>
        <v>0</v>
      </c>
      <c r="J48" s="282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80">
        <f>'Resultater - Vestdanmark'!H49+'Resultater - Østdanmark'!H49</f>
        <v>0</v>
      </c>
      <c r="I49" s="281">
        <f>'Resultater - Vestdanmark'!I49+'Resultater - Østdanmark'!I49</f>
        <v>0</v>
      </c>
      <c r="J49" s="282">
        <f>'Resultater - Vestdanmark'!J49+'Resultater - Østdanmark'!J49</f>
        <v>0</v>
      </c>
    </row>
    <row r="50" spans="1:10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80">
        <f>'Resultater - Vestdanmark'!H50+'Resultater - Østdanmark'!H50</f>
        <v>0</v>
      </c>
      <c r="I50" s="281">
        <f>'Resultater - Vestdanmark'!I50+'Resultater - Østdanmark'!I50</f>
        <v>0</v>
      </c>
      <c r="J50" s="282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80">
        <f>'Resultater - Vestdanmark'!H51+'Resultater - Østdanmark'!H51</f>
        <v>0</v>
      </c>
      <c r="I51" s="281">
        <f>'Resultater - Vestdanmark'!I51+'Resultater - Østdanmark'!I51</f>
        <v>0</v>
      </c>
      <c r="J51" s="282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80">
        <f>'Resultater - Vestdanmark'!H52+'Resultater - Østdanmark'!H52</f>
        <v>0</v>
      </c>
      <c r="I52" s="281">
        <f>'Resultater - Vestdanmark'!I52+'Resultater - Østdanmark'!I52</f>
        <v>0</v>
      </c>
      <c r="J52" s="282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80">
        <f>'Resultater - Vestdanmark'!H53+'Resultater - Østdanmark'!H53</f>
        <v>0</v>
      </c>
      <c r="I53" s="281">
        <f>'Resultater - Vestdanmark'!I53+'Resultater - Østdanmark'!I53</f>
        <v>0</v>
      </c>
      <c r="J53" s="282">
        <f>'Resultater - Vestdanmark'!J53+'Resultater - Østdanmark'!J53</f>
        <v>0</v>
      </c>
    </row>
    <row r="54" spans="1:10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80">
        <f>'Resultater - Vestdanmark'!H54+'Resultater - Østdanmark'!H54</f>
        <v>0</v>
      </c>
      <c r="I54" s="281">
        <f>'Resultater - Vestdanmark'!I54+'Resultater - Østdanmark'!I54</f>
        <v>0</v>
      </c>
      <c r="J54" s="282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80">
        <f>'Resultater - Vestdanmark'!H55+'Resultater - Østdanmark'!H55</f>
        <v>0</v>
      </c>
      <c r="I55" s="281">
        <f>'Resultater - Vestdanmark'!I55+'Resultater - Østdanmark'!I55</f>
        <v>0</v>
      </c>
      <c r="J55" s="282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80">
        <f>'Resultater - Vestdanmark'!H56+'Resultater - Østdanmark'!H56</f>
        <v>0</v>
      </c>
      <c r="I56" s="281">
        <f>'Resultater - Vestdanmark'!I56+'Resultater - Østdanmark'!I56</f>
        <v>0</v>
      </c>
      <c r="J56" s="282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80">
        <f>'Resultater - Vestdanmark'!H57+'Resultater - Østdanmark'!H57</f>
        <v>0</v>
      </c>
      <c r="I57" s="281">
        <f>'Resultater - Vestdanmark'!I57+'Resultater - Østdanmark'!I57</f>
        <v>0</v>
      </c>
      <c r="J57" s="282">
        <f>'Resultater - Vestdanmark'!J57+'Resultater - Østdanmark'!J57</f>
        <v>0</v>
      </c>
    </row>
    <row r="58" spans="1:10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80">
        <f>'Resultater - Vestdanmark'!H58+'Resultater - Østdanmark'!H58</f>
        <v>0</v>
      </c>
      <c r="I58" s="281">
        <f>'Resultater - Vestdanmark'!I58+'Resultater - Østdanmark'!I58</f>
        <v>0</v>
      </c>
      <c r="J58" s="282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80">
        <f>'Resultater - Vestdanmark'!H59+'Resultater - Østdanmark'!H59</f>
        <v>0</v>
      </c>
      <c r="I59" s="281">
        <f>'Resultater - Vestdanmark'!I59+'Resultater - Østdanmark'!I59</f>
        <v>0</v>
      </c>
      <c r="J59" s="282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80">
        <f>'Resultater - Vestdanmark'!H60+'Resultater - Østdanmark'!H60</f>
        <v>0</v>
      </c>
      <c r="I60" s="281">
        <f>'Resultater - Vestdanmark'!I60+'Resultater - Østdanmark'!I60</f>
        <v>0</v>
      </c>
      <c r="J60" s="282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80">
        <f>'Resultater - Vestdanmark'!H61+'Resultater - Østdanmark'!H61</f>
        <v>0</v>
      </c>
      <c r="I61" s="281">
        <f>'Resultater - Vestdanmark'!I61+'Resultater - Østdanmark'!I61</f>
        <v>0</v>
      </c>
      <c r="J61" s="282">
        <f>'Resultater - Vestdanmark'!J61+'Resultater - Østdanmark'!J61</f>
        <v>0</v>
      </c>
    </row>
    <row r="62" spans="1:10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80">
        <f>'Resultater - Vestdanmark'!H62+'Resultater - Østdanmark'!H62</f>
        <v>0</v>
      </c>
      <c r="I62" s="281">
        <f>'Resultater - Vestdanmark'!I62+'Resultater - Østdanmark'!I62</f>
        <v>0</v>
      </c>
      <c r="J62" s="282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80">
        <f>'Resultater - Vestdanmark'!H63+'Resultater - Østdanmark'!H63</f>
        <v>0</v>
      </c>
      <c r="I63" s="281">
        <f>'Resultater - Vestdanmark'!I63+'Resultater - Østdanmark'!I63</f>
        <v>0</v>
      </c>
      <c r="J63" s="282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80">
        <f>'Resultater - Vestdanmark'!H64+'Resultater - Østdanmark'!H64</f>
        <v>0</v>
      </c>
      <c r="I64" s="281">
        <f>'Resultater - Vestdanmark'!I64+'Resultater - Østdanmark'!I64</f>
        <v>0</v>
      </c>
      <c r="J64" s="282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80">
        <f>'Resultater - Vestdanmark'!H65+'Resultater - Østdanmark'!H65</f>
        <v>0</v>
      </c>
      <c r="I65" s="281">
        <f>'Resultater - Vestdanmark'!I65+'Resultater - Østdanmark'!I65</f>
        <v>0</v>
      </c>
      <c r="J65" s="282">
        <f>'Resultater - Vestdanmark'!J65+'Resultater - Østdanmark'!J65</f>
        <v>0</v>
      </c>
    </row>
    <row r="66" spans="1:10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80">
        <f>'Resultater - Vestdanmark'!H66+'Resultater - Østdanmark'!H66</f>
        <v>0</v>
      </c>
      <c r="I66" s="281">
        <f>'Resultater - Vestdanmark'!I66+'Resultater - Østdanmark'!I66</f>
        <v>0</v>
      </c>
      <c r="J66" s="282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80">
        <f>'Resultater - Vestdanmark'!H67+'Resultater - Østdanmark'!H67</f>
        <v>0</v>
      </c>
      <c r="I67" s="281">
        <f>'Resultater - Vestdanmark'!I67+'Resultater - Østdanmark'!I67</f>
        <v>0</v>
      </c>
      <c r="J67" s="282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80">
        <f>'Resultater - Vestdanmark'!H68+'Resultater - Østdanmark'!H68</f>
        <v>0</v>
      </c>
      <c r="I68" s="281">
        <f>'Resultater - Vestdanmark'!I68+'Resultater - Østdanmark'!I68</f>
        <v>0</v>
      </c>
      <c r="J68" s="282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80">
        <f>'Resultater - Vestdanmark'!H69+'Resultater - Østdanmark'!H69</f>
        <v>0</v>
      </c>
      <c r="I69" s="281">
        <f>'Resultater - Vestdanmark'!I69+'Resultater - Østdanmark'!I69</f>
        <v>0</v>
      </c>
      <c r="J69" s="282">
        <f>'Resultater - Vestdanmark'!J69+'Resultater - Østdanmark'!J69</f>
        <v>0</v>
      </c>
    </row>
    <row r="70" spans="1:10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80">
        <f>'Resultater - Vestdanmark'!H70+'Resultater - Østdanmark'!H70</f>
        <v>0</v>
      </c>
      <c r="I70" s="281">
        <f>'Resultater - Vestdanmark'!I70+'Resultater - Østdanmark'!I70</f>
        <v>0</v>
      </c>
      <c r="J70" s="282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80">
        <f>'Resultater - Vestdanmark'!H71+'Resultater - Østdanmark'!H71</f>
        <v>0</v>
      </c>
      <c r="I71" s="281">
        <f>'Resultater - Vestdanmark'!I71+'Resultater - Østdanmark'!I71</f>
        <v>0</v>
      </c>
      <c r="J71" s="282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80">
        <f>'Resultater - Vestdanmark'!H72+'Resultater - Østdanmark'!H72</f>
        <v>0</v>
      </c>
      <c r="I72" s="281">
        <f>'Resultater - Vestdanmark'!I72+'Resultater - Østdanmark'!I72</f>
        <v>0</v>
      </c>
      <c r="J72" s="282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80">
        <f>'Resultater - Vestdanmark'!H73+'Resultater - Østdanmark'!H73</f>
        <v>0</v>
      </c>
      <c r="I73" s="281">
        <f>'Resultater - Vestdanmark'!I73+'Resultater - Østdanmark'!I73</f>
        <v>0</v>
      </c>
      <c r="J73" s="282">
        <f>'Resultater - Vestdanmark'!J73+'Resultater - Østdanmark'!J73</f>
        <v>0</v>
      </c>
    </row>
    <row r="74" spans="1:10" x14ac:dyDescent="0.25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80">
        <f>'Resultater - Vestdanmark'!H74+'Resultater - Østdanmark'!H74</f>
        <v>16367972</v>
      </c>
      <c r="I74" s="281">
        <f>'Resultater - Vestdanmark'!I74+'Resultater - Østdanmark'!I74</f>
        <v>12799320.650900256</v>
      </c>
      <c r="J74" s="282">
        <f>'Resultater - Vestdanmark'!J74+'Resultater - Østdanmark'!J74</f>
        <v>12253769.438466933</v>
      </c>
    </row>
    <row r="75" spans="1:10" x14ac:dyDescent="0.25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80">
        <f>'Resultater - Vestdanmark'!H75+'Resultater - Østdanmark'!H75</f>
        <v>17657000</v>
      </c>
      <c r="I75" s="281">
        <f>'Resultater - Vestdanmark'!I75+'Resultater - Østdanmark'!I75</f>
        <v>13807306.411139132</v>
      </c>
      <c r="J75" s="282">
        <f>'Resultater - Vestdanmark'!J75+'Resultater - Østdanmark'!J75</f>
        <v>13218791.367373465</v>
      </c>
    </row>
    <row r="76" spans="1:10" x14ac:dyDescent="0.25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80">
        <f>'Resultater - Vestdanmark'!H76+'Resultater - Østdanmark'!H76</f>
        <v>2263500</v>
      </c>
      <c r="I76" s="281">
        <f>'Resultater - Vestdanmark'!I76+'Resultater - Østdanmark'!I76</f>
        <v>1769997.0584818162</v>
      </c>
      <c r="J76" s="282">
        <f>'Resultater - Vestdanmark'!J76+'Resultater - Østdanmark'!J76</f>
        <v>1694553.6761652513</v>
      </c>
    </row>
    <row r="77" spans="1:10" x14ac:dyDescent="0.25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80">
        <f>'Resultater - Vestdanmark'!H77+'Resultater - Østdanmark'!H77</f>
        <v>185011.20708453766</v>
      </c>
      <c r="I77" s="281">
        <f>'Resultater - Vestdanmark'!I77+'Resultater - Østdanmark'!I77</f>
        <v>144673.8645132767</v>
      </c>
      <c r="J77" s="282">
        <f>'Resultater - Vestdanmark'!J77+'Resultater - Østdanmark'!J77</f>
        <v>138507.36518527669</v>
      </c>
    </row>
    <row r="78" spans="1:10" x14ac:dyDescent="0.25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80">
        <f>'Resultater - Vestdanmark'!H78+'Resultater - Østdanmark'!H78</f>
        <v>-10101447931.960001</v>
      </c>
      <c r="I78" s="281">
        <f>'Resultater - Vestdanmark'!I78+'Resultater - Østdanmark'!I78</f>
        <v>-7899064778.4300537</v>
      </c>
      <c r="J78" s="282">
        <f>'Resultater - Vestdanmark'!J78+'Resultater - Østdanmark'!J78</f>
        <v>-7562379380.4703741</v>
      </c>
    </row>
    <row r="79" spans="1:10" x14ac:dyDescent="0.25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80">
        <f>'Resultater - Vestdanmark'!H79+'Resultater - Østdanmark'!H79</f>
        <v>-775790.06759999995</v>
      </c>
      <c r="I79" s="281">
        <f>'Resultater - Vestdanmark'!I79+'Resultater - Østdanmark'!I79</f>
        <v>-606647.28855816624</v>
      </c>
      <c r="J79" s="282">
        <f>'Resultater - Vestdanmark'!J79+'Resultater - Østdanmark'!J79</f>
        <v>-580789.88777736633</v>
      </c>
    </row>
    <row r="80" spans="1:10" x14ac:dyDescent="0.25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80">
        <f>'Resultater - Vestdanmark'!H80+'Resultater - Østdanmark'!H80</f>
        <v>1322792.8112606632</v>
      </c>
      <c r="I80" s="281">
        <f>'Resultater - Vestdanmark'!I80+'Resultater - Østdanmark'!I80</f>
        <v>1034388.9484922757</v>
      </c>
      <c r="J80" s="282">
        <f>'Resultater - Vestdanmark'!J80+'Resultater - Østdanmark'!J80</f>
        <v>990299.72216775955</v>
      </c>
    </row>
    <row r="81" spans="1:10" x14ac:dyDescent="0.25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80">
        <f>'Resultater - Vestdanmark'!H81+'Resultater - Østdanmark'!H81</f>
        <v>232028</v>
      </c>
      <c r="I81" s="281">
        <f>'Resultater - Vestdanmark'!I81+'Resultater - Østdanmark'!I81</f>
        <v>286226.56294538995</v>
      </c>
      <c r="J81" s="282">
        <f>'Resultater - Vestdanmark'!J81+'Resultater - Østdanmark'!J81</f>
        <v>472240.56206711137</v>
      </c>
    </row>
    <row r="82" spans="1:10" x14ac:dyDescent="0.25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80">
        <f>'Resultater - Vestdanmark'!H82+'Resultater - Østdanmark'!H82</f>
        <v>0</v>
      </c>
      <c r="I82" s="281">
        <f>'Resultater - Vestdanmark'!I82+'Resultater - Østdanmark'!I82</f>
        <v>0</v>
      </c>
      <c r="J82" s="282">
        <f>'Resultater - Vestdanmark'!J82+'Resultater - Østdanmark'!J82</f>
        <v>0</v>
      </c>
    </row>
    <row r="83" spans="1:10" x14ac:dyDescent="0.25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80">
        <f>'Resultater - Vestdanmark'!H83+'Resultater - Østdanmark'!H83</f>
        <v>251500.00000000003</v>
      </c>
      <c r="I83" s="281">
        <f>'Resultater - Vestdanmark'!I83+'Resultater - Østdanmark'!I83</f>
        <v>310246.95545695163</v>
      </c>
      <c r="J83" s="282">
        <f>'Resultater - Vestdanmark'!J83+'Resultater - Østdanmark'!J83</f>
        <v>511871.41793179489</v>
      </c>
    </row>
    <row r="84" spans="1:10" x14ac:dyDescent="0.25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80">
        <f>'Resultater - Vestdanmark'!H84+'Resultater - Østdanmark'!H84</f>
        <v>7691.8969154623392</v>
      </c>
      <c r="I84" s="281">
        <f>'Resultater - Vestdanmark'!I84+'Resultater - Østdanmark'!I84</f>
        <v>9488.6186867232918</v>
      </c>
      <c r="J84" s="282">
        <f>'Resultater - Vestdanmark'!J84+'Resultater - Østdanmark'!J84</f>
        <v>15655.11801472329</v>
      </c>
    </row>
    <row r="85" spans="1:10" x14ac:dyDescent="0.25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80">
        <f>'Resultater - Vestdanmark'!H85+'Resultater - Østdanmark'!H85</f>
        <v>-419970754.27999997</v>
      </c>
      <c r="I85" s="281">
        <f>'Resultater - Vestdanmark'!I85+'Resultater - Østdanmark'!I85</f>
        <v>-518070170.56194645</v>
      </c>
      <c r="J85" s="282">
        <f>'Resultater - Vestdanmark'!J85+'Resultater - Østdanmark'!J85</f>
        <v>-854755568.52162635</v>
      </c>
    </row>
    <row r="86" spans="1:10" x14ac:dyDescent="0.25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80">
        <f>'Resultater - Vestdanmark'!H86+'Resultater - Østdanmark'!H86</f>
        <v>-28350.861000000001</v>
      </c>
      <c r="I86" s="281">
        <f>'Resultater - Vestdanmark'!I86+'Resultater - Østdanmark'!I86</f>
        <v>-34973.233836315019</v>
      </c>
      <c r="J86" s="282">
        <f>'Resultater - Vestdanmark'!J86+'Resultater - Østdanmark'!J86</f>
        <v>-57701.771052315009</v>
      </c>
    </row>
    <row r="87" spans="1:10" x14ac:dyDescent="0.25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80">
        <f>'Resultater - Vestdanmark'!H87+'Resultater - Østdanmark'!H87</f>
        <v>60495.062518513841</v>
      </c>
      <c r="I87" s="281">
        <f>'Resultater - Vestdanmark'!I87+'Resultater - Østdanmark'!I87</f>
        <v>74625.88058269133</v>
      </c>
      <c r="J87" s="282">
        <f>'Resultater - Vestdanmark'!J87+'Resultater - Østdanmark'!J87</f>
        <v>123124.02953965908</v>
      </c>
    </row>
    <row r="88" spans="1:10" x14ac:dyDescent="0.25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80">
        <f>'Resultater - Vestdanmark'!H88+'Resultater - Østdanmark'!H88</f>
        <v>440600</v>
      </c>
      <c r="I88" s="281">
        <f>'Resultater - Vestdanmark'!I88+'Resultater - Østdanmark'!I88</f>
        <v>343504.41336069477</v>
      </c>
      <c r="J88" s="282">
        <f>'Resultater - Vestdanmark'!J88+'Resultater - Østdanmark'!J88</f>
        <v>326908.83007308323</v>
      </c>
    </row>
    <row r="89" spans="1:10" x14ac:dyDescent="0.25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80">
        <f>'Resultater - Vestdanmark'!H89+'Resultater - Østdanmark'!H89</f>
        <v>12785500</v>
      </c>
      <c r="I89" s="281">
        <f>'Resultater - Vestdanmark'!I89+'Resultater - Østdanmark'!I89</f>
        <v>9967942.9800798073</v>
      </c>
      <c r="J89" s="282">
        <f>'Resultater - Vestdanmark'!J89+'Resultater - Østdanmark'!J89</f>
        <v>9486365.9711743183</v>
      </c>
    </row>
    <row r="90" spans="1:10" x14ac:dyDescent="0.25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80">
        <f>'Resultater - Vestdanmark'!H90+'Resultater - Østdanmark'!H90</f>
        <v>250560.00000000003</v>
      </c>
      <c r="I90" s="281">
        <f>'Resultater - Vestdanmark'!I90+'Resultater - Østdanmark'!I90</f>
        <v>195343.77170144278</v>
      </c>
      <c r="J90" s="282">
        <f>'Resultater - Vestdanmark'!J90+'Resultater - Østdanmark'!J90</f>
        <v>185906.21076511967</v>
      </c>
    </row>
    <row r="91" spans="1:10" x14ac:dyDescent="0.25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80">
        <f>'Resultater - Vestdanmark'!H91+'Resultater - Østdanmark'!H91</f>
        <v>4786000</v>
      </c>
      <c r="I91" s="281">
        <f>'Resultater - Vestdanmark'!I91+'Resultater - Østdanmark'!I91</f>
        <v>3731303.0466279737</v>
      </c>
      <c r="J91" s="282">
        <f>'Resultater - Vestdanmark'!J91+'Resultater - Østdanmark'!J91</f>
        <v>3551034.1823190562</v>
      </c>
    </row>
    <row r="92" spans="1:10" x14ac:dyDescent="0.25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80">
        <f>'Resultater - Vestdanmark'!H92+'Resultater - Østdanmark'!H92</f>
        <v>54522.149641311174</v>
      </c>
      <c r="I92" s="281">
        <f>'Resultater - Vestdanmark'!I92+'Resultater - Østdanmark'!I92</f>
        <v>42507.033653433064</v>
      </c>
      <c r="J92" s="282">
        <f>'Resultater - Vestdanmark'!J92+'Resultater - Østdanmark'!J92</f>
        <v>40453.409333433068</v>
      </c>
    </row>
    <row r="93" spans="1:10" x14ac:dyDescent="0.25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80">
        <f>'Resultater - Vestdanmark'!H93+'Resultater - Østdanmark'!H93</f>
        <v>-3317225912</v>
      </c>
      <c r="I93" s="281">
        <f>'Resultater - Vestdanmark'!I93+'Resultater - Østdanmark'!I93</f>
        <v>-2586204586.6692138</v>
      </c>
      <c r="J93" s="282">
        <f>'Resultater - Vestdanmark'!J93+'Resultater - Østdanmark'!J93</f>
        <v>-2461258379.4372134</v>
      </c>
    </row>
    <row r="94" spans="1:10" x14ac:dyDescent="0.25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80">
        <f>'Resultater - Vestdanmark'!H94+'Resultater - Østdanmark'!H94</f>
        <v>-13874.569799999999</v>
      </c>
      <c r="I94" s="281">
        <f>'Resultater - Vestdanmark'!I94+'Resultater - Østdanmark'!I94</f>
        <v>-10817.013072585138</v>
      </c>
      <c r="J94" s="282">
        <f>'Resultater - Vestdanmark'!J94+'Resultater - Østdanmark'!J94</f>
        <v>-10294.415299785136</v>
      </c>
    </row>
    <row r="95" spans="1:10" x14ac:dyDescent="0.25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80">
        <f>'Resultater - Vestdanmark'!H95+'Resultater - Østdanmark'!H95</f>
        <v>3588024.4873487833</v>
      </c>
      <c r="I95" s="281">
        <f>'Resultater - Vestdanmark'!I95+'Resultater - Østdanmark'!I95</f>
        <v>2797326.9329336165</v>
      </c>
      <c r="J95" s="282">
        <f>'Resultater - Vestdanmark'!J95+'Resultater - Østdanmark'!J95</f>
        <v>2662180.8611728661</v>
      </c>
    </row>
    <row r="96" spans="1:10" x14ac:dyDescent="0.25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80">
        <f>'Resultater - Vestdanmark'!H96+'Resultater - Østdanmark'!H96</f>
        <v>23400.000000000004</v>
      </c>
      <c r="I96" s="281">
        <f>'Resultater - Vestdanmark'!I96+'Resultater - Østdanmark'!I96</f>
        <v>21412.262565954799</v>
      </c>
      <c r="J96" s="282">
        <f>'Resultater - Vestdanmark'!J96+'Resultater - Østdanmark'!J96</f>
        <v>26390.173140597766</v>
      </c>
    </row>
    <row r="97" spans="1:10" x14ac:dyDescent="0.25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80">
        <f>'Resultater - Vestdanmark'!H97+'Resultater - Østdanmark'!H97</f>
        <v>1264500</v>
      </c>
      <c r="I97" s="281">
        <f>'Resultater - Vestdanmark'!I97+'Resultater - Østdanmark'!I97</f>
        <v>1157085.7271217881</v>
      </c>
      <c r="J97" s="282">
        <f>'Resultater - Vestdanmark'!J97+'Resultater - Østdanmark'!J97</f>
        <v>1426084.3562515329</v>
      </c>
    </row>
    <row r="98" spans="1:10" x14ac:dyDescent="0.25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80">
        <f>'Resultater - Vestdanmark'!H98+'Resultater - Østdanmark'!H98</f>
        <v>10440.000000000002</v>
      </c>
      <c r="I98" s="281">
        <f>'Resultater - Vestdanmark'!I98+'Resultater - Østdanmark'!I98</f>
        <v>9553.1632986567565</v>
      </c>
      <c r="J98" s="282">
        <f>'Resultater - Vestdanmark'!J98+'Resultater - Østdanmark'!J98</f>
        <v>11774.077247343617</v>
      </c>
    </row>
    <row r="99" spans="1:10" x14ac:dyDescent="0.25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80">
        <f>'Resultater - Vestdanmark'!H99+'Resultater - Østdanmark'!H99</f>
        <v>482999.99999999994</v>
      </c>
      <c r="I99" s="281">
        <f>'Resultater - Vestdanmark'!I99+'Resultater - Østdanmark'!I99</f>
        <v>441971.06065624644</v>
      </c>
      <c r="J99" s="282">
        <f>'Resultater - Vestdanmark'!J99+'Resultater - Østdanmark'!J99</f>
        <v>544720.24046618456</v>
      </c>
    </row>
    <row r="100" spans="1:10" x14ac:dyDescent="0.25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80">
        <f>'Resultater - Vestdanmark'!H100+'Resultater - Østdanmark'!H100</f>
        <v>9653.6103586888312</v>
      </c>
      <c r="I100" s="281">
        <f>'Resultater - Vestdanmark'!I100+'Resultater - Østdanmark'!I100</f>
        <v>8833.5743465669384</v>
      </c>
      <c r="J100" s="282">
        <f>'Resultater - Vestdanmark'!J100+'Resultater - Østdanmark'!J100</f>
        <v>10887.198666566937</v>
      </c>
    </row>
    <row r="101" spans="1:10" x14ac:dyDescent="0.25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80">
        <f>'Resultater - Vestdanmark'!H101+'Resultater - Østdanmark'!H101</f>
        <v>-587343064</v>
      </c>
      <c r="I101" s="281">
        <f>'Resultater - Vestdanmark'!I101+'Resultater - Østdanmark'!I101</f>
        <v>-537450594.13078606</v>
      </c>
      <c r="J101" s="282">
        <f>'Resultater - Vestdanmark'!J101+'Resultater - Østdanmark'!J101</f>
        <v>-662396801.36278594</v>
      </c>
    </row>
    <row r="102" spans="1:10" x14ac:dyDescent="0.25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80">
        <f>'Resultater - Vestdanmark'!H102+'Resultater - Østdanmark'!H102</f>
        <v>-2961.3935999999999</v>
      </c>
      <c r="I102" s="281">
        <f>'Resultater - Vestdanmark'!I102+'Resultater - Østdanmark'!I102</f>
        <v>-2709.8349283905177</v>
      </c>
      <c r="J102" s="282">
        <f>'Resultater - Vestdanmark'!J102+'Resultater - Østdanmark'!J102</f>
        <v>-3339.8158051905179</v>
      </c>
    </row>
    <row r="103" spans="1:10" x14ac:dyDescent="0.25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80">
        <f>'Resultater - Vestdanmark'!H103+'Resultater - Østdanmark'!H103</f>
        <v>531260.59557996574</v>
      </c>
      <c r="I103" s="281">
        <f>'Resultater - Vestdanmark'!I103+'Resultater - Østdanmark'!I103</f>
        <v>486132.10955144238</v>
      </c>
      <c r="J103" s="282">
        <f>'Resultater - Vestdanmark'!J103+'Resultater - Østdanmark'!J103</f>
        <v>599147.82479198219</v>
      </c>
    </row>
    <row r="104" spans="1:10" x14ac:dyDescent="0.25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80">
        <f>'Resultater - Vestdanmark'!H104+'Resultater - Østdanmark'!H104</f>
        <v>105566999.99999999</v>
      </c>
      <c r="I104" s="281">
        <f>'Resultater - Vestdanmark'!I104+'Resultater - Østdanmark'!I104</f>
        <v>82323881.005690798</v>
      </c>
      <c r="J104" s="282">
        <f>'Resultater - Vestdanmark'!J104+'Resultater - Østdanmark'!J104</f>
        <v>78386096.171160832</v>
      </c>
    </row>
    <row r="105" spans="1:10" x14ac:dyDescent="0.25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80">
        <f>'Resultater - Vestdanmark'!H105+'Resultater - Østdanmark'!H105</f>
        <v>6719.2238038686164</v>
      </c>
      <c r="I105" s="281">
        <f>'Resultater - Vestdanmark'!I105+'Resultater - Østdanmark'!I105</f>
        <v>5239.8247641809012</v>
      </c>
      <c r="J105" s="282">
        <f>'Resultater - Vestdanmark'!J105+'Resultater - Østdanmark'!J105</f>
        <v>4989.1890769425909</v>
      </c>
    </row>
    <row r="106" spans="1:10" x14ac:dyDescent="0.25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80">
        <f>'Resultater - Vestdanmark'!H106+'Resultater - Østdanmark'!H106</f>
        <v>148922.51453359297</v>
      </c>
      <c r="I106" s="281">
        <f>'Resultater - Vestdanmark'!I106+'Resultater - Østdanmark'!I106</f>
        <v>116133.63423732575</v>
      </c>
      <c r="J106" s="282">
        <f>'Resultater - Vestdanmark'!J106+'Resultater - Østdanmark'!J106</f>
        <v>110578.63296561723</v>
      </c>
    </row>
    <row r="107" spans="1:10" x14ac:dyDescent="0.25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80">
        <f>'Resultater - Vestdanmark'!H107+'Resultater - Østdanmark'!H107</f>
        <v>220000</v>
      </c>
      <c r="I107" s="281">
        <f>'Resultater - Vestdanmark'!I107+'Resultater - Østdanmark'!I107</f>
        <v>171561.69845929107</v>
      </c>
      <c r="J107" s="282">
        <f>'Resultater - Vestdanmark'!J107+'Resultater - Østdanmark'!J107</f>
        <v>163355.41559062383</v>
      </c>
    </row>
    <row r="108" spans="1:10" x14ac:dyDescent="0.25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80">
        <f>'Resultater - Vestdanmark'!H108+'Resultater - Østdanmark'!H108</f>
        <v>9291.4831667730468</v>
      </c>
      <c r="I108" s="281">
        <f>'Resultater - Vestdanmark'!I108+'Resultater - Østdanmark'!I108</f>
        <v>7245.7392422613466</v>
      </c>
      <c r="J108" s="282">
        <f>'Resultater - Vestdanmark'!J108+'Resultater - Østdanmark'!J108</f>
        <v>6899.1549734613482</v>
      </c>
    </row>
    <row r="109" spans="1:10" x14ac:dyDescent="0.25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80">
        <f>'Resultater - Vestdanmark'!H109+'Resultater - Østdanmark'!H109</f>
        <v>-365582337.12</v>
      </c>
      <c r="I109" s="281">
        <f>'Resultater - Vestdanmark'!I109+'Resultater - Østdanmark'!I109</f>
        <v>-285090575.83192879</v>
      </c>
      <c r="J109" s="282">
        <f>'Resultater - Vestdanmark'!J109+'Resultater - Østdanmark'!J109</f>
        <v>-271453884.60376883</v>
      </c>
    </row>
    <row r="110" spans="1:10" x14ac:dyDescent="0.25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80">
        <f>'Resultater - Vestdanmark'!H110+'Resultater - Østdanmark'!H110</f>
        <v>-8664.776171999998</v>
      </c>
      <c r="I110" s="281">
        <f>'Resultater - Vestdanmark'!I110+'Resultater - Østdanmark'!I110</f>
        <v>-6757.0168947177917</v>
      </c>
      <c r="J110" s="282">
        <f>'Resultater - Vestdanmark'!J110+'Resultater - Østdanmark'!J110</f>
        <v>-6433.8096026217927</v>
      </c>
    </row>
    <row r="111" spans="1:10" x14ac:dyDescent="0.25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80">
        <f>'Resultater - Vestdanmark'!H111+'Resultater - Østdanmark'!H111</f>
        <v>14116.474844810102</v>
      </c>
      <c r="I111" s="281">
        <f>'Resultater - Vestdanmark'!I111+'Resultater - Østdanmark'!I111</f>
        <v>11008.392730152173</v>
      </c>
      <c r="J111" s="282">
        <f>'Resultater - Vestdanmark'!J111+'Resultater - Østdanmark'!J111</f>
        <v>10481.830067947913</v>
      </c>
    </row>
    <row r="112" spans="1:10" x14ac:dyDescent="0.25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80">
        <f>'Resultater - Vestdanmark'!H112+'Resultater - Østdanmark'!H112</f>
        <v>1224707</v>
      </c>
      <c r="I112" s="281">
        <f>'Resultater - Vestdanmark'!I112+'Resultater - Østdanmark'!I112</f>
        <v>1128905.9256907196</v>
      </c>
      <c r="J112" s="282">
        <f>'Resultater - Vestdanmark'!J112+'Resultater - Østdanmark'!J112</f>
        <v>1404661.7950289082</v>
      </c>
    </row>
    <row r="113" spans="1:10" x14ac:dyDescent="0.25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80">
        <f>'Resultater - Vestdanmark'!H113+'Resultater - Østdanmark'!H113</f>
        <v>2163.7761961313831</v>
      </c>
      <c r="I113" s="281">
        <f>'Resultater - Vestdanmark'!I113+'Resultater - Østdanmark'!I113</f>
        <v>1994.5176843777681</v>
      </c>
      <c r="J113" s="282">
        <f>'Resultater - Vestdanmark'!J113+'Resultater - Østdanmark'!J113</f>
        <v>2481.7150189381882</v>
      </c>
    </row>
    <row r="114" spans="1:10" x14ac:dyDescent="0.25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80">
        <f>'Resultater - Vestdanmark'!H114+'Resultater - Østdanmark'!H114</f>
        <v>8147.4854664070526</v>
      </c>
      <c r="I114" s="281">
        <f>'Resultater - Vestdanmark'!I114+'Resultater - Østdanmark'!I114</f>
        <v>7510.1592646289591</v>
      </c>
      <c r="J114" s="282">
        <f>'Resultater - Vestdanmark'!J114+'Resultater - Østdanmark'!J114</f>
        <v>9344.6526885330713</v>
      </c>
    </row>
    <row r="115" spans="1:10" x14ac:dyDescent="0.25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80">
        <f>'Resultater - Vestdanmark'!H115+'Resultater - Østdanmark'!H115</f>
        <v>15000</v>
      </c>
      <c r="I115" s="281">
        <f>'Resultater - Vestdanmark'!I115+'Resultater - Østdanmark'!I115</f>
        <v>13826.644973337128</v>
      </c>
      <c r="J115" s="282">
        <f>'Resultater - Vestdanmark'!J115+'Resultater - Østdanmark'!J115</f>
        <v>17204.05527643234</v>
      </c>
    </row>
    <row r="116" spans="1:10" x14ac:dyDescent="0.25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80">
        <f>'Resultater - Vestdanmark'!H116+'Resultater - Østdanmark'!H116</f>
        <v>1539.2752332269538</v>
      </c>
      <c r="I116" s="281">
        <f>'Resultater - Vestdanmark'!I116+'Resultater - Østdanmark'!I116</f>
        <v>1418.8674777386532</v>
      </c>
      <c r="J116" s="282">
        <f>'Resultater - Vestdanmark'!J116+'Resultater - Østdanmark'!J116</f>
        <v>1765.451746538653</v>
      </c>
    </row>
    <row r="117" spans="1:10" x14ac:dyDescent="0.25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80">
        <f>'Resultater - Vestdanmark'!H117+'Resultater - Østdanmark'!H117</f>
        <v>-60564263.759999998</v>
      </c>
      <c r="I117" s="281">
        <f>'Resultater - Vestdanmark'!I117+'Resultater - Østdanmark'!I117</f>
        <v>-55826704.872071199</v>
      </c>
      <c r="J117" s="282">
        <f>'Resultater - Vestdanmark'!J117+'Resultater - Østdanmark'!J117</f>
        <v>-69463396.1002312</v>
      </c>
    </row>
    <row r="118" spans="1:10" x14ac:dyDescent="0.25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80">
        <f>'Resultater - Vestdanmark'!H118+'Resultater - Østdanmark'!H118</f>
        <v>-2703.7617749999999</v>
      </c>
      <c r="I118" s="281">
        <f>'Resultater - Vestdanmark'!I118+'Resultater - Østdanmark'!I118</f>
        <v>-2492.2636103603218</v>
      </c>
      <c r="J118" s="282">
        <f>'Resultater - Vestdanmark'!J118+'Resultater - Østdanmark'!J118</f>
        <v>-3101.0444687603213</v>
      </c>
    </row>
    <row r="119" spans="1:10" x14ac:dyDescent="0.25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80">
        <f>'Resultater - Vestdanmark'!H119+'Resultater - Østdanmark'!H119</f>
        <v>2572.4691839803959</v>
      </c>
      <c r="I119" s="281">
        <f>'Resultater - Vestdanmark'!I119+'Resultater - Østdanmark'!I119</f>
        <v>2371.2412074498138</v>
      </c>
      <c r="J119" s="282">
        <f>'Resultater - Vestdanmark'!J119+'Resultater - Østdanmark'!J119</f>
        <v>2950.4601358745017</v>
      </c>
    </row>
    <row r="120" spans="1:10" x14ac:dyDescent="0.25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80">
        <f>'Resultater - Vestdanmark'!H120+'Resultater - Østdanmark'!H120</f>
        <v>8030838.3925888147</v>
      </c>
      <c r="I120" s="281">
        <f>'Resultater - Vestdanmark'!I120+'Resultater - Østdanmark'!I120</f>
        <v>6117612.5009897444</v>
      </c>
      <c r="J120" s="282">
        <f>'Resultater - Vestdanmark'!J120+'Resultater - Østdanmark'!J120</f>
        <v>6094346.0644214675</v>
      </c>
    </row>
    <row r="121" spans="1:10" x14ac:dyDescent="0.25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80">
        <f>'Resultater - Vestdanmark'!H121+'Resultater - Østdanmark'!H121</f>
        <v>2621245.5742450082</v>
      </c>
      <c r="I121" s="281">
        <f>'Resultater - Vestdanmark'!I121+'Resultater - Østdanmark'!I121</f>
        <v>2683486.8715176973</v>
      </c>
      <c r="J121" s="282">
        <f>'Resultater - Vestdanmark'!J121+'Resultater - Østdanmark'!J121</f>
        <v>2491962.8698767768</v>
      </c>
    </row>
    <row r="122" spans="1:10" x14ac:dyDescent="0.25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80">
        <f>'Resultater - Vestdanmark'!H122+'Resultater - Østdanmark'!H122</f>
        <v>-183300163.02627823</v>
      </c>
      <c r="I122" s="281">
        <f>'Resultater - Vestdanmark'!I122+'Resultater - Østdanmark'!I122</f>
        <v>-130253422.63695242</v>
      </c>
      <c r="J122" s="282">
        <f>'Resultater - Vestdanmark'!J122+'Resultater - Østdanmark'!J122</f>
        <v>-120957063.86000556</v>
      </c>
    </row>
    <row r="123" spans="1:10" x14ac:dyDescent="0.25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80">
        <f>'Resultater - Vestdanmark'!H123+'Resultater - Østdanmark'!H123</f>
        <v>2604803.426450097</v>
      </c>
      <c r="I123" s="281">
        <f>'Resultater - Vestdanmark'!I123+'Resultater - Østdanmark'!I123</f>
        <v>1850977.9587208868</v>
      </c>
      <c r="J123" s="282">
        <f>'Resultater - Vestdanmark'!J123+'Resultater - Østdanmark'!J123</f>
        <v>1718871.2175379612</v>
      </c>
    </row>
    <row r="124" spans="1:10" x14ac:dyDescent="0.25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80">
        <f>'Resultater - Vestdanmark'!H124+'Resultater - Østdanmark'!H124</f>
        <v>225935.04552207049</v>
      </c>
      <c r="I124" s="281">
        <f>'Resultater - Vestdanmark'!I124+'Resultater - Østdanmark'!I124</f>
        <v>127603.5504552457</v>
      </c>
      <c r="J124" s="282">
        <f>'Resultater - Vestdanmark'!J124+'Resultater - Østdanmark'!J124</f>
        <v>130558.04988182031</v>
      </c>
    </row>
    <row r="125" spans="1:10" x14ac:dyDescent="0.25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80">
        <f>'Resultater - Vestdanmark'!H125+'Resultater - Østdanmark'!H125</f>
        <v>73744.634020790007</v>
      </c>
      <c r="I125" s="281">
        <f>'Resultater - Vestdanmark'!I125+'Resultater - Østdanmark'!I125</f>
        <v>55973.217059808674</v>
      </c>
      <c r="J125" s="282">
        <f>'Resultater - Vestdanmark'!J125+'Resultater - Østdanmark'!J125</f>
        <v>53384.860201551623</v>
      </c>
    </row>
    <row r="126" spans="1:10" x14ac:dyDescent="0.25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80">
        <f>'Resultater - Vestdanmark'!H126+'Resultater - Østdanmark'!H126</f>
        <v>-3491625.762942126</v>
      </c>
      <c r="I126" s="281">
        <f>'Resultater - Vestdanmark'!I126+'Resultater - Østdanmark'!I126</f>
        <v>-1839551.9681352002</v>
      </c>
      <c r="J126" s="282">
        <f>'Resultater - Vestdanmark'!J126+'Resultater - Østdanmark'!J126</f>
        <v>-1754485.9811694103</v>
      </c>
    </row>
    <row r="127" spans="1:10" x14ac:dyDescent="0.25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80">
        <f>'Resultater - Vestdanmark'!H127+'Resultater - Østdanmark'!H127</f>
        <v>429515.47728160548</v>
      </c>
      <c r="I127" s="281">
        <f>'Resultater - Vestdanmark'!I127+'Resultater - Østdanmark'!I127</f>
        <v>226288.86805788055</v>
      </c>
      <c r="J127" s="282">
        <f>'Resultater - Vestdanmark'!J127+'Resultater - Østdanmark'!J127</f>
        <v>215824.64294537739</v>
      </c>
    </row>
    <row r="128" spans="1:10" x14ac:dyDescent="0.25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80">
        <f>'Resultater - Vestdanmark'!H128+'Resultater - Østdanmark'!H128</f>
        <v>134184.5342649988</v>
      </c>
      <c r="I128" s="281">
        <f>'Resultater - Vestdanmark'!I128+'Resultater - Østdanmark'!I128</f>
        <v>82931.152170524088</v>
      </c>
      <c r="J128" s="282">
        <f>'Resultater - Vestdanmark'!J128+'Resultater - Østdanmark'!J128</f>
        <v>84851.318503348171</v>
      </c>
    </row>
    <row r="129" spans="1:10" x14ac:dyDescent="0.25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80">
        <f>'Resultater - Vestdanmark'!H129+'Resultater - Østdanmark'!H129</f>
        <v>43797.49652275996</v>
      </c>
      <c r="I129" s="281">
        <f>'Resultater - Vestdanmark'!I129+'Resultater - Østdanmark'!I129</f>
        <v>36377.697680824538</v>
      </c>
      <c r="J129" s="282">
        <f>'Resultater - Vestdanmark'!J129+'Resultater - Østdanmark'!J129</f>
        <v>34695.492007722816</v>
      </c>
    </row>
    <row r="130" spans="1:10" x14ac:dyDescent="0.25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80">
        <f>'Resultater - Vestdanmark'!H130+'Resultater - Østdanmark'!H130</f>
        <v>-1367276.6890666278</v>
      </c>
      <c r="I130" s="281">
        <f>'Resultater - Vestdanmark'!I130+'Resultater - Østdanmark'!I130</f>
        <v>-788273.37897699536</v>
      </c>
      <c r="J130" s="282">
        <f>'Resultater - Vestdanmark'!J130+'Resultater - Østdanmark'!J130</f>
        <v>-751821.43081620929</v>
      </c>
    </row>
    <row r="131" spans="1:10" x14ac:dyDescent="0.25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80">
        <f>'Resultater - Vestdanmark'!H131+'Resultater - Østdanmark'!H131</f>
        <v>559922.97086443973</v>
      </c>
      <c r="I131" s="281">
        <f>'Resultater - Vestdanmark'!I131+'Resultater - Østdanmark'!I131</f>
        <v>322811.30493890942</v>
      </c>
      <c r="J131" s="282">
        <f>'Resultater - Vestdanmark'!J131+'Resultater - Østdanmark'!J131</f>
        <v>307883.61453711009</v>
      </c>
    </row>
    <row r="132" spans="1:10" x14ac:dyDescent="0.25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80">
        <f>'Resultater - Vestdanmark'!H132+'Resultater - Østdanmark'!H132</f>
        <v>687979.55575600604</v>
      </c>
      <c r="I132" s="281">
        <f>'Resultater - Vestdanmark'!I132+'Resultater - Østdanmark'!I132</f>
        <v>639697.16845609527</v>
      </c>
      <c r="J132" s="282">
        <f>'Resultater - Vestdanmark'!J132+'Resultater - Østdanmark'!J132</f>
        <v>866135.84976171737</v>
      </c>
    </row>
    <row r="133" spans="1:10" x14ac:dyDescent="0.25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80">
        <f>'Resultater - Vestdanmark'!H133+'Resultater - Østdanmark'!H133</f>
        <v>224554.80704987101</v>
      </c>
      <c r="I133" s="281">
        <f>'Resultater - Vestdanmark'!I133+'Resultater - Østdanmark'!I133</f>
        <v>280602.76014887379</v>
      </c>
      <c r="J133" s="282">
        <f>'Resultater - Vestdanmark'!J133+'Resultater - Østdanmark'!J133</f>
        <v>354160.78362794197</v>
      </c>
    </row>
    <row r="134" spans="1:10" x14ac:dyDescent="0.25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80">
        <f>'Resultater - Vestdanmark'!H134+'Resultater - Østdanmark'!H134</f>
        <v>-15702814.396713404</v>
      </c>
      <c r="I134" s="281">
        <f>'Resultater - Vestdanmark'!I134+'Resultater - Østdanmark'!I134</f>
        <v>-13620141.130072078</v>
      </c>
      <c r="J134" s="282">
        <f>'Resultater - Vestdanmark'!J134+'Resultater - Østdanmark'!J134</f>
        <v>-17190564.530406848</v>
      </c>
    </row>
    <row r="135" spans="1:10" x14ac:dyDescent="0.25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80">
        <f>'Resultater - Vestdanmark'!H135+'Resultater - Østdanmark'!H135</f>
        <v>333054.11051750812</v>
      </c>
      <c r="I135" s="281">
        <f>'Resultater - Vestdanmark'!I135+'Resultater - Østdanmark'!I135</f>
        <v>288880.95309516735</v>
      </c>
      <c r="J135" s="282">
        <f>'Resultater - Vestdanmark'!J135+'Resultater - Østdanmark'!J135</f>
        <v>364609.04614441597</v>
      </c>
    </row>
    <row r="136" spans="1:10" x14ac:dyDescent="0.25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80">
        <f>'Resultater - Vestdanmark'!H136+'Resultater - Østdanmark'!H136</f>
        <v>19355.226023653049</v>
      </c>
      <c r="I136" s="281">
        <f>'Resultater - Vestdanmark'!I136+'Resultater - Østdanmark'!I136</f>
        <v>13343.053339510952</v>
      </c>
      <c r="J136" s="282">
        <f>'Resultater - Vestdanmark'!J136+'Resultater - Østdanmark'!J136</f>
        <v>18555.068301385974</v>
      </c>
    </row>
    <row r="137" spans="1:10" x14ac:dyDescent="0.25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80">
        <f>'Resultater - Vestdanmark'!H137+'Resultater - Østdanmark'!H137</f>
        <v>6317.4973860552982</v>
      </c>
      <c r="I137" s="281">
        <f>'Resultater - Vestdanmark'!I137+'Resultater - Østdanmark'!I137</f>
        <v>5852.9219457337513</v>
      </c>
      <c r="J137" s="282">
        <f>'Resultater - Vestdanmark'!J137+'Resultater - Østdanmark'!J137</f>
        <v>7587.1210407659737</v>
      </c>
    </row>
    <row r="138" spans="1:10" x14ac:dyDescent="0.25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80">
        <f>'Resultater - Vestdanmark'!H138+'Resultater - Østdanmark'!H138</f>
        <v>-299117.85343258409</v>
      </c>
      <c r="I138" s="281">
        <f>'Resultater - Vestdanmark'!I138+'Resultater - Østdanmark'!I138</f>
        <v>-192355.46302639175</v>
      </c>
      <c r="J138" s="282">
        <f>'Resultater - Vestdanmark'!J138+'Resultater - Østdanmark'!J138</f>
        <v>-249349.67429347077</v>
      </c>
    </row>
    <row r="139" spans="1:10" x14ac:dyDescent="0.25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80">
        <f>'Resultater - Vestdanmark'!H139+'Resultater - Østdanmark'!H139</f>
        <v>54918.499333549895</v>
      </c>
      <c r="I139" s="281">
        <f>'Resultater - Vestdanmark'!I139+'Resultater - Østdanmark'!I139</f>
        <v>35316.75975469812</v>
      </c>
      <c r="J139" s="282">
        <f>'Resultater - Vestdanmark'!J139+'Resultater - Østdanmark'!J139</f>
        <v>45780.984867201259</v>
      </c>
    </row>
    <row r="140" spans="1:10" x14ac:dyDescent="0.25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80">
        <f>'Resultater - Vestdanmark'!H140+'Resultater - Østdanmark'!H140</f>
        <v>11495.215288873653</v>
      </c>
      <c r="I140" s="281">
        <f>'Resultater - Vestdanmark'!I140+'Resultater - Østdanmark'!I140</f>
        <v>8671.8181662704101</v>
      </c>
      <c r="J140" s="282">
        <f>'Resultater - Vestdanmark'!J140+'Resultater - Østdanmark'!J140</f>
        <v>12059.172235778879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80">
        <f>'Resultater - Vestdanmark'!H141+'Resultater - Østdanmark'!H141</f>
        <v>3752.0095322501388</v>
      </c>
      <c r="I141" s="281">
        <f>'Resultater - Vestdanmark'!I141+'Resultater - Østdanmark'!I141</f>
        <v>3803.8875783012481</v>
      </c>
      <c r="J141" s="282">
        <f>'Resultater - Vestdanmark'!J141+'Resultater - Østdanmark'!J141</f>
        <v>4930.9653792793943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80">
        <f>'Resultater - Vestdanmark'!H142+'Resultater - Østdanmark'!H142</f>
        <v>-117130.7854990183</v>
      </c>
      <c r="I142" s="281">
        <f>'Resultater - Vestdanmark'!I142+'Resultater - Østdanmark'!I142</f>
        <v>-82426.967778577149</v>
      </c>
      <c r="J142" s="282">
        <f>'Resultater - Vestdanmark'!J142+'Resultater - Østdanmark'!J142</f>
        <v>-106849.77304630369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80">
        <f>'Resultater - Vestdanmark'!H143+'Resultater - Østdanmark'!H143</f>
        <v>71592.598937004383</v>
      </c>
      <c r="I143" s="281">
        <f>'Resultater - Vestdanmark'!I143+'Resultater - Østdanmark'!I143</f>
        <v>50380.955106072579</v>
      </c>
      <c r="J143" s="282">
        <f>'Resultater - Vestdanmark'!J143+'Resultater - Østdanmark'!J143</f>
        <v>65308.645507871843</v>
      </c>
    </row>
    <row r="144" spans="1:10" x14ac:dyDescent="0.25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80">
        <f>'Resultater - Vestdanmark'!H144+'Resultater - Østdanmark'!H144</f>
        <v>230147.57425814544</v>
      </c>
      <c r="I144" s="281">
        <f>'Resultater - Vestdanmark'!I144+'Resultater - Østdanmark'!I144</f>
        <v>232685.95138726168</v>
      </c>
      <c r="J144" s="282">
        <f>'Resultater - Vestdanmark'!J144+'Resultater - Østdanmark'!J144</f>
        <v>231801.00273655762</v>
      </c>
    </row>
    <row r="145" spans="1:10" x14ac:dyDescent="0.25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80">
        <f>'Resultater - Vestdanmark'!H145+'Resultater - Østdanmark'!H145</f>
        <v>-2232747.9829002842</v>
      </c>
      <c r="I145" s="281">
        <f>'Resultater - Vestdanmark'!I145+'Resultater - Østdanmark'!I145</f>
        <v>-2105759.0783390985</v>
      </c>
      <c r="J145" s="282">
        <f>'Resultater - Vestdanmark'!J145+'Resultater - Østdanmark'!J145</f>
        <v>-1955468.2722033095</v>
      </c>
    </row>
    <row r="146" spans="1:10" x14ac:dyDescent="0.25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80">
        <f>'Resultater - Vestdanmark'!H146+'Resultater - Østdanmark'!H146</f>
        <v>25382.932563674498</v>
      </c>
      <c r="I146" s="281">
        <f>'Resultater - Vestdanmark'!I146+'Resultater - Østdanmark'!I146</f>
        <v>23939.262778504915</v>
      </c>
      <c r="J146" s="282">
        <f>'Resultater - Vestdanmark'!J146+'Resultater - Østdanmark'!J146</f>
        <v>22230.685981525952</v>
      </c>
    </row>
    <row r="147" spans="1:10" x14ac:dyDescent="0.25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80">
        <f>'Resultater - Vestdanmark'!H147+'Resultater - Østdanmark'!H147</f>
        <v>2806.7295229677611</v>
      </c>
      <c r="I147" s="281">
        <f>'Resultater - Vestdanmark'!I147+'Resultater - Østdanmark'!I147</f>
        <v>1585.3494883221538</v>
      </c>
      <c r="J147" s="282">
        <f>'Resultater - Vestdanmark'!J147+'Resultater - Østdanmark'!J147</f>
        <v>1622.0562581373943</v>
      </c>
    </row>
    <row r="148" spans="1:10" x14ac:dyDescent="0.25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80">
        <f>'Resultater - Vestdanmark'!H148+'Resultater - Østdanmark'!H148</f>
        <v>-22123.673287397512</v>
      </c>
      <c r="I148" s="281">
        <f>'Resultater - Vestdanmark'!I148+'Resultater - Østdanmark'!I148</f>
        <v>-11657.002911845626</v>
      </c>
      <c r="J148" s="282">
        <f>'Resultater - Vestdanmark'!J148+'Resultater - Østdanmark'!J148</f>
        <v>-11117.950754072415</v>
      </c>
    </row>
    <row r="149" spans="1:10" x14ac:dyDescent="0.25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80">
        <f>'Resultater - Vestdanmark'!H149+'Resultater - Østdanmark'!H149</f>
        <v>1814.3334435803249</v>
      </c>
      <c r="I149" s="281">
        <f>'Resultater - Vestdanmark'!I149+'Resultater - Østdanmark'!I149</f>
        <v>955.97552721601687</v>
      </c>
      <c r="J149" s="282">
        <f>'Resultater - Vestdanmark'!J149+'Resultater - Østdanmark'!J149</f>
        <v>911.76856641990037</v>
      </c>
    </row>
    <row r="150" spans="1:10" x14ac:dyDescent="0.25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80">
        <f>'Resultater - Vestdanmark'!H150+'Resultater - Østdanmark'!H150</f>
        <v>843.56496811604438</v>
      </c>
      <c r="I150" s="281">
        <f>'Resultater - Vestdanmark'!I150+'Resultater - Østdanmark'!I150</f>
        <v>522.34073106488052</v>
      </c>
      <c r="J150" s="282">
        <f>'Resultater - Vestdanmark'!J150+'Resultater - Østdanmark'!J150</f>
        <v>534.43487252804482</v>
      </c>
    </row>
    <row r="151" spans="1:10" x14ac:dyDescent="0.25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80">
        <f>'Resultater - Vestdanmark'!H151+'Resultater - Østdanmark'!H151</f>
        <v>-5553.2523541027549</v>
      </c>
      <c r="I151" s="281">
        <f>'Resultater - Vestdanmark'!I151+'Resultater - Østdanmark'!I151</f>
        <v>-3207.6574313853434</v>
      </c>
      <c r="J151" s="282">
        <f>'Resultater - Vestdanmark'!J151+'Resultater - Østdanmark'!J151</f>
        <v>-3059.3264518993165</v>
      </c>
    </row>
    <row r="152" spans="1:10" x14ac:dyDescent="0.25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80">
        <f>'Resultater - Vestdanmark'!H152+'Resultater - Østdanmark'!H152</f>
        <v>1196.9215428986058</v>
      </c>
      <c r="I152" s="281">
        <f>'Resultater - Vestdanmark'!I152+'Resultater - Østdanmark'!I152</f>
        <v>691.36319350361066</v>
      </c>
      <c r="J152" s="282">
        <f>'Resultater - Vestdanmark'!J152+'Resultater - Østdanmark'!J152</f>
        <v>659.39264120286578</v>
      </c>
    </row>
    <row r="153" spans="1:10" x14ac:dyDescent="0.25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80">
        <f>'Resultater - Vestdanmark'!H153+'Resultater - Østdanmark'!H153</f>
        <v>16773.399891430559</v>
      </c>
      <c r="I153" s="281">
        <f>'Resultater - Vestdanmark'!I153+'Resultater - Østdanmark'!I153</f>
        <v>20699.634634970847</v>
      </c>
      <c r="J153" s="282">
        <f>'Resultater - Vestdanmark'!J153+'Resultater - Østdanmark'!J153</f>
        <v>28026.848512692872</v>
      </c>
    </row>
    <row r="154" spans="1:10" x14ac:dyDescent="0.25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80">
        <f>'Resultater - Vestdanmark'!H154+'Resultater - Østdanmark'!H154</f>
        <v>-162725.04672139056</v>
      </c>
      <c r="I154" s="281">
        <f>'Resultater - Vestdanmark'!I154+'Resultater - Østdanmark'!I154</f>
        <v>-187327.35384762267</v>
      </c>
      <c r="J154" s="282">
        <f>'Resultater - Vestdanmark'!J154+'Resultater - Østdanmark'!J154</f>
        <v>-236433.89109367284</v>
      </c>
    </row>
    <row r="155" spans="1:10" x14ac:dyDescent="0.25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80">
        <f>'Resultater - Vestdanmark'!H155+'Resultater - Østdanmark'!H155</f>
        <v>3245.5001945546865</v>
      </c>
      <c r="I155" s="281">
        <f>'Resultater - Vestdanmark'!I155+'Resultater - Østdanmark'!I155</f>
        <v>3736.1855203446976</v>
      </c>
      <c r="J155" s="282">
        <f>'Resultater - Vestdanmark'!J155+'Resultater - Østdanmark'!J155</f>
        <v>4715.6000566873226</v>
      </c>
    </row>
    <row r="156" spans="1:10" x14ac:dyDescent="0.25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80">
        <f>'Resultater - Vestdanmark'!H156+'Resultater - Østdanmark'!H156</f>
        <v>204.5574315852524</v>
      </c>
      <c r="I156" s="281">
        <f>'Resultater - Vestdanmark'!I156+'Resultater - Østdanmark'!I156</f>
        <v>141.03195737154883</v>
      </c>
      <c r="J156" s="282">
        <f>'Resultater - Vestdanmark'!J156+'Resultater - Østdanmark'!J156</f>
        <v>196.12134757479404</v>
      </c>
    </row>
    <row r="157" spans="1:10" x14ac:dyDescent="0.25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80">
        <f>'Resultater - Vestdanmark'!H157+'Resultater - Østdanmark'!H157</f>
        <v>-1612.3968297864642</v>
      </c>
      <c r="I157" s="281">
        <f>'Resultater - Vestdanmark'!I157+'Resultater - Østdanmark'!I157</f>
        <v>-1037.0015885162093</v>
      </c>
      <c r="J157" s="282">
        <f>'Resultater - Vestdanmark'!J157+'Resultater - Østdanmark'!J157</f>
        <v>-1344.2613184469374</v>
      </c>
    </row>
    <row r="158" spans="1:10" x14ac:dyDescent="0.25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80">
        <f>'Resultater - Vestdanmark'!H158+'Resultater - Østdanmark'!H158</f>
        <v>231.98342151189939</v>
      </c>
      <c r="I158" s="281">
        <f>'Resultater - Vestdanmark'!I158+'Resultater - Østdanmark'!I158</f>
        <v>149.19849268689282</v>
      </c>
      <c r="J158" s="282">
        <f>'Resultater - Vestdanmark'!J158+'Resultater - Østdanmark'!J158</f>
        <v>193.40545348300918</v>
      </c>
    </row>
    <row r="159" spans="1:10" x14ac:dyDescent="0.25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80">
        <f>'Resultater - Vestdanmark'!H159+'Resultater - Østdanmark'!H159</f>
        <v>61.479911705441317</v>
      </c>
      <c r="I159" s="281">
        <f>'Resultater - Vestdanmark'!I159+'Resultater - Østdanmark'!I159</f>
        <v>46.467189890685042</v>
      </c>
      <c r="J159" s="282">
        <f>'Resultater - Vestdanmark'!J159+'Resultater - Østdanmark'!J159</f>
        <v>64.618034587481787</v>
      </c>
    </row>
    <row r="160" spans="1:10" x14ac:dyDescent="0.25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80">
        <f>'Resultater - Vestdanmark'!H160+'Resultater - Østdanmark'!H160</f>
        <v>-404.72693546148446</v>
      </c>
      <c r="I160" s="281">
        <f>'Resultater - Vestdanmark'!I160+'Resultater - Østdanmark'!I160</f>
        <v>-285.35172178624532</v>
      </c>
      <c r="J160" s="282">
        <f>'Resultater - Vestdanmark'!J160+'Resultater - Østdanmark'!J160</f>
        <v>-369.90038009328094</v>
      </c>
    </row>
    <row r="161" spans="1:10" x14ac:dyDescent="0.25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80">
        <f>'Resultater - Vestdanmark'!H161+'Resultater - Østdanmark'!H161</f>
        <v>153.04020095390325</v>
      </c>
      <c r="I161" s="281">
        <f>'Resultater - Vestdanmark'!I161+'Resultater - Østdanmark'!I161</f>
        <v>107.9006140150144</v>
      </c>
      <c r="J161" s="282">
        <f>'Resultater - Vestdanmark'!J161+'Resultater - Østdanmark'!J161</f>
        <v>139.87116631575941</v>
      </c>
    </row>
    <row r="162" spans="1:10" x14ac:dyDescent="0.25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80">
        <f>'Resultater - Vestdanmark'!H162+'Resultater - Østdanmark'!H162</f>
        <v>27749.688657763778</v>
      </c>
      <c r="I162" s="281">
        <f>'Resultater - Vestdanmark'!I162+'Resultater - Østdanmark'!I162</f>
        <v>26029.289420792691</v>
      </c>
      <c r="J162" s="282">
        <f>'Resultater - Vestdanmark'!J162+'Resultater - Østdanmark'!J162</f>
        <v>24176.272688948411</v>
      </c>
    </row>
    <row r="163" spans="1:10" x14ac:dyDescent="0.25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80">
        <f>'Resultater - Vestdanmark'!H163+'Resultater - Østdanmark'!H163</f>
        <v>-23743486.815882854</v>
      </c>
      <c r="I163" s="281">
        <f>'Resultater - Vestdanmark'!I163+'Resultater - Østdanmark'!I163</f>
        <v>-22271460.33281637</v>
      </c>
      <c r="J163" s="282">
        <f>'Resultater - Vestdanmark'!J163+'Resultater - Østdanmark'!J163</f>
        <v>-20685962.243638869</v>
      </c>
    </row>
    <row r="164" spans="1:10" x14ac:dyDescent="0.25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80">
        <f>'Resultater - Vestdanmark'!H164+'Resultater - Østdanmark'!H164</f>
        <v>5141.4697369274418</v>
      </c>
      <c r="I164" s="281">
        <f>'Resultater - Vestdanmark'!I164+'Resultater - Østdanmark'!I164</f>
        <v>4822.713706133376</v>
      </c>
      <c r="J164" s="282">
        <f>'Resultater - Vestdanmark'!J164+'Resultater - Østdanmark'!J164</f>
        <v>4479.3862704170097</v>
      </c>
    </row>
    <row r="165" spans="1:10" x14ac:dyDescent="0.25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80">
        <f>'Resultater - Vestdanmark'!H165+'Resultater - Østdanmark'!H165</f>
        <v>2022.4268112306345</v>
      </c>
      <c r="I165" s="281">
        <f>'Resultater - Vestdanmark'!I165+'Resultater - Østdanmark'!I165</f>
        <v>2315.5535502080893</v>
      </c>
      <c r="J165" s="282">
        <f>'Resultater - Vestdanmark'!J165+'Resultater - Østdanmark'!J165</f>
        <v>2923.1311523910349</v>
      </c>
    </row>
    <row r="166" spans="1:10" x14ac:dyDescent="0.25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80">
        <f>'Resultater - Vestdanmark'!H166+'Resultater - Østdanmark'!H166</f>
        <v>-1730450.5618338804</v>
      </c>
      <c r="I166" s="281">
        <f>'Resultater - Vestdanmark'!I166+'Resultater - Østdanmark'!I166</f>
        <v>-1981258.81226615</v>
      </c>
      <c r="J166" s="282">
        <f>'Resultater - Vestdanmark'!J166+'Resultater - Østdanmark'!J166</f>
        <v>-2501120.8894581543</v>
      </c>
    </row>
    <row r="167" spans="1:10" x14ac:dyDescent="0.25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80">
        <f>'Resultater - Vestdanmark'!H167+'Resultater - Østdanmark'!H167</f>
        <v>657.39610620781025</v>
      </c>
      <c r="I167" s="281">
        <f>'Resultater - Vestdanmark'!I167+'Resultater - Østdanmark'!I167</f>
        <v>752.67786165087364</v>
      </c>
      <c r="J167" s="282">
        <f>'Resultater - Vestdanmark'!J167+'Resultater - Østdanmark'!J167</f>
        <v>950.17284523997171</v>
      </c>
    </row>
    <row r="168" spans="1:10" x14ac:dyDescent="0.25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80">
        <f>'Resultater - Vestdanmark'!H168+'Resultater - Østdanmark'!H168</f>
        <v>1955168.9801122241</v>
      </c>
      <c r="I168" s="281">
        <f>'Resultater - Vestdanmark'!I168+'Resultater - Østdanmark'!I168</f>
        <v>2016247.2669476147</v>
      </c>
      <c r="J168" s="282">
        <f>'Resultater - Vestdanmark'!J168+'Resultater - Østdanmark'!J168</f>
        <v>2008579.0975212562</v>
      </c>
    </row>
    <row r="169" spans="1:10" x14ac:dyDescent="0.25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80">
        <f>'Resultater - Vestdanmark'!H169+'Resultater - Østdanmark'!H169</f>
        <v>-6905324.6027384531</v>
      </c>
      <c r="I169" s="281">
        <f>'Resultater - Vestdanmark'!I169+'Resultater - Østdanmark'!I169</f>
        <v>-6642763.743490356</v>
      </c>
      <c r="J169" s="282">
        <f>'Resultater - Vestdanmark'!J169+'Resultater - Østdanmark'!J169</f>
        <v>-6168660.9231590796</v>
      </c>
    </row>
    <row r="170" spans="1:10" x14ac:dyDescent="0.25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80">
        <f>'Resultater - Vestdanmark'!H170+'Resultater - Østdanmark'!H170</f>
        <v>104670.65103270129</v>
      </c>
      <c r="I170" s="281">
        <f>'Resultater - Vestdanmark'!I170+'Resultater - Østdanmark'!I170</f>
        <v>100690.76338740437</v>
      </c>
      <c r="J170" s="282">
        <f>'Resultater - Vestdanmark'!J170+'Resultater - Østdanmark'!J170</f>
        <v>93504.33063942974</v>
      </c>
    </row>
    <row r="171" spans="1:10" x14ac:dyDescent="0.25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80">
        <f>'Resultater - Vestdanmark'!H171+'Resultater - Østdanmark'!H171</f>
        <v>76780.532840637781</v>
      </c>
      <c r="I171" s="281">
        <f>'Resultater - Vestdanmark'!I171+'Resultater - Østdanmark'!I171</f>
        <v>43355.708806344126</v>
      </c>
      <c r="J171" s="282">
        <f>'Resultater - Vestdanmark'!J171+'Resultater - Østdanmark'!J171</f>
        <v>44359.555614290162</v>
      </c>
    </row>
    <row r="172" spans="1:10" x14ac:dyDescent="0.25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80">
        <f>'Resultater - Vestdanmark'!H172+'Resultater - Østdanmark'!H172</f>
        <v>-180783.86329737815</v>
      </c>
      <c r="I172" s="281">
        <f>'Resultater - Vestdanmark'!I172+'Resultater - Østdanmark'!I172</f>
        <v>-95226.987699153411</v>
      </c>
      <c r="J172" s="282">
        <f>'Resultater - Vestdanmark'!J172+'Resultater - Østdanmark'!J172</f>
        <v>-90823.427574337082</v>
      </c>
    </row>
    <row r="173" spans="1:10" x14ac:dyDescent="0.25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80">
        <f>'Resultater - Vestdanmark'!H173+'Resultater - Østdanmark'!H173</f>
        <v>24092.002403541195</v>
      </c>
      <c r="I173" s="281">
        <f>'Resultater - Vestdanmark'!I173+'Resultater - Østdanmark'!I173</f>
        <v>12690.340690176325</v>
      </c>
      <c r="J173" s="282">
        <f>'Resultater - Vestdanmark'!J173+'Resultater - Østdanmark'!J173</f>
        <v>12103.50412646875</v>
      </c>
    </row>
    <row r="174" spans="1:10" x14ac:dyDescent="0.25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80">
        <f>'Resultater - Vestdanmark'!H174+'Resultater - Østdanmark'!H174</f>
        <v>76689.476357594409</v>
      </c>
      <c r="I174" s="281">
        <f>'Resultater - Vestdanmark'!I174+'Resultater - Østdanmark'!I174</f>
        <v>47229.45648169679</v>
      </c>
      <c r="J174" s="282">
        <f>'Resultater - Vestdanmark'!J174+'Resultater - Østdanmark'!J174</f>
        <v>48322.995036029904</v>
      </c>
    </row>
    <row r="175" spans="1:10" x14ac:dyDescent="0.25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80">
        <f>'Resultater - Vestdanmark'!H175+'Resultater - Østdanmark'!H175</f>
        <v>-116080.37096608599</v>
      </c>
      <c r="I175" s="281">
        <f>'Resultater - Vestdanmark'!I175+'Resultater - Østdanmark'!I175</f>
        <v>-66686.999503147963</v>
      </c>
      <c r="J175" s="282">
        <f>'Resultater - Vestdanmark'!J175+'Resultater - Østdanmark'!J175</f>
        <v>-63603.207618609318</v>
      </c>
    </row>
    <row r="176" spans="1:10" x14ac:dyDescent="0.25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80">
        <f>'Resultater - Vestdanmark'!H176+'Resultater - Østdanmark'!H176</f>
        <v>52818.754154083166</v>
      </c>
      <c r="I176" s="281">
        <f>'Resultater - Vestdanmark'!I176+'Resultater - Østdanmark'!I176</f>
        <v>30343.840243750776</v>
      </c>
      <c r="J176" s="282">
        <f>'Resultater - Vestdanmark'!J176+'Resultater - Østdanmark'!J176</f>
        <v>28940.656879877901</v>
      </c>
    </row>
    <row r="177" spans="1:10" x14ac:dyDescent="0.25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80">
        <f>'Resultater - Vestdanmark'!H177+'Resultater - Østdanmark'!H177</f>
        <v>142494.79389236751</v>
      </c>
      <c r="I177" s="281">
        <f>'Resultater - Vestdanmark'!I177+'Resultater - Østdanmark'!I177</f>
        <v>179364.42449898148</v>
      </c>
      <c r="J177" s="282">
        <f>'Resultater - Vestdanmark'!J177+'Resultater - Østdanmark'!J177</f>
        <v>242855.47270029731</v>
      </c>
    </row>
    <row r="178" spans="1:10" x14ac:dyDescent="0.25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80">
        <f>'Resultater - Vestdanmark'!H178+'Resultater - Østdanmark'!H178</f>
        <v>-503267.39838652278</v>
      </c>
      <c r="I178" s="281">
        <f>'Resultater - Vestdanmark'!I178+'Resultater - Østdanmark'!I178</f>
        <v>-590937.19082263927</v>
      </c>
      <c r="J178" s="282">
        <f>'Resultater - Vestdanmark'!J178+'Resultater - Østdanmark'!J178</f>
        <v>-745847.18434559775</v>
      </c>
    </row>
    <row r="179" spans="1:10" x14ac:dyDescent="0.25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80">
        <f>'Resultater - Vestdanmark'!H179+'Resultater - Østdanmark'!H179</f>
        <v>13383.347942111091</v>
      </c>
      <c r="I179" s="281">
        <f>'Resultater - Vestdanmark'!I179+'Resultater - Østdanmark'!I179</f>
        <v>15714.74341884346</v>
      </c>
      <c r="J179" s="282">
        <f>'Resultater - Vestdanmark'!J179+'Resultater - Østdanmark'!J179</f>
        <v>19834.251953818432</v>
      </c>
    </row>
    <row r="180" spans="1:10" x14ac:dyDescent="0.25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80">
        <f>'Resultater - Vestdanmark'!H180+'Resultater - Østdanmark'!H180</f>
        <v>5595.8468620164213</v>
      </c>
      <c r="I180" s="281">
        <f>'Resultater - Vestdanmark'!I180+'Resultater - Østdanmark'!I180</f>
        <v>3856.9038065296895</v>
      </c>
      <c r="J180" s="282">
        <f>'Resultater - Vestdanmark'!J180+'Resultater - Østdanmark'!J180</f>
        <v>5363.4735424550836</v>
      </c>
    </row>
    <row r="181" spans="1:10" x14ac:dyDescent="0.25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80">
        <f>'Resultater - Vestdanmark'!H181+'Resultater - Østdanmark'!H181</f>
        <v>-13175.720155987337</v>
      </c>
      <c r="I181" s="281">
        <f>'Resultater - Vestdanmark'!I181+'Resultater - Østdanmark'!I181</f>
        <v>-8471.3487901154422</v>
      </c>
      <c r="J181" s="282">
        <f>'Resultater - Vestdanmark'!J181+'Resultater - Østdanmark'!J181</f>
        <v>-10981.378061260753</v>
      </c>
    </row>
    <row r="182" spans="1:10" x14ac:dyDescent="0.25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80">
        <f>'Resultater - Vestdanmark'!H182+'Resultater - Østdanmark'!H182</f>
        <v>3080.4399094454293</v>
      </c>
      <c r="I182" s="281">
        <f>'Resultater - Vestdanmark'!I182+'Resultater - Østdanmark'!I182</f>
        <v>1980.5734025130682</v>
      </c>
      <c r="J182" s="282">
        <f>'Resultater - Vestdanmark'!J182+'Resultater - Østdanmark'!J182</f>
        <v>2567.4099662206436</v>
      </c>
    </row>
    <row r="183" spans="1:10" x14ac:dyDescent="0.25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80">
        <f>'Resultater - Vestdanmark'!H183+'Resultater - Østdanmark'!H183</f>
        <v>5589.2105687262674</v>
      </c>
      <c r="I183" s="281">
        <f>'Resultater - Vestdanmark'!I183+'Resultater - Østdanmark'!I183</f>
        <v>4201.5106084006566</v>
      </c>
      <c r="J183" s="282">
        <f>'Resultater - Vestdanmark'!J183+'Resultater - Østdanmark'!J183</f>
        <v>5842.6893998108899</v>
      </c>
    </row>
    <row r="184" spans="1:10" x14ac:dyDescent="0.25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80">
        <f>'Resultater - Vestdanmark'!H184+'Resultater - Østdanmark'!H184</f>
        <v>-8460.0608458981151</v>
      </c>
      <c r="I184" s="281">
        <f>'Resultater - Vestdanmark'!I184+'Resultater - Østdanmark'!I184</f>
        <v>-5932.4446378811972</v>
      </c>
      <c r="J184" s="282">
        <f>'Resultater - Vestdanmark'!J184+'Resultater - Østdanmark'!J184</f>
        <v>-7690.206012068219</v>
      </c>
    </row>
    <row r="185" spans="1:10" x14ac:dyDescent="0.25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80">
        <f>'Resultater - Vestdanmark'!H185+'Resultater - Østdanmark'!H185</f>
        <v>6753.4858887241726</v>
      </c>
      <c r="I185" s="281">
        <f>'Resultater - Vestdanmark'!I185+'Resultater - Østdanmark'!I185</f>
        <v>4735.7438530709296</v>
      </c>
      <c r="J185" s="282">
        <f>'Resultater - Vestdanmark'!J185+'Resultater - Østdanmark'!J185</f>
        <v>6138.9272169437982</v>
      </c>
    </row>
    <row r="186" spans="1:10" x14ac:dyDescent="0.25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80">
        <f>'Resultater - Vestdanmark'!H186+'Resultater - Østdanmark'!H186</f>
        <v>10596561.852889422</v>
      </c>
      <c r="I186" s="281">
        <f>'Resultater - Vestdanmark'!I186+'Resultater - Østdanmark'!I186</f>
        <v>27001790.799678013</v>
      </c>
      <c r="J186" s="282">
        <f>'Resultater - Vestdanmark'!J186+'Resultater - Østdanmark'!J186</f>
        <v>26899097.885936093</v>
      </c>
    </row>
    <row r="187" spans="1:10" x14ac:dyDescent="0.25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80">
        <f>'Resultater - Vestdanmark'!H187+'Resultater - Østdanmark'!H187</f>
        <v>-33100908.649694897</v>
      </c>
      <c r="I187" s="281">
        <f>'Resultater - Vestdanmark'!I187+'Resultater - Østdanmark'!I187</f>
        <v>-78681516.351699993</v>
      </c>
      <c r="J187" s="282">
        <f>'Resultater - Vestdanmark'!J187+'Resultater - Østdanmark'!J187</f>
        <v>-73065912.628499985</v>
      </c>
    </row>
    <row r="188" spans="1:10" x14ac:dyDescent="0.25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80">
        <f>'Resultater - Vestdanmark'!H188+'Resultater - Østdanmark'!H188</f>
        <v>485557.09390620678</v>
      </c>
      <c r="I188" s="281">
        <f>'Resultater - Vestdanmark'!I188+'Resultater - Østdanmark'!I188</f>
        <v>1154178.8422843576</v>
      </c>
      <c r="J188" s="282">
        <f>'Resultater - Vestdanmark'!J188+'Resultater - Østdanmark'!J188</f>
        <v>1071803.5741845497</v>
      </c>
    </row>
    <row r="189" spans="1:10" x14ac:dyDescent="0.25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80">
        <f>'Resultater - Vestdanmark'!H189+'Resultater - Østdanmark'!H189</f>
        <v>1250706.5448330601</v>
      </c>
      <c r="I189" s="281">
        <f>'Resultater - Vestdanmark'!I189+'Resultater - Østdanmark'!I189</f>
        <v>706275.10349806701</v>
      </c>
      <c r="J189" s="282">
        <f>'Resultater - Vestdanmark'!J189+'Resultater - Østdanmark'!J189</f>
        <v>722628.01359221688</v>
      </c>
    </row>
    <row r="190" spans="1:10" x14ac:dyDescent="0.25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80">
        <f>'Resultater - Vestdanmark'!H190+'Resultater - Østdanmark'!H190</f>
        <v>-2730616.868673549</v>
      </c>
      <c r="I190" s="281">
        <f>'Resultater - Vestdanmark'!I190+'Resultater - Østdanmark'!I190</f>
        <v>-1438415.8449795046</v>
      </c>
      <c r="J190" s="282">
        <f>'Resultater - Vestdanmark'!J190+'Resultater - Østdanmark'!J190</f>
        <v>-1371899.5053272732</v>
      </c>
    </row>
    <row r="191" spans="1:10" x14ac:dyDescent="0.25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80">
        <f>'Resultater - Vestdanmark'!H191+'Resultater - Østdanmark'!H191</f>
        <v>335901.46460405836</v>
      </c>
      <c r="I191" s="281">
        <f>'Resultater - Vestdanmark'!I191+'Resultater - Østdanmark'!I191</f>
        <v>176943.89666354295</v>
      </c>
      <c r="J191" s="282">
        <f>'Resultater - Vestdanmark'!J191+'Resultater - Østdanmark'!J191</f>
        <v>168761.51993921725</v>
      </c>
    </row>
    <row r="192" spans="1:10" x14ac:dyDescent="0.25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80">
        <f>'Resultater - Vestdanmark'!H192+'Resultater - Østdanmark'!H192</f>
        <v>1501712.5809897545</v>
      </c>
      <c r="I192" s="281">
        <f>'Resultater - Vestdanmark'!I192+'Resultater - Østdanmark'!I192</f>
        <v>925748.63193456724</v>
      </c>
      <c r="J192" s="282">
        <f>'Resultater - Vestdanmark'!J192+'Resultater - Østdanmark'!J192</f>
        <v>947183.17503658065</v>
      </c>
    </row>
    <row r="193" spans="1:10" x14ac:dyDescent="0.25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80">
        <f>'Resultater - Vestdanmark'!H193+'Resultater - Østdanmark'!H193</f>
        <v>-2269819.4996822169</v>
      </c>
      <c r="I193" s="281">
        <f>'Resultater - Vestdanmark'!I193+'Resultater - Østdanmark'!I193</f>
        <v>-1305277.3352684232</v>
      </c>
      <c r="J193" s="282">
        <f>'Resultater - Vestdanmark'!J193+'Resultater - Østdanmark'!J193</f>
        <v>-1244917.6897068778</v>
      </c>
    </row>
    <row r="194" spans="1:10" x14ac:dyDescent="0.25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80">
        <f>'Resultater - Vestdanmark'!H194+'Resultater - Østdanmark'!H194</f>
        <v>885266.2325747133</v>
      </c>
      <c r="I194" s="281">
        <f>'Resultater - Vestdanmark'!I194+'Resultater - Østdanmark'!I194</f>
        <v>509079.2237973173</v>
      </c>
      <c r="J194" s="282">
        <f>'Resultater - Vestdanmark'!J194+'Resultater - Østdanmark'!J194</f>
        <v>485537.98801478231</v>
      </c>
    </row>
    <row r="195" spans="1:10" x14ac:dyDescent="0.25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80">
        <f>'Resultater - Vestdanmark'!H195+'Resultater - Østdanmark'!H195</f>
        <v>1056816.1068755633</v>
      </c>
      <c r="I195" s="281">
        <f>'Resultater - Vestdanmark'!I195+'Resultater - Østdanmark'!I195</f>
        <v>3287038.8106428846</v>
      </c>
      <c r="J195" s="282">
        <f>'Resultater - Vestdanmark'!J195+'Resultater - Østdanmark'!J195</f>
        <v>4450578.0138548817</v>
      </c>
    </row>
    <row r="196" spans="1:10" x14ac:dyDescent="0.25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80">
        <f>'Resultater - Vestdanmark'!H196+'Resultater - Østdanmark'!H196</f>
        <v>-3301219.1972130653</v>
      </c>
      <c r="I196" s="281">
        <f>'Resultater - Vestdanmark'!I196+'Resultater - Østdanmark'!I196</f>
        <v>-9578223.8980740011</v>
      </c>
      <c r="J196" s="282">
        <f>'Resultater - Vestdanmark'!J196+'Resultater - Østdanmark'!J196</f>
        <v>-12089087.36217</v>
      </c>
    </row>
    <row r="197" spans="1:10" x14ac:dyDescent="0.25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80">
        <f>'Resultater - Vestdanmark'!H197+'Resultater - Østdanmark'!H197</f>
        <v>62084.065298082889</v>
      </c>
      <c r="I197" s="281">
        <f>'Resultater - Vestdanmark'!I197+'Resultater - Østdanmark'!I197</f>
        <v>180131.95804437954</v>
      </c>
      <c r="J197" s="282">
        <f>'Resultater - Vestdanmark'!J197+'Resultater - Østdanmark'!J197</f>
        <v>227352.27331187419</v>
      </c>
    </row>
    <row r="198" spans="1:10" x14ac:dyDescent="0.25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80">
        <f>'Resultater - Vestdanmark'!H198+'Resultater - Østdanmark'!H198</f>
        <v>124735.44154265925</v>
      </c>
      <c r="I198" s="281">
        <f>'Resultater - Vestdanmark'!I198+'Resultater - Østdanmark'!I198</f>
        <v>85977.766934504587</v>
      </c>
      <c r="J198" s="282">
        <f>'Resultater - Vestdanmark'!J198+'Resultater - Østdanmark'!J198</f>
        <v>119562.08952162138</v>
      </c>
    </row>
    <row r="199" spans="1:10" x14ac:dyDescent="0.25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80">
        <f>'Resultater - Vestdanmark'!H199+'Resultater - Østdanmark'!H199</f>
        <v>-272329.83005081455</v>
      </c>
      <c r="I199" s="281">
        <f>'Resultater - Vestdanmark'!I199+'Resultater - Østdanmark'!I199</f>
        <v>-175104.26413449924</v>
      </c>
      <c r="J199" s="282">
        <f>'Resultater - Vestdanmark'!J199+'Resultater - Østdanmark'!J199</f>
        <v>-226987.00906323979</v>
      </c>
    </row>
    <row r="200" spans="1:10" x14ac:dyDescent="0.25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80">
        <f>'Resultater - Vestdanmark'!H200+'Resultater - Østdanmark'!H200</f>
        <v>42948.869914417002</v>
      </c>
      <c r="I200" s="281">
        <f>'Resultater - Vestdanmark'!I200+'Resultater - Østdanmark'!I200</f>
        <v>27615.521444599188</v>
      </c>
      <c r="J200" s="282">
        <f>'Resultater - Vestdanmark'!J200+'Resultater - Østdanmark'!J200</f>
        <v>35797.898168924876</v>
      </c>
    </row>
    <row r="201" spans="1:10" x14ac:dyDescent="0.25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80">
        <f>'Resultater - Vestdanmark'!H201+'Resultater - Østdanmark'!H201</f>
        <v>149768.77080700482</v>
      </c>
      <c r="I201" s="281">
        <f>'Resultater - Vestdanmark'!I201+'Resultater - Østdanmark'!I201</f>
        <v>112695.18028058953</v>
      </c>
      <c r="J201" s="282">
        <f>'Resultater - Vestdanmark'!J201+'Resultater - Østdanmark'!J201</f>
        <v>156715.7616878706</v>
      </c>
    </row>
    <row r="202" spans="1:10" x14ac:dyDescent="0.25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80">
        <f>'Resultater - Vestdanmark'!H202+'Resultater - Østdanmark'!H202</f>
        <v>-226373.59553658532</v>
      </c>
      <c r="I202" s="281">
        <f>'Resultater - Vestdanmark'!I202+'Resultater - Østdanmark'!I202</f>
        <v>-158896.76694076881</v>
      </c>
      <c r="J202" s="282">
        <f>'Resultater - Vestdanmark'!J202+'Resultater - Østdanmark'!J202</f>
        <v>-205977.29047877432</v>
      </c>
    </row>
    <row r="203" spans="1:10" x14ac:dyDescent="0.25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80">
        <f>'Resultater - Vestdanmark'!H203+'Resultater - Østdanmark'!H203</f>
        <v>113191.4810413066</v>
      </c>
      <c r="I203" s="281">
        <f>'Resultater - Vestdanmark'!I203+'Resultater - Østdanmark'!I203</f>
        <v>79451.670766055307</v>
      </c>
      <c r="J203" s="282">
        <f>'Resultater - Vestdanmark'!J203+'Resultater - Østdanmark'!J203</f>
        <v>102992.9065485902</v>
      </c>
    </row>
    <row r="204" spans="1:10" x14ac:dyDescent="0.25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80">
        <f>'Resultater - Vestdanmark'!H204+'Resultater - Østdanmark'!H204</f>
        <v>252119.08822285215</v>
      </c>
      <c r="I204" s="281">
        <f>'Resultater - Vestdanmark'!I204+'Resultater - Østdanmark'!I204</f>
        <v>259226.00461819075</v>
      </c>
      <c r="J204" s="282">
        <f>'Resultater - Vestdanmark'!J204+'Resultater - Østdanmark'!J204</f>
        <v>258240.11912898702</v>
      </c>
    </row>
    <row r="205" spans="1:10" x14ac:dyDescent="0.25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80">
        <f>'Resultater - Vestdanmark'!H205+'Resultater - Østdanmark'!H205</f>
        <v>74848.798129844407</v>
      </c>
      <c r="I205" s="281">
        <f>'Resultater - Vestdanmark'!I205+'Resultater - Østdanmark'!I205</f>
        <v>103425.67313497387</v>
      </c>
      <c r="J205" s="282">
        <f>'Resultater - Vestdanmark'!J205+'Resultater - Østdanmark'!J205</f>
        <v>96044.046266789126</v>
      </c>
    </row>
    <row r="206" spans="1:10" x14ac:dyDescent="0.25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80">
        <f>'Resultater - Vestdanmark'!H206+'Resultater - Østdanmark'!H206</f>
        <v>0</v>
      </c>
      <c r="I206" s="281">
        <f>'Resultater - Vestdanmark'!I206+'Resultater - Østdanmark'!I206</f>
        <v>0</v>
      </c>
      <c r="J206" s="282">
        <f>'Resultater - Vestdanmark'!J206+'Resultater - Østdanmark'!J206</f>
        <v>0</v>
      </c>
    </row>
    <row r="207" spans="1:10" x14ac:dyDescent="0.25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80">
        <f>'Resultater - Vestdanmark'!H207+'Resultater - Østdanmark'!H207</f>
        <v>148508.2256030748</v>
      </c>
      <c r="I207" s="281">
        <f>'Resultater - Vestdanmark'!I207+'Resultater - Østdanmark'!I207</f>
        <v>142438.88393350772</v>
      </c>
      <c r="J207" s="282">
        <f>'Resultater - Vestdanmark'!J207+'Resultater - Østdanmark'!J207</f>
        <v>132272.83269257762</v>
      </c>
    </row>
    <row r="208" spans="1:10" x14ac:dyDescent="0.25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80">
        <f>'Resultater - Vestdanmark'!H208+'Resultater - Østdanmark'!H208</f>
        <v>9762.0012470722486</v>
      </c>
      <c r="I208" s="281">
        <f>'Resultater - Vestdanmark'!I208+'Resultater - Østdanmark'!I208</f>
        <v>5512.5244914058194</v>
      </c>
      <c r="J208" s="282">
        <f>'Resultater - Vestdanmark'!J208+'Resultater - Østdanmark'!J208</f>
        <v>5640.1600500617624</v>
      </c>
    </row>
    <row r="209" spans="1:10" x14ac:dyDescent="0.25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80">
        <f>'Resultater - Vestdanmark'!H209+'Resultater - Østdanmark'!H209</f>
        <v>2898.1306645038535</v>
      </c>
      <c r="I209" s="281">
        <f>'Resultater - Vestdanmark'!I209+'Resultater - Østdanmark'!I209</f>
        <v>2199.3802552194566</v>
      </c>
      <c r="J209" s="282">
        <f>'Resultater - Vestdanmark'!J209+'Resultater - Østdanmark'!J209</f>
        <v>2097.674809891389</v>
      </c>
    </row>
    <row r="210" spans="1:10" x14ac:dyDescent="0.25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80">
        <f>'Resultater - Vestdanmark'!H210+'Resultater - Østdanmark'!H210</f>
        <v>0</v>
      </c>
      <c r="I210" s="281">
        <f>'Resultater - Vestdanmark'!I210+'Resultater - Østdanmark'!I210</f>
        <v>0</v>
      </c>
      <c r="J210" s="282">
        <f>'Resultater - Vestdanmark'!J210+'Resultater - Østdanmark'!J210</f>
        <v>0</v>
      </c>
    </row>
    <row r="211" spans="1:10" x14ac:dyDescent="0.25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80">
        <f>'Resultater - Vestdanmark'!H211+'Resultater - Østdanmark'!H211</f>
        <v>33702.707331215737</v>
      </c>
      <c r="I211" s="281">
        <f>'Resultater - Vestdanmark'!I211+'Resultater - Østdanmark'!I211</f>
        <v>17753.405668355132</v>
      </c>
      <c r="J211" s="282">
        <f>'Resultater - Vestdanmark'!J211+'Resultater - Østdanmark'!J211</f>
        <v>16932.438932246223</v>
      </c>
    </row>
    <row r="212" spans="1:10" x14ac:dyDescent="0.25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80">
        <f>'Resultater - Vestdanmark'!H212+'Resultater - Østdanmark'!H212</f>
        <v>3876.3292971970382</v>
      </c>
      <c r="I212" s="281">
        <f>'Resultater - Vestdanmark'!I212+'Resultater - Østdanmark'!I212</f>
        <v>2388.921498273121</v>
      </c>
      <c r="J212" s="282">
        <f>'Resultater - Vestdanmark'!J212+'Resultater - Østdanmark'!J212</f>
        <v>2444.2339654544721</v>
      </c>
    </row>
    <row r="213" spans="1:10" x14ac:dyDescent="0.25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80">
        <f>'Resultater - Vestdanmark'!H213+'Resultater - Østdanmark'!H213</f>
        <v>1150.7997712344754</v>
      </c>
      <c r="I213" s="281">
        <f>'Resultater - Vestdanmark'!I213+'Resultater - Østdanmark'!I213</f>
        <v>953.12896709348797</v>
      </c>
      <c r="J213" s="282">
        <f>'Resultater - Vestdanmark'!J213+'Resultater - Østdanmark'!J213</f>
        <v>909.05363913540759</v>
      </c>
    </row>
    <row r="214" spans="1:10" x14ac:dyDescent="0.25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80">
        <f>'Resultater - Vestdanmark'!H214+'Resultater - Østdanmark'!H214</f>
        <v>0</v>
      </c>
      <c r="I214" s="281">
        <f>'Resultater - Vestdanmark'!I214+'Resultater - Østdanmark'!I214</f>
        <v>0</v>
      </c>
      <c r="J214" s="282">
        <f>'Resultater - Vestdanmark'!J214+'Resultater - Østdanmark'!J214</f>
        <v>0</v>
      </c>
    </row>
    <row r="215" spans="1:10" x14ac:dyDescent="0.25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80">
        <f>'Resultater - Vestdanmark'!H215+'Resultater - Østdanmark'!H215</f>
        <v>29374.954227709619</v>
      </c>
      <c r="I215" s="281">
        <f>'Resultater - Vestdanmark'!I215+'Resultater - Østdanmark'!I215</f>
        <v>16887.432586074348</v>
      </c>
      <c r="J215" s="282">
        <f>'Resultater - Vestdanmark'!J215+'Resultater - Østdanmark'!J215</f>
        <v>16106.510847989985</v>
      </c>
    </row>
    <row r="216" spans="1:10" x14ac:dyDescent="0.25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80">
        <f>'Resultater - Vestdanmark'!H216+'Resultater - Østdanmark'!H216</f>
        <v>18374.707188012384</v>
      </c>
      <c r="I216" s="281">
        <f>'Resultater - Vestdanmark'!I216+'Resultater - Østdanmark'!I216</f>
        <v>23060.625497537319</v>
      </c>
      <c r="J216" s="282">
        <f>'Resultater - Vestdanmark'!J216+'Resultater - Østdanmark'!J216</f>
        <v>31223.578040141154</v>
      </c>
    </row>
    <row r="217" spans="1:10" x14ac:dyDescent="0.25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80">
        <f>'Resultater - Vestdanmark'!H217+'Resultater - Østdanmark'!H217</f>
        <v>5455.059982585959</v>
      </c>
      <c r="I217" s="281">
        <f>'Resultater - Vestdanmark'!I217+'Resultater - Østdanmark'!I217</f>
        <v>9200.7000551864039</v>
      </c>
      <c r="J217" s="282">
        <f>'Resultater - Vestdanmark'!J217+'Resultater - Østdanmark'!J217</f>
        <v>11612.59832134814</v>
      </c>
    </row>
    <row r="218" spans="1:10" x14ac:dyDescent="0.25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80">
        <f>'Resultater - Vestdanmark'!H218+'Resultater - Østdanmark'!H218</f>
        <v>0</v>
      </c>
      <c r="I218" s="281">
        <f>'Resultater - Vestdanmark'!I218+'Resultater - Østdanmark'!I218</f>
        <v>0</v>
      </c>
      <c r="J218" s="282">
        <f>'Resultater - Vestdanmark'!J218+'Resultater - Østdanmark'!J218</f>
        <v>0</v>
      </c>
    </row>
    <row r="219" spans="1:10" x14ac:dyDescent="0.25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80">
        <f>'Resultater - Vestdanmark'!H219+'Resultater - Østdanmark'!H219</f>
        <v>18988.48660920751</v>
      </c>
      <c r="I219" s="281">
        <f>'Resultater - Vestdanmark'!I219+'Resultater - Østdanmark'!I219</f>
        <v>22230.346047426061</v>
      </c>
      <c r="J219" s="282">
        <f>'Resultater - Vestdanmark'!J219+'Resultater - Østdanmark'!J219</f>
        <v>28057.87360145586</v>
      </c>
    </row>
    <row r="220" spans="1:10" x14ac:dyDescent="0.25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80">
        <f>'Resultater - Vestdanmark'!H220+'Resultater - Østdanmark'!H220</f>
        <v>711.46502927780227</v>
      </c>
      <c r="I220" s="281">
        <f>'Resultater - Vestdanmark'!I220+'Resultater - Østdanmark'!I220</f>
        <v>490.39162961118819</v>
      </c>
      <c r="J220" s="282">
        <f>'Resultater - Vestdanmark'!J220+'Resultater - Østdanmark'!J220</f>
        <v>681.94662423474017</v>
      </c>
    </row>
    <row r="221" spans="1:10" x14ac:dyDescent="0.25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80">
        <f>'Resultater - Vestdanmark'!H221+'Resultater - Østdanmark'!H221</f>
        <v>211.21884395277317</v>
      </c>
      <c r="I221" s="281">
        <f>'Resultater - Vestdanmark'!I221+'Resultater - Østdanmark'!I221</f>
        <v>195.65585044986958</v>
      </c>
      <c r="J221" s="282">
        <f>'Resultater - Vestdanmark'!J221+'Resultater - Østdanmark'!J221</f>
        <v>253.62795428686786</v>
      </c>
    </row>
    <row r="222" spans="1:10" x14ac:dyDescent="0.25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80">
        <f>'Resultater - Vestdanmark'!H222+'Resultater - Østdanmark'!H222</f>
        <v>0</v>
      </c>
      <c r="I222" s="281">
        <f>'Resultater - Vestdanmark'!I222+'Resultater - Østdanmark'!I222</f>
        <v>0</v>
      </c>
      <c r="J222" s="282">
        <f>'Resultater - Vestdanmark'!J222+'Resultater - Østdanmark'!J222</f>
        <v>0</v>
      </c>
    </row>
    <row r="223" spans="1:10" x14ac:dyDescent="0.25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80">
        <f>'Resultater - Vestdanmark'!H223+'Resultater - Østdanmark'!H223</f>
        <v>4309.2791948325566</v>
      </c>
      <c r="I223" s="281">
        <f>'Resultater - Vestdanmark'!I223+'Resultater - Østdanmark'!I223</f>
        <v>2770.762734367564</v>
      </c>
      <c r="J223" s="282">
        <f>'Resultater - Vestdanmark'!J223+'Resultater - Østdanmark'!J223</f>
        <v>3591.7294704764709</v>
      </c>
    </row>
    <row r="224" spans="1:10" x14ac:dyDescent="0.25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80">
        <f>'Resultater - Vestdanmark'!H224+'Resultater - Østdanmark'!H224</f>
        <v>282.51100026726743</v>
      </c>
      <c r="I224" s="281">
        <f>'Resultater - Vestdanmark'!I224+'Resultater - Østdanmark'!I224</f>
        <v>212.51735178279381</v>
      </c>
      <c r="J224" s="282">
        <f>'Resultater - Vestdanmark'!J224+'Resultater - Østdanmark'!J224</f>
        <v>295.53010673222258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80">
        <f>'Resultater - Vestdanmark'!H225+'Resultater - Østdanmark'!H225</f>
        <v>83.871510790861564</v>
      </c>
      <c r="I225" s="281">
        <f>'Resultater - Vestdanmark'!I225+'Resultater - Østdanmark'!I225</f>
        <v>84.789912159357115</v>
      </c>
      <c r="J225" s="282">
        <f>'Resultater - Vestdanmark'!J225+'Resultater - Østdanmark'!J225</f>
        <v>109.9128490954629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80">
        <f>'Resultater - Vestdanmark'!H226+'Resultater - Østdanmark'!H226</f>
        <v>0</v>
      </c>
      <c r="I226" s="281">
        <f>'Resultater - Vestdanmark'!I226+'Resultater - Østdanmark'!I226</f>
        <v>0</v>
      </c>
      <c r="J226" s="282">
        <f>'Resultater - Vestdanmark'!J226+'Resultater - Østdanmark'!J226</f>
        <v>0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80">
        <f>'Resultater - Vestdanmark'!H227+'Resultater - Østdanmark'!H227</f>
        <v>3755.926129571902</v>
      </c>
      <c r="I227" s="281">
        <f>'Resultater - Vestdanmark'!I227+'Resultater - Østdanmark'!I227</f>
        <v>2635.6108660347249</v>
      </c>
      <c r="J227" s="282">
        <f>'Resultater - Vestdanmark'!J227+'Resultater - Østdanmark'!J227</f>
        <v>3416.5326041190874</v>
      </c>
    </row>
    <row r="228" spans="1:10" x14ac:dyDescent="0.25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80">
        <f>'Resultater - Vestdanmark'!H228+'Resultater - Østdanmark'!H228</f>
        <v>2432067.6197482329</v>
      </c>
      <c r="I228" s="281">
        <f>'Resultater - Vestdanmark'!I228+'Resultater - Østdanmark'!I228</f>
        <v>5895505.4827213306</v>
      </c>
      <c r="J228" s="282">
        <f>'Resultater - Vestdanmark'!J228+'Resultater - Østdanmark'!J228</f>
        <v>5873083.7611216912</v>
      </c>
    </row>
    <row r="229" spans="1:10" x14ac:dyDescent="0.25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80">
        <f>'Resultater - Vestdanmark'!H229+'Resultater - Østdanmark'!H229</f>
        <v>-4040788.3212018311</v>
      </c>
      <c r="I229" s="281">
        <f>'Resultater - Vestdanmark'!I229+'Resultater - Østdanmark'!I229</f>
        <v>-9137275.4427739233</v>
      </c>
      <c r="J229" s="282">
        <f>'Resultater - Vestdanmark'!J229+'Resultater - Østdanmark'!J229</f>
        <v>-8485136.0283911619</v>
      </c>
    </row>
    <row r="230" spans="1:10" x14ac:dyDescent="0.25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80">
        <f>'Resultater - Vestdanmark'!H230+'Resultater - Østdanmark'!H230</f>
        <v>68055.686267538025</v>
      </c>
      <c r="I230" s="281">
        <f>'Resultater - Vestdanmark'!I230+'Resultater - Østdanmark'!I230</f>
        <v>153891.64228443176</v>
      </c>
      <c r="J230" s="282">
        <f>'Resultater - Vestdanmark'!J230+'Resultater - Østdanmark'!J230</f>
        <v>142908.19255630323</v>
      </c>
    </row>
    <row r="231" spans="1:10" x14ac:dyDescent="0.25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80">
        <f>'Resultater - Vestdanmark'!H231+'Resultater - Østdanmark'!H231</f>
        <v>13122.873542371528</v>
      </c>
      <c r="I231" s="281">
        <f>'Resultater - Vestdanmark'!I231+'Resultater - Østdanmark'!I231</f>
        <v>7419.9074191128602</v>
      </c>
      <c r="J231" s="282">
        <f>'Resultater - Vestdanmark'!J231+'Resultater - Østdanmark'!J231</f>
        <v>7591.7060261014194</v>
      </c>
    </row>
    <row r="232" spans="1:10" x14ac:dyDescent="0.25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80">
        <f>'Resultater - Vestdanmark'!H232+'Resultater - Østdanmark'!H232</f>
        <v>-14131.676367037673</v>
      </c>
      <c r="I232" s="281">
        <f>'Resultater - Vestdanmark'!I232+'Resultater - Østdanmark'!I232</f>
        <v>-7453.6404662515524</v>
      </c>
      <c r="J232" s="282">
        <f>'Resultater - Vestdanmark'!J232+'Resultater - Østdanmark'!J232</f>
        <v>-7108.9634504711339</v>
      </c>
    </row>
    <row r="233" spans="1:10" x14ac:dyDescent="0.25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80">
        <f>'Resultater - Vestdanmark'!H233+'Resultater - Østdanmark'!H233</f>
        <v>2152.2804701131786</v>
      </c>
      <c r="I233" s="281">
        <f>'Resultater - Vestdanmark'!I233+'Resultater - Østdanmark'!I233</f>
        <v>1135.2032405849204</v>
      </c>
      <c r="J233" s="282">
        <f>'Resultater - Vestdanmark'!J233+'Resultater - Østdanmark'!J233</f>
        <v>1082.7082930434212</v>
      </c>
    </row>
    <row r="234" spans="1:10" x14ac:dyDescent="0.25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80">
        <f>'Resultater - Vestdanmark'!H234+'Resultater - Østdanmark'!H234</f>
        <v>5615.3101846932177</v>
      </c>
      <c r="I234" s="281">
        <f>'Resultater - Vestdanmark'!I234+'Resultater - Østdanmark'!I234</f>
        <v>3539.4450210289142</v>
      </c>
      <c r="J234" s="282">
        <f>'Resultater - Vestdanmark'!J234+'Resultater - Østdanmark'!J234</f>
        <v>3621.3964106862882</v>
      </c>
    </row>
    <row r="235" spans="1:10" x14ac:dyDescent="0.25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80">
        <f>'Resultater - Vestdanmark'!H235+'Resultater - Østdanmark'!H235</f>
        <v>-3702.2322974288109</v>
      </c>
      <c r="I235" s="281">
        <f>'Resultater - Vestdanmark'!I235+'Resultater - Østdanmark'!I235</f>
        <v>-2176.8589975953914</v>
      </c>
      <c r="J235" s="282">
        <f>'Resultater - Vestdanmark'!J235+'Resultater - Østdanmark'!J235</f>
        <v>-2076.1949977065869</v>
      </c>
    </row>
    <row r="236" spans="1:10" x14ac:dyDescent="0.25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80">
        <f>'Resultater - Vestdanmark'!H236+'Resultater - Østdanmark'!H236</f>
        <v>2021.5024736231753</v>
      </c>
      <c r="I236" s="281">
        <f>'Resultater - Vestdanmark'!I236+'Resultater - Østdanmark'!I236</f>
        <v>1188.6141913418296</v>
      </c>
      <c r="J236" s="282">
        <f>'Resultater - Vestdanmark'!J236+'Resultater - Østdanmark'!J236</f>
        <v>1133.6493732450974</v>
      </c>
    </row>
    <row r="237" spans="1:10" x14ac:dyDescent="0.25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80">
        <f>'Resultater - Vestdanmark'!H237+'Resultater - Østdanmark'!H237</f>
        <v>177251.6737598984</v>
      </c>
      <c r="I237" s="281">
        <f>'Resultater - Vestdanmark'!I237+'Resultater - Østdanmark'!I237</f>
        <v>524461.44149757968</v>
      </c>
      <c r="J237" s="282">
        <f>'Resultater - Vestdanmark'!J237+'Resultater - Østdanmark'!J237</f>
        <v>710109.21839016816</v>
      </c>
    </row>
    <row r="238" spans="1:10" x14ac:dyDescent="0.25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80">
        <f>'Resultater - Vestdanmark'!H238+'Resultater - Østdanmark'!H238</f>
        <v>-294496.94877999288</v>
      </c>
      <c r="I238" s="281">
        <f>'Resultater - Vestdanmark'!I238+'Resultater - Østdanmark'!I238</f>
        <v>-812847.79805948352</v>
      </c>
      <c r="J238" s="282">
        <f>'Resultater - Vestdanmark'!J238+'Resultater - Østdanmark'!J238</f>
        <v>-1025930.0834327494</v>
      </c>
    </row>
    <row r="239" spans="1:10" x14ac:dyDescent="0.25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80">
        <f>'Resultater - Vestdanmark'!H239+'Resultater - Østdanmark'!H239</f>
        <v>8701.7031017897862</v>
      </c>
      <c r="I239" s="281">
        <f>'Resultater - Vestdanmark'!I239+'Resultater - Østdanmark'!I239</f>
        <v>24017.77076115409</v>
      </c>
      <c r="J239" s="282">
        <f>'Resultater - Vestdanmark'!J239+'Resultater - Østdanmark'!J239</f>
        <v>30313.859027094626</v>
      </c>
    </row>
    <row r="240" spans="1:10" x14ac:dyDescent="0.25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80">
        <f>'Resultater - Vestdanmark'!H240+'Resultater - Østdanmark'!H240</f>
        <v>956.40897524289744</v>
      </c>
      <c r="I240" s="281">
        <f>'Resultater - Vestdanmark'!I240+'Resultater - Østdanmark'!I240</f>
        <v>660.07153283321907</v>
      </c>
      <c r="J240" s="282">
        <f>'Resultater - Vestdanmark'!J240+'Resultater - Østdanmark'!J240</f>
        <v>917.9062740649897</v>
      </c>
    </row>
    <row r="241" spans="1:10" x14ac:dyDescent="0.25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80">
        <f>'Resultater - Vestdanmark'!H241+'Resultater - Østdanmark'!H241</f>
        <v>-1029.9315976049757</v>
      </c>
      <c r="I241" s="281">
        <f>'Resultater - Vestdanmark'!I241+'Resultater - Østdanmark'!I241</f>
        <v>-663.07240910758037</v>
      </c>
      <c r="J241" s="282">
        <f>'Resultater - Vestdanmark'!J241+'Resultater - Østdanmark'!J241</f>
        <v>-859.5383081024188</v>
      </c>
    </row>
    <row r="242" spans="1:10" x14ac:dyDescent="0.25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80">
        <f>'Resultater - Vestdanmark'!H242+'Resultater - Østdanmark'!H242</f>
        <v>275.19384007209339</v>
      </c>
      <c r="I242" s="281">
        <f>'Resultater - Vestdanmark'!I242+'Resultater - Østdanmark'!I242</f>
        <v>177.17044795255987</v>
      </c>
      <c r="J242" s="282">
        <f>'Resultater - Vestdanmark'!J242+'Resultater - Østdanmark'!J242</f>
        <v>229.66539549405906</v>
      </c>
    </row>
    <row r="243" spans="1:10" x14ac:dyDescent="0.25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80">
        <f>'Resultater - Vestdanmark'!H243+'Resultater - Østdanmark'!H243</f>
        <v>409.24977613118875</v>
      </c>
      <c r="I243" s="281">
        <f>'Resultater - Vestdanmark'!I243+'Resultater - Østdanmark'!I243</f>
        <v>314.86739233315024</v>
      </c>
      <c r="J243" s="282">
        <f>'Resultater - Vestdanmark'!J243+'Resultater - Østdanmark'!J243</f>
        <v>437.85974783752397</v>
      </c>
    </row>
    <row r="244" spans="1:10" x14ac:dyDescent="0.25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80">
        <f>'Resultater - Vestdanmark'!H244+'Resultater - Østdanmark'!H244</f>
        <v>-269.82262583436852</v>
      </c>
      <c r="I244" s="281">
        <f>'Resultater - Vestdanmark'!I244+'Resultater - Østdanmark'!I244</f>
        <v>-193.65236978608712</v>
      </c>
      <c r="J244" s="282">
        <f>'Resultater - Vestdanmark'!J244+'Resultater - Østdanmark'!J244</f>
        <v>-251.03084972270551</v>
      </c>
    </row>
    <row r="245" spans="1:10" x14ac:dyDescent="0.25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80">
        <f>'Resultater - Vestdanmark'!H245+'Resultater - Østdanmark'!H245</f>
        <v>258.47236740588181</v>
      </c>
      <c r="I245" s="281">
        <f>'Resultater - Vestdanmark'!I245+'Resultater - Østdanmark'!I245</f>
        <v>185.50626107647051</v>
      </c>
      <c r="J245" s="282">
        <f>'Resultater - Vestdanmark'!J245+'Resultater - Østdanmark'!J245</f>
        <v>240.47107917320253</v>
      </c>
    </row>
    <row r="246" spans="1:10" x14ac:dyDescent="0.25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80">
        <f>'Resultater - Vestdanmark'!H246+'Resultater - Østdanmark'!H246</f>
        <v>37068.149941239346</v>
      </c>
      <c r="I246" s="281">
        <f>'Resultater - Vestdanmark'!I246+'Resultater - Østdanmark'!I246</f>
        <v>37368.593812366278</v>
      </c>
      <c r="J246" s="282">
        <f>'Resultater - Vestdanmark'!J246+'Resultater - Østdanmark'!J246</f>
        <v>37226.473987444311</v>
      </c>
    </row>
    <row r="247" spans="1:10" x14ac:dyDescent="0.25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80">
        <f>'Resultater - Vestdanmark'!H247+'Resultater - Østdanmark'!H247</f>
        <v>-611253.35592149675</v>
      </c>
      <c r="I247" s="281">
        <f>'Resultater - Vestdanmark'!I247+'Resultater - Østdanmark'!I247</f>
        <v>-574820.58938207361</v>
      </c>
      <c r="J247" s="282">
        <f>'Resultater - Vestdanmark'!J247+'Resultater - Østdanmark'!J247</f>
        <v>-533794.88485094521</v>
      </c>
    </row>
    <row r="248" spans="1:10" x14ac:dyDescent="0.25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80">
        <f>'Resultater - Vestdanmark'!H248+'Resultater - Østdanmark'!H248</f>
        <v>8582.4091345819397</v>
      </c>
      <c r="I248" s="281">
        <f>'Resultater - Vestdanmark'!I248+'Resultater - Østdanmark'!I248</f>
        <v>8070.8685347358205</v>
      </c>
      <c r="J248" s="282">
        <f>'Resultater - Vestdanmark'!J248+'Resultater - Østdanmark'!J248</f>
        <v>7494.8399896003784</v>
      </c>
    </row>
    <row r="249" spans="1:10" x14ac:dyDescent="0.25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80">
        <f>'Resultater - Vestdanmark'!H249+'Resultater - Østdanmark'!H249</f>
        <v>1090.1789727130877</v>
      </c>
      <c r="I249" s="281">
        <f>'Resultater - Vestdanmark'!I249+'Resultater - Østdanmark'!I249</f>
        <v>615.8085437161526</v>
      </c>
      <c r="J249" s="282">
        <f>'Resultater - Vestdanmark'!J249+'Resultater - Østdanmark'!J249</f>
        <v>630.06681460907134</v>
      </c>
    </row>
    <row r="250" spans="1:10" x14ac:dyDescent="0.25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80">
        <f>'Resultater - Vestdanmark'!H250+'Resultater - Østdanmark'!H250</f>
        <v>-14980.865349414238</v>
      </c>
      <c r="I250" s="281">
        <f>'Resultater - Vestdanmark'!I250+'Resultater - Østdanmark'!I250</f>
        <v>-7893.8709830065436</v>
      </c>
      <c r="J250" s="282">
        <f>'Resultater - Vestdanmark'!J250+'Resultater - Østdanmark'!J250</f>
        <v>-7528.8364866825405</v>
      </c>
    </row>
    <row r="251" spans="1:10" x14ac:dyDescent="0.25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80">
        <f>'Resultater - Vestdanmark'!H251+'Resultater - Østdanmark'!H251</f>
        <v>1140.8671979707708</v>
      </c>
      <c r="I251" s="281">
        <f>'Resultater - Vestdanmark'!I251+'Resultater - Østdanmark'!I251</f>
        <v>601.15742712269844</v>
      </c>
      <c r="J251" s="282">
        <f>'Resultater - Vestdanmark'!J251+'Resultater - Østdanmark'!J251</f>
        <v>573.35823974130199</v>
      </c>
    </row>
    <row r="252" spans="1:10" x14ac:dyDescent="0.25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80">
        <f>'Resultater - Vestdanmark'!H252+'Resultater - Østdanmark'!H252</f>
        <v>734.97559696711278</v>
      </c>
      <c r="I252" s="281">
        <f>'Resultater - Vestdanmark'!I252+'Resultater - Østdanmark'!I252</f>
        <v>455.5440653732993</v>
      </c>
      <c r="J252" s="282">
        <f>'Resultater - Vestdanmark'!J252+'Resultater - Østdanmark'!J252</f>
        <v>466.09161420813308</v>
      </c>
    </row>
    <row r="253" spans="1:10" x14ac:dyDescent="0.25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80">
        <f>'Resultater - Vestdanmark'!H253+'Resultater - Østdanmark'!H253</f>
        <v>-8656.9563835937897</v>
      </c>
      <c r="I253" s="281">
        <f>'Resultater - Vestdanmark'!I253+'Resultater - Østdanmark'!I253</f>
        <v>-5005.2747017265629</v>
      </c>
      <c r="J253" s="282">
        <f>'Resultater - Vestdanmark'!J253+'Resultater - Østdanmark'!J253</f>
        <v>-4773.8169120513467</v>
      </c>
    </row>
    <row r="254" spans="1:10" x14ac:dyDescent="0.25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80">
        <f>'Resultater - Vestdanmark'!H254+'Resultater - Østdanmark'!H254</f>
        <v>1762.4137499845892</v>
      </c>
      <c r="I254" s="281">
        <f>'Resultater - Vestdanmark'!I254+'Resultater - Østdanmark'!I254</f>
        <v>1018.9914983851248</v>
      </c>
      <c r="J254" s="282">
        <f>'Resultater - Vestdanmark'!J254+'Resultater - Østdanmark'!J254</f>
        <v>971.87050424014797</v>
      </c>
    </row>
    <row r="255" spans="1:10" x14ac:dyDescent="0.25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80">
        <f>'Resultater - Vestdanmark'!H255+'Resultater - Østdanmark'!H255</f>
        <v>2701.5661764156534</v>
      </c>
      <c r="I255" s="281">
        <f>'Resultater - Vestdanmark'!I255+'Resultater - Østdanmark'!I255</f>
        <v>3324.2928252735092</v>
      </c>
      <c r="J255" s="282">
        <f>'Resultater - Vestdanmark'!J255+'Resultater - Østdanmark'!J255</f>
        <v>4501.0191275728121</v>
      </c>
    </row>
    <row r="256" spans="1:10" x14ac:dyDescent="0.25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80">
        <f>'Resultater - Vestdanmark'!H256+'Resultater - Østdanmark'!H256</f>
        <v>-44548.794428526671</v>
      </c>
      <c r="I256" s="281">
        <f>'Resultater - Vestdanmark'!I256+'Resultater - Østdanmark'!I256</f>
        <v>-51135.773818439964</v>
      </c>
      <c r="J256" s="282">
        <f>'Resultater - Vestdanmark'!J256+'Resultater - Østdanmark'!J256</f>
        <v>-64540.654259250652</v>
      </c>
    </row>
    <row r="257" spans="1:10" x14ac:dyDescent="0.25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80">
        <f>'Resultater - Vestdanmark'!H257+'Resultater - Østdanmark'!H257</f>
        <v>1097.3598281506586</v>
      </c>
      <c r="I257" s="281">
        <f>'Resultater - Vestdanmark'!I257+'Resultater - Østdanmark'!I257</f>
        <v>1259.6153204500993</v>
      </c>
      <c r="J257" s="282">
        <f>'Resultater - Vestdanmark'!J257+'Resultater - Østdanmark'!J257</f>
        <v>1589.8145432485653</v>
      </c>
    </row>
    <row r="258" spans="1:10" x14ac:dyDescent="0.25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80">
        <f>'Resultater - Vestdanmark'!H258+'Resultater - Østdanmark'!H258</f>
        <v>79.453402546120458</v>
      </c>
      <c r="I258" s="281">
        <f>'Resultater - Vestdanmark'!I258+'Resultater - Østdanmark'!I258</f>
        <v>54.782043282032305</v>
      </c>
      <c r="J258" s="282">
        <f>'Resultater - Vestdanmark'!J258+'Resultater - Østdanmark'!J258</f>
        <v>76.180805766369517</v>
      </c>
    </row>
    <row r="259" spans="1:10" x14ac:dyDescent="0.25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80">
        <f>'Resultater - Vestdanmark'!H259+'Resultater - Østdanmark'!H259</f>
        <v>-1091.8213934488481</v>
      </c>
      <c r="I259" s="281">
        <f>'Resultater - Vestdanmark'!I259+'Resultater - Østdanmark'!I259</f>
        <v>-702.23511230329893</v>
      </c>
      <c r="J259" s="282">
        <f>'Resultater - Vestdanmark'!J259+'Resultater - Østdanmark'!J259</f>
        <v>-910.30477520797979</v>
      </c>
    </row>
    <row r="260" spans="1:10" x14ac:dyDescent="0.25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80">
        <f>'Resultater - Vestdanmark'!H260+'Resultater - Østdanmark'!H260</f>
        <v>145.87300752924452</v>
      </c>
      <c r="I260" s="281">
        <f>'Resultater - Vestdanmark'!I260+'Resultater - Østdanmark'!I260</f>
        <v>93.822257412213062</v>
      </c>
      <c r="J260" s="282">
        <f>'Resultater - Vestdanmark'!J260+'Resultater - Østdanmark'!J260</f>
        <v>121.6214447936095</v>
      </c>
    </row>
    <row r="261" spans="1:10" x14ac:dyDescent="0.25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80">
        <f>'Resultater - Vestdanmark'!H261+'Resultater - Østdanmark'!H261</f>
        <v>53.565802890212126</v>
      </c>
      <c r="I261" s="281">
        <f>'Resultater - Vestdanmark'!I261+'Resultater - Østdanmark'!I261</f>
        <v>40.524989399393505</v>
      </c>
      <c r="J261" s="282">
        <f>'Resultater - Vestdanmark'!J261+'Resultater - Østdanmark'!J261</f>
        <v>56.354713354256091</v>
      </c>
    </row>
    <row r="262" spans="1:10" x14ac:dyDescent="0.25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80">
        <f>'Resultater - Vestdanmark'!H262+'Resultater - Østdanmark'!H262</f>
        <v>-630.92818480815231</v>
      </c>
      <c r="I262" s="281">
        <f>'Resultater - Vestdanmark'!I262+'Resultater - Østdanmark'!I262</f>
        <v>-445.26692288769829</v>
      </c>
      <c r="J262" s="282">
        <f>'Resultater - Vestdanmark'!J262+'Resultater - Østdanmark'!J262</f>
        <v>-577.19786300257181</v>
      </c>
    </row>
    <row r="263" spans="1:10" x14ac:dyDescent="0.25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80">
        <f>'Resultater - Vestdanmark'!H263+'Resultater - Østdanmark'!H263</f>
        <v>225.34489086759828</v>
      </c>
      <c r="I263" s="281">
        <f>'Resultater - Vestdanmark'!I263+'Resultater - Østdanmark'!I263</f>
        <v>159.03335523929695</v>
      </c>
      <c r="J263" s="282">
        <f>'Resultater - Vestdanmark'!J263+'Resultater - Østdanmark'!J263</f>
        <v>206.15434938427381</v>
      </c>
    </row>
    <row r="264" spans="1:10" x14ac:dyDescent="0.25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80">
        <f>'Resultater - Vestdanmark'!H264+'Resultater - Østdanmark'!H264</f>
        <v>1769792.6482433821</v>
      </c>
      <c r="I264" s="281">
        <f>'Resultater - Vestdanmark'!I264+'Resultater - Østdanmark'!I264</f>
        <v>1160740.5779352796</v>
      </c>
      <c r="J264" s="282">
        <f>'Resultater - Vestdanmark'!J264+'Resultater - Østdanmark'!J264</f>
        <v>1156326.0621377544</v>
      </c>
    </row>
    <row r="265" spans="1:10" x14ac:dyDescent="0.25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80">
        <f>'Resultater - Vestdanmark'!H265+'Resultater - Østdanmark'!H265</f>
        <v>-8439338.016000744</v>
      </c>
      <c r="I265" s="281">
        <f>'Resultater - Vestdanmark'!I265+'Resultater - Østdanmark'!I265</f>
        <v>-5163288.3186839549</v>
      </c>
      <c r="J265" s="282">
        <f>'Resultater - Vestdanmark'!J265+'Resultater - Østdanmark'!J265</f>
        <v>-4794777.6131104687</v>
      </c>
    </row>
    <row r="266" spans="1:10" x14ac:dyDescent="0.25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80">
        <f>'Resultater - Vestdanmark'!H266+'Resultater - Østdanmark'!H266</f>
        <v>135050.85263779573</v>
      </c>
      <c r="I266" s="281">
        <f>'Resultater - Vestdanmark'!I266+'Resultater - Østdanmark'!I266</f>
        <v>82625.733029174298</v>
      </c>
      <c r="J266" s="282">
        <f>'Resultater - Vestdanmark'!J266+'Resultater - Østdanmark'!J266</f>
        <v>76728.62535325269</v>
      </c>
    </row>
    <row r="267" spans="1:10" x14ac:dyDescent="0.25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80">
        <f>'Resultater - Vestdanmark'!H267+'Resultater - Østdanmark'!H267</f>
        <v>59344.705933036988</v>
      </c>
      <c r="I267" s="281">
        <f>'Resultater - Vestdanmark'!I267+'Resultater - Østdanmark'!I267</f>
        <v>33514.846017662872</v>
      </c>
      <c r="J267" s="282">
        <f>'Resultater - Vestdanmark'!J267+'Resultater - Østdanmark'!J267</f>
        <v>34290.840047512778</v>
      </c>
    </row>
    <row r="268" spans="1:10" x14ac:dyDescent="0.25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80">
        <f>'Resultater - Vestdanmark'!H268+'Resultater - Østdanmark'!H268</f>
        <v>-207469.18786644947</v>
      </c>
      <c r="I268" s="281">
        <f>'Resultater - Vestdanmark'!I268+'Resultater - Østdanmark'!I268</f>
        <v>-109298.46627893313</v>
      </c>
      <c r="J268" s="282">
        <f>'Resultater - Vestdanmark'!J268+'Resultater - Østdanmark'!J268</f>
        <v>-104244.20194233507</v>
      </c>
    </row>
    <row r="269" spans="1:10" x14ac:dyDescent="0.25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80">
        <f>'Resultater - Vestdanmark'!H269+'Resultater - Østdanmark'!H269</f>
        <v>26542.270744245459</v>
      </c>
      <c r="I269" s="281">
        <f>'Resultater - Vestdanmark'!I269+'Resultater - Østdanmark'!I269</f>
        <v>13982.941340540916</v>
      </c>
      <c r="J269" s="282">
        <f>'Resultater - Vestdanmark'!J269+'Resultater - Østdanmark'!J269</f>
        <v>13336.331336354053</v>
      </c>
    </row>
    <row r="270" spans="1:10" x14ac:dyDescent="0.25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80">
        <f>'Resultater - Vestdanmark'!H270+'Resultater - Østdanmark'!H270</f>
        <v>39757.754782963726</v>
      </c>
      <c r="I270" s="281">
        <f>'Resultater - Vestdanmark'!I270+'Resultater - Østdanmark'!I270</f>
        <v>24547.175218188691</v>
      </c>
      <c r="J270" s="282">
        <f>'Resultater - Vestdanmark'!J270+'Resultater - Østdanmark'!J270</f>
        <v>25115.534130205029</v>
      </c>
    </row>
    <row r="271" spans="1:10" x14ac:dyDescent="0.25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80">
        <f>'Resultater - Vestdanmark'!H271+'Resultater - Østdanmark'!H271</f>
        <v>-102854.94948928599</v>
      </c>
      <c r="I271" s="281">
        <f>'Resultater - Vestdanmark'!I271+'Resultater - Østdanmark'!I271</f>
        <v>-59239.322330365954</v>
      </c>
      <c r="J271" s="282">
        <f>'Resultater - Vestdanmark'!J271+'Resultater - Østdanmark'!J271</f>
        <v>-56499.931702372152</v>
      </c>
    </row>
    <row r="272" spans="1:10" x14ac:dyDescent="0.25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80">
        <f>'Resultater - Vestdanmark'!H272+'Resultater - Østdanmark'!H272</f>
        <v>39030.898430904032</v>
      </c>
      <c r="I272" s="281">
        <f>'Resultater - Vestdanmark'!I272+'Resultater - Østdanmark'!I272</f>
        <v>22479.85132920558</v>
      </c>
      <c r="J272" s="282">
        <f>'Resultater - Vestdanmark'!J272+'Resultater - Østdanmark'!J272</f>
        <v>21440.320631901275</v>
      </c>
    </row>
    <row r="273" spans="1:10" x14ac:dyDescent="0.25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80">
        <f>'Resultater - Vestdanmark'!H273+'Resultater - Østdanmark'!H273</f>
        <v>128984.36974444673</v>
      </c>
      <c r="I273" s="281">
        <f>'Resultater - Vestdanmark'!I273+'Resultater - Østdanmark'!I273</f>
        <v>103258.9450544737</v>
      </c>
      <c r="J273" s="282">
        <f>'Resultater - Vestdanmark'!J273+'Resultater - Østdanmark'!J273</f>
        <v>139810.33296756484</v>
      </c>
    </row>
    <row r="274" spans="1:10" x14ac:dyDescent="0.25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80">
        <f>'Resultater - Vestdanmark'!H274+'Resultater - Østdanmark'!H274</f>
        <v>-615067.9268187969</v>
      </c>
      <c r="I274" s="281">
        <f>'Resultater - Vestdanmark'!I274+'Resultater - Østdanmark'!I274</f>
        <v>-459323.74118234706</v>
      </c>
      <c r="J274" s="282">
        <f>'Resultater - Vestdanmark'!J274+'Resultater - Østdanmark'!J274</f>
        <v>-579732.2023124476</v>
      </c>
    </row>
    <row r="275" spans="1:10" x14ac:dyDescent="0.25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80">
        <f>'Resultater - Vestdanmark'!H275+'Resultater - Østdanmark'!H275</f>
        <v>17267.806523585219</v>
      </c>
      <c r="I275" s="281">
        <f>'Resultater - Vestdanmark'!I275+'Resultater - Østdanmark'!I275</f>
        <v>12895.345617269975</v>
      </c>
      <c r="J275" s="282">
        <f>'Resultater - Vestdanmark'!J275+'Resultater - Østdanmark'!J275</f>
        <v>16275.769014326328</v>
      </c>
    </row>
    <row r="276" spans="1:10" x14ac:dyDescent="0.25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80">
        <f>'Resultater - Vestdanmark'!H276+'Resultater - Østdanmark'!H276</f>
        <v>4325.1052602347863</v>
      </c>
      <c r="I276" s="281">
        <f>'Resultater - Vestdanmark'!I276+'Resultater - Østdanmark'!I276</f>
        <v>2981.4652035365989</v>
      </c>
      <c r="J276" s="282">
        <f>'Resultater - Vestdanmark'!J276+'Resultater - Østdanmark'!J276</f>
        <v>4146.0742966538164</v>
      </c>
    </row>
    <row r="277" spans="1:10" x14ac:dyDescent="0.25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80">
        <f>'Resultater - Vestdanmark'!H277+'Resultater - Østdanmark'!H277</f>
        <v>-15120.574980864158</v>
      </c>
      <c r="I277" s="281">
        <f>'Resultater - Vestdanmark'!I277+'Resultater - Østdanmark'!I277</f>
        <v>-9723.1410175305264</v>
      </c>
      <c r="J277" s="282">
        <f>'Resultater - Vestdanmark'!J277+'Resultater - Østdanmark'!J277</f>
        <v>-12604.071689391423</v>
      </c>
    </row>
    <row r="278" spans="1:10" x14ac:dyDescent="0.25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80">
        <f>'Resultater - Vestdanmark'!H278+'Resultater - Østdanmark'!H278</f>
        <v>3393.7349298895001</v>
      </c>
      <c r="I278" s="281">
        <f>'Resultater - Vestdanmark'!I278+'Resultater - Østdanmark'!I278</f>
        <v>2182.3087641306633</v>
      </c>
      <c r="J278" s="282">
        <f>'Resultater - Vestdanmark'!J278+'Resultater - Østdanmark'!J278</f>
        <v>2828.9187683175264</v>
      </c>
    </row>
    <row r="279" spans="1:10" x14ac:dyDescent="0.25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80">
        <f>'Resultater - Vestdanmark'!H279+'Resultater - Østdanmark'!H279</f>
        <v>2897.587436711749</v>
      </c>
      <c r="I279" s="281">
        <f>'Resultater - Vestdanmark'!I279+'Resultater - Østdanmark'!I279</f>
        <v>2183.7053561151674</v>
      </c>
      <c r="J279" s="282">
        <f>'Resultater - Vestdanmark'!J279+'Resultater - Østdanmark'!J279</f>
        <v>3036.6963993793343</v>
      </c>
    </row>
    <row r="280" spans="1:10" x14ac:dyDescent="0.25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80">
        <f>'Resultater - Vestdanmark'!H280+'Resultater - Østdanmark'!H280</f>
        <v>-7496.1780681710807</v>
      </c>
      <c r="I280" s="281">
        <f>'Resultater - Vestdanmark'!I280+'Resultater - Østdanmark'!I280</f>
        <v>-5269.9027206030751</v>
      </c>
      <c r="J280" s="282">
        <f>'Resultater - Vestdanmark'!J280+'Resultater - Østdanmark'!J280</f>
        <v>-6831.3553785595395</v>
      </c>
    </row>
    <row r="281" spans="1:10" x14ac:dyDescent="0.25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80">
        <f>'Resultater - Vestdanmark'!H281+'Resultater - Østdanmark'!H281</f>
        <v>4990.5497772321014</v>
      </c>
      <c r="I281" s="281">
        <f>'Resultater - Vestdanmark'!I281+'Resultater - Østdanmark'!I281</f>
        <v>3508.4161034020271</v>
      </c>
      <c r="J281" s="282">
        <f>'Resultater - Vestdanmark'!J281+'Resultater - Østdanmark'!J281</f>
        <v>4547.9468007063306</v>
      </c>
    </row>
    <row r="282" spans="1:10" x14ac:dyDescent="0.25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80">
        <f>'Resultater - Vestdanmark'!H282+'Resultater - Østdanmark'!H282</f>
        <v>6805636.3914233753</v>
      </c>
      <c r="I282" s="281">
        <f>'Resultater - Vestdanmark'!I282+'Resultater - Østdanmark'!I282</f>
        <v>6538656.3127026604</v>
      </c>
      <c r="J282" s="282">
        <f>'Resultater - Vestdanmark'!J282+'Resultater - Østdanmark'!J282</f>
        <v>6513788.566941279</v>
      </c>
    </row>
    <row r="283" spans="1:10" x14ac:dyDescent="0.25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80">
        <f>'Resultater - Vestdanmark'!H283+'Resultater - Østdanmark'!H283</f>
        <v>-24464206.304824531</v>
      </c>
      <c r="I283" s="281">
        <f>'Resultater - Vestdanmark'!I283+'Resultater - Østdanmark'!I283</f>
        <v>-21925833.579918846</v>
      </c>
      <c r="J283" s="282">
        <f>'Resultater - Vestdanmark'!J283+'Resultater - Østdanmark'!J283</f>
        <v>-20360957.883633468</v>
      </c>
    </row>
    <row r="284" spans="1:10" x14ac:dyDescent="0.25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80">
        <f>'Resultater - Vestdanmark'!H284+'Resultater - Østdanmark'!H284</f>
        <v>347650.80050176143</v>
      </c>
      <c r="I284" s="281">
        <f>'Resultater - Vestdanmark'!I284+'Resultater - Østdanmark'!I284</f>
        <v>311579.02695678157</v>
      </c>
      <c r="J284" s="282">
        <f>'Resultater - Vestdanmark'!J284+'Resultater - Østdanmark'!J284</f>
        <v>289341.22035391314</v>
      </c>
    </row>
    <row r="285" spans="1:10" x14ac:dyDescent="0.25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80">
        <f>'Resultater - Vestdanmark'!H285+'Resultater - Østdanmark'!H285</f>
        <v>271759.53465639014</v>
      </c>
      <c r="I285" s="281">
        <f>'Resultater - Vestdanmark'!I285+'Resultater - Østdanmark'!I285</f>
        <v>153453.82496259263</v>
      </c>
      <c r="J285" s="282">
        <f>'Resultater - Vestdanmark'!J285+'Resultater - Østdanmark'!J285</f>
        <v>157006.85492328065</v>
      </c>
    </row>
    <row r="286" spans="1:10" x14ac:dyDescent="0.25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80">
        <f>'Resultater - Vestdanmark'!H286+'Resultater - Østdanmark'!H286</f>
        <v>-661438.24431458686</v>
      </c>
      <c r="I286" s="281">
        <f>'Resultater - Vestdanmark'!I286+'Resultater - Østdanmark'!I286</f>
        <v>-348407.45939507824</v>
      </c>
      <c r="J286" s="282">
        <f>'Resultater - Vestdanmark'!J286+'Resultater - Østdanmark'!J286</f>
        <v>-332296.13179299369</v>
      </c>
    </row>
    <row r="287" spans="1:10" x14ac:dyDescent="0.25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80">
        <f>'Resultater - Vestdanmark'!H287+'Resultater - Østdanmark'!H287</f>
        <v>81365.524969577309</v>
      </c>
      <c r="I287" s="281">
        <f>'Resultater - Vestdanmark'!I287+'Resultater - Østdanmark'!I287</f>
        <v>42858.658507678403</v>
      </c>
      <c r="J287" s="282">
        <f>'Resultater - Vestdanmark'!J287+'Resultater - Østdanmark'!J287</f>
        <v>40876.75522408633</v>
      </c>
    </row>
    <row r="288" spans="1:10" x14ac:dyDescent="0.25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80">
        <f>'Resultater - Vestdanmark'!H288+'Resultater - Østdanmark'!H288</f>
        <v>107772.91589565421</v>
      </c>
      <c r="I288" s="281">
        <f>'Resultater - Vestdanmark'!I288+'Resultater - Østdanmark'!I288</f>
        <v>66365.970991770519</v>
      </c>
      <c r="J288" s="282">
        <f>'Resultater - Vestdanmark'!J288+'Resultater - Østdanmark'!J288</f>
        <v>67902.591427014777</v>
      </c>
    </row>
    <row r="289" spans="1:10" x14ac:dyDescent="0.25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80">
        <f>'Resultater - Vestdanmark'!H289+'Resultater - Østdanmark'!H289</f>
        <v>-172951.36870631672</v>
      </c>
      <c r="I289" s="281">
        <f>'Resultater - Vestdanmark'!I289+'Resultater - Østdanmark'!I289</f>
        <v>-99349.351718131846</v>
      </c>
      <c r="J289" s="282">
        <f>'Resultater - Vestdanmark'!J289+'Resultater - Østdanmark'!J289</f>
        <v>-94755.162043304925</v>
      </c>
    </row>
    <row r="290" spans="1:10" x14ac:dyDescent="0.25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80">
        <f>'Resultater - Vestdanmark'!H290+'Resultater - Østdanmark'!H290</f>
        <v>70826.515916993711</v>
      </c>
      <c r="I290" s="281">
        <f>'Resultater - Vestdanmark'!I290+'Resultater - Østdanmark'!I290</f>
        <v>40685.242871687507</v>
      </c>
      <c r="J290" s="282">
        <f>'Resultater - Vestdanmark'!J290+'Resultater - Østdanmark'!J290</f>
        <v>38803.844357389826</v>
      </c>
    </row>
    <row r="291" spans="1:10" x14ac:dyDescent="0.25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80">
        <f>'Resultater - Vestdanmark'!H291+'Resultater - Østdanmark'!H291</f>
        <v>722248.54897796328</v>
      </c>
      <c r="I291" s="281">
        <f>'Resultater - Vestdanmark'!I291+'Resultater - Østdanmark'!I291</f>
        <v>847001.66455298616</v>
      </c>
      <c r="J291" s="282">
        <f>'Resultater - Vestdanmark'!J291+'Resultater - Østdanmark'!J291</f>
        <v>1146821.5628463281</v>
      </c>
    </row>
    <row r="292" spans="1:10" x14ac:dyDescent="0.25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80">
        <f>'Resultater - Vestdanmark'!H292+'Resultater - Østdanmark'!H292</f>
        <v>-2596265.2850252553</v>
      </c>
      <c r="I292" s="281">
        <f>'Resultater - Vestdanmark'!I292+'Resultater - Østdanmark'!I292</f>
        <v>-2840219.251595268</v>
      </c>
      <c r="J292" s="282">
        <f>'Resultater - Vestdanmark'!J292+'Resultater - Østdanmark'!J292</f>
        <v>-3584762.5849669832</v>
      </c>
    </row>
    <row r="293" spans="1:10" x14ac:dyDescent="0.25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80">
        <f>'Resultater - Vestdanmark'!H293+'Resultater - Østdanmark'!H293</f>
        <v>44451.157794126186</v>
      </c>
      <c r="I293" s="281">
        <f>'Resultater - Vestdanmark'!I293+'Resultater - Østdanmark'!I293</f>
        <v>48627.940623312745</v>
      </c>
      <c r="J293" s="282">
        <f>'Resultater - Vestdanmark'!J293+'Resultater - Østdanmark'!J293</f>
        <v>61375.410378102795</v>
      </c>
    </row>
    <row r="294" spans="1:10" x14ac:dyDescent="0.25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80">
        <f>'Resultater - Vestdanmark'!H294+'Resultater - Østdanmark'!H294</f>
        <v>28840.49606644551</v>
      </c>
      <c r="I294" s="281">
        <f>'Resultater - Vestdanmark'!I294+'Resultater - Østdanmark'!I294</f>
        <v>19878.035938795954</v>
      </c>
      <c r="J294" s="282">
        <f>'Resultater - Vestdanmark'!J294+'Resultater - Østdanmark'!J294</f>
        <v>27642.722033462447</v>
      </c>
    </row>
    <row r="295" spans="1:10" x14ac:dyDescent="0.25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80">
        <f>'Resultater - Vestdanmark'!H295+'Resultater - Østdanmark'!H295</f>
        <v>-70195.171284316559</v>
      </c>
      <c r="I295" s="281">
        <f>'Resultater - Vestdanmark'!I295+'Resultater - Østdanmark'!I295</f>
        <v>-45131.856445339326</v>
      </c>
      <c r="J295" s="282">
        <f>'Resultater - Vestdanmark'!J295+'Resultater - Østdanmark'!J295</f>
        <v>-58504.258355069491</v>
      </c>
    </row>
    <row r="296" spans="1:10" x14ac:dyDescent="0.25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80">
        <f>'Resultater - Vestdanmark'!H296+'Resultater - Østdanmark'!H296</f>
        <v>10403.519233105488</v>
      </c>
      <c r="I296" s="281">
        <f>'Resultater - Vestdanmark'!I296+'Resultater - Østdanmark'!I296</f>
        <v>6688.9235821232187</v>
      </c>
      <c r="J296" s="282">
        <f>'Resultater - Vestdanmark'!J296+'Resultater - Østdanmark'!J296</f>
        <v>8670.8268657152839</v>
      </c>
    </row>
    <row r="297" spans="1:10" x14ac:dyDescent="0.25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80">
        <f>'Resultater - Vestdanmark'!H297+'Resultater - Østdanmark'!H297</f>
        <v>11437.406826914037</v>
      </c>
      <c r="I297" s="281">
        <f>'Resultater - Vestdanmark'!I297+'Resultater - Østdanmark'!I297</f>
        <v>8596.8867625755938</v>
      </c>
      <c r="J297" s="282">
        <f>'Resultater - Vestdanmark'!J297+'Resultater - Østdanmark'!J297</f>
        <v>11954.971399725935</v>
      </c>
    </row>
    <row r="298" spans="1:10" x14ac:dyDescent="0.25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80">
        <f>'Resultater - Vestdanmark'!H298+'Resultater - Østdanmark'!H298</f>
        <v>-18354.473837201975</v>
      </c>
      <c r="I298" s="281">
        <f>'Resultater - Vestdanmark'!I298+'Resultater - Østdanmark'!I298</f>
        <v>-12869.473826608873</v>
      </c>
      <c r="J298" s="282">
        <f>'Resultater - Vestdanmark'!J298+'Resultater - Østdanmark'!J298</f>
        <v>-16682.651256715202</v>
      </c>
    </row>
    <row r="299" spans="1:10" x14ac:dyDescent="0.25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80">
        <f>'Resultater - Vestdanmark'!H299+'Resultater - Østdanmark'!H299</f>
        <v>9055.9855765916054</v>
      </c>
      <c r="I299" s="281">
        <f>'Resultater - Vestdanmark'!I299+'Resultater - Østdanmark'!I299</f>
        <v>6349.7199857546993</v>
      </c>
      <c r="J299" s="282">
        <f>'Resultater - Vestdanmark'!J299+'Resultater - Østdanmark'!J299</f>
        <v>8231.1185000523856</v>
      </c>
    </row>
    <row r="300" spans="1:10" x14ac:dyDescent="0.25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80">
        <f>'Resultater - Vestdanmark'!H300+'Resultater - Østdanmark'!H300</f>
        <v>614076.2528869072</v>
      </c>
      <c r="I300" s="281">
        <f>'Resultater - Vestdanmark'!I300+'Resultater - Østdanmark'!I300</f>
        <v>432411.76206732308</v>
      </c>
      <c r="J300" s="282">
        <f>'Resultater - Vestdanmark'!J300+'Resultater - Østdanmark'!J300</f>
        <v>430767.2184104817</v>
      </c>
    </row>
    <row r="301" spans="1:10" x14ac:dyDescent="0.25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80">
        <f>'Resultater - Vestdanmark'!H301+'Resultater - Østdanmark'!H301</f>
        <v>327981.19704816159</v>
      </c>
      <c r="I301" s="281">
        <f>'Resultater - Vestdanmark'!I301+'Resultater - Østdanmark'!I301</f>
        <v>310380.78625631024</v>
      </c>
      <c r="J301" s="282">
        <f>'Resultater - Vestdanmark'!J301+'Resultater - Østdanmark'!J301</f>
        <v>288228.49967454537</v>
      </c>
    </row>
    <row r="302" spans="1:10" x14ac:dyDescent="0.25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80">
        <f>'Resultater - Vestdanmark'!H302+'Resultater - Østdanmark'!H302</f>
        <v>-24423487.330729261</v>
      </c>
      <c r="I302" s="281">
        <f>'Resultater - Vestdanmark'!I302+'Resultater - Østdanmark'!I302</f>
        <v>-16043092.427446898</v>
      </c>
      <c r="J302" s="282">
        <f>'Resultater - Vestdanmark'!J302+'Resultater - Østdanmark'!J302</f>
        <v>-14898075.735540375</v>
      </c>
    </row>
    <row r="303" spans="1:10" x14ac:dyDescent="0.25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80">
        <f>'Resultater - Vestdanmark'!H303+'Resultater - Østdanmark'!H303</f>
        <v>317323.11758989503</v>
      </c>
      <c r="I303" s="281">
        <f>'Resultater - Vestdanmark'!I303+'Resultater - Østdanmark'!I303</f>
        <v>208440.50793905521</v>
      </c>
      <c r="J303" s="282">
        <f>'Resultater - Vestdanmark'!J303+'Resultater - Østdanmark'!J303</f>
        <v>193563.83363582837</v>
      </c>
    </row>
    <row r="304" spans="1:10" x14ac:dyDescent="0.25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80">
        <f>'Resultater - Vestdanmark'!H304+'Resultater - Østdanmark'!H304</f>
        <v>13323.118692618173</v>
      </c>
      <c r="I304" s="281">
        <f>'Resultater - Vestdanmark'!I304+'Resultater - Østdanmark'!I304</f>
        <v>7524.9184400166405</v>
      </c>
      <c r="J304" s="282">
        <f>'Resultater - Vestdanmark'!J304+'Resultater - Østdanmark'!J304</f>
        <v>7699.1484448772626</v>
      </c>
    </row>
    <row r="305" spans="1:10" x14ac:dyDescent="0.25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80">
        <f>'Resultater - Vestdanmark'!H305+'Resultater - Østdanmark'!H305</f>
        <v>7115.9443093208292</v>
      </c>
      <c r="I305" s="281">
        <f>'Resultater - Vestdanmark'!I305+'Resultater - Østdanmark'!I305</f>
        <v>5401.3102945227929</v>
      </c>
      <c r="J305" s="282">
        <f>'Resultater - Vestdanmark'!J305+'Resultater - Østdanmark'!J305</f>
        <v>5151.5387202095999</v>
      </c>
    </row>
    <row r="306" spans="1:10" x14ac:dyDescent="0.25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80">
        <f>'Resultater - Vestdanmark'!H306+'Resultater - Østdanmark'!H306</f>
        <v>-365881.10046015814</v>
      </c>
      <c r="I306" s="281">
        <f>'Resultater - Vestdanmark'!I306+'Resultater - Østdanmark'!I306</f>
        <v>-192770.72976778267</v>
      </c>
      <c r="J306" s="282">
        <f>'Resultater - Vestdanmark'!J306+'Resultater - Østdanmark'!J306</f>
        <v>-183856.47636811645</v>
      </c>
    </row>
    <row r="307" spans="1:10" x14ac:dyDescent="0.25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80">
        <f>'Resultater - Vestdanmark'!H307+'Resultater - Østdanmark'!H307</f>
        <v>40352.129195848909</v>
      </c>
      <c r="I307" s="281">
        <f>'Resultater - Vestdanmark'!I307+'Resultater - Østdanmark'!I307</f>
        <v>21260.210989265601</v>
      </c>
      <c r="J307" s="282">
        <f>'Resultater - Vestdanmark'!J307+'Resultater - Østdanmark'!J307</f>
        <v>20277.079845253316</v>
      </c>
    </row>
    <row r="308" spans="1:10" x14ac:dyDescent="0.25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80">
        <f>'Resultater - Vestdanmark'!H308+'Resultater - Østdanmark'!H308</f>
        <v>6434.7975318427207</v>
      </c>
      <c r="I308" s="281">
        <f>'Resultater - Vestdanmark'!I308+'Resultater - Østdanmark'!I308</f>
        <v>3979.7337616855807</v>
      </c>
      <c r="J308" s="282">
        <f>'Resultater - Vestdanmark'!J308+'Resultater - Østdanmark'!J308</f>
        <v>4071.879482356132</v>
      </c>
    </row>
    <row r="309" spans="1:10" x14ac:dyDescent="0.25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80">
        <f>'Resultater - Vestdanmark'!H309+'Resultater - Østdanmark'!H309</f>
        <v>3436.8575357448558</v>
      </c>
      <c r="I309" s="281">
        <f>'Resultater - Vestdanmark'!I309+'Resultater - Østdanmark'!I309</f>
        <v>2856.6126141833251</v>
      </c>
      <c r="J309" s="282">
        <f>'Resultater - Vestdanmark'!J309+'Resultater - Østdanmark'!J309</f>
        <v>2724.5149210418995</v>
      </c>
    </row>
    <row r="310" spans="1:10" x14ac:dyDescent="0.25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80">
        <f>'Resultater - Vestdanmark'!H310+'Resultater - Østdanmark'!H310</f>
        <v>-120130.14872758326</v>
      </c>
      <c r="I310" s="281">
        <f>'Resultater - Vestdanmark'!I310+'Resultater - Østdanmark'!I310</f>
        <v>-69306.882177057356</v>
      </c>
      <c r="J310" s="282">
        <f>'Resultater - Vestdanmark'!J310+'Resultater - Østdanmark'!J310</f>
        <v>-66101.939648638509</v>
      </c>
    </row>
    <row r="311" spans="1:10" x14ac:dyDescent="0.25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80">
        <f>'Resultater - Vestdanmark'!H311+'Resultater - Østdanmark'!H311</f>
        <v>42778.549000109218</v>
      </c>
      <c r="I311" s="281">
        <f>'Resultater - Vestdanmark'!I311+'Resultater - Østdanmark'!I311</f>
        <v>24680.297882418934</v>
      </c>
      <c r="J311" s="282">
        <f>'Resultater - Vestdanmark'!J311+'Resultater - Østdanmark'!J311</f>
        <v>23539.012431208808</v>
      </c>
    </row>
    <row r="312" spans="1:10" x14ac:dyDescent="0.25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80">
        <f>'Resultater - Vestdanmark'!H312+'Resultater - Østdanmark'!H312</f>
        <v>43184.19576890875</v>
      </c>
      <c r="I312" s="281">
        <f>'Resultater - Vestdanmark'!I312+'Resultater - Østdanmark'!I312</f>
        <v>37117.425819073687</v>
      </c>
      <c r="J312" s="282">
        <f>'Resultater - Vestdanmark'!J312+'Resultater - Østdanmark'!J312</f>
        <v>50256.175481222861</v>
      </c>
    </row>
    <row r="313" spans="1:10" x14ac:dyDescent="0.25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80">
        <f>'Resultater - Vestdanmark'!H313+'Resultater - Østdanmark'!H313</f>
        <v>23064.894881153006</v>
      </c>
      <c r="I313" s="281">
        <f>'Resultater - Vestdanmark'!I313+'Resultater - Østdanmark'!I313</f>
        <v>26642.512577492525</v>
      </c>
      <c r="J313" s="282">
        <f>'Resultater - Vestdanmark'!J313+'Resultater - Østdanmark'!J313</f>
        <v>33626.658295363617</v>
      </c>
    </row>
    <row r="314" spans="1:10" x14ac:dyDescent="0.25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80">
        <f>'Resultater - Vestdanmark'!H314+'Resultater - Østdanmark'!H314</f>
        <v>-1717553.2408088709</v>
      </c>
      <c r="I314" s="281">
        <f>'Resultater - Vestdanmark'!I314+'Resultater - Østdanmark'!I314</f>
        <v>-1377109.3788877833</v>
      </c>
      <c r="J314" s="282">
        <f>'Resultater - Vestdanmark'!J314+'Resultater - Østdanmark'!J314</f>
        <v>-1738108.8358130436</v>
      </c>
    </row>
    <row r="315" spans="1:10" x14ac:dyDescent="0.25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80">
        <f>'Resultater - Vestdanmark'!H315+'Resultater - Østdanmark'!H315</f>
        <v>40573.414332296394</v>
      </c>
      <c r="I315" s="281">
        <f>'Resultater - Vestdanmark'!I315+'Resultater - Østdanmark'!I315</f>
        <v>32531.177539621334</v>
      </c>
      <c r="J315" s="282">
        <f>'Resultater - Vestdanmark'!J315+'Resultater - Østdanmark'!J315</f>
        <v>41058.995013660548</v>
      </c>
    </row>
    <row r="316" spans="1:10" x14ac:dyDescent="0.25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80">
        <f>'Resultater - Vestdanmark'!H316+'Resultater - Østdanmark'!H316</f>
        <v>936.9327720614383</v>
      </c>
      <c r="I316" s="281">
        <f>'Resultater - Vestdanmark'!I316+'Resultater - Østdanmark'!I316</f>
        <v>645.92507996674658</v>
      </c>
      <c r="J316" s="282">
        <f>'Resultater - Vestdanmark'!J316+'Resultater - Østdanmark'!J316</f>
        <v>898.23398523568062</v>
      </c>
    </row>
    <row r="317" spans="1:10" x14ac:dyDescent="0.25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80">
        <f>'Resultater - Vestdanmark'!H317+'Resultater - Østdanmark'!H317</f>
        <v>500.42047822187442</v>
      </c>
      <c r="I317" s="281">
        <f>'Resultater - Vestdanmark'!I317+'Resultater - Østdanmark'!I317</f>
        <v>463.63848481886413</v>
      </c>
      <c r="J317" s="282">
        <f>'Resultater - Vestdanmark'!J317+'Resultater - Østdanmark'!J317</f>
        <v>601.01285069111998</v>
      </c>
    </row>
    <row r="318" spans="1:10" x14ac:dyDescent="0.25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80">
        <f>'Resultater - Vestdanmark'!H318+'Resultater - Østdanmark'!H318</f>
        <v>-25730.161353959949</v>
      </c>
      <c r="I318" s="281">
        <f>'Resultater - Vestdanmark'!I318+'Resultater - Østdanmark'!I318</f>
        <v>-16547.082873130483</v>
      </c>
      <c r="J318" s="282">
        <f>'Resultater - Vestdanmark'!J318+'Resultater - Østdanmark'!J318</f>
        <v>-21449.922242946916</v>
      </c>
    </row>
    <row r="319" spans="1:10" x14ac:dyDescent="0.25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80">
        <f>'Resultater - Vestdanmark'!H319+'Resultater - Østdanmark'!H319</f>
        <v>5159.4843435562807</v>
      </c>
      <c r="I319" s="281">
        <f>'Resultater - Vestdanmark'!I319+'Resultater - Østdanmark'!I319</f>
        <v>3318.0676110414529</v>
      </c>
      <c r="J319" s="282">
        <f>'Resultater - Vestdanmark'!J319+'Resultater - Østdanmark'!J319</f>
        <v>4301.1987550537342</v>
      </c>
    </row>
    <row r="320" spans="1:10" x14ac:dyDescent="0.25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80">
        <f>'Resultater - Vestdanmark'!H320+'Resultater - Østdanmark'!H320</f>
        <v>452.51962609204435</v>
      </c>
      <c r="I320" s="281">
        <f>'Resultater - Vestdanmark'!I320+'Resultater - Østdanmark'!I320</f>
        <v>341.61298474584328</v>
      </c>
      <c r="J320" s="282">
        <f>'Resultater - Vestdanmark'!J320+'Resultater - Østdanmark'!J320</f>
        <v>475.05260627488212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80">
        <f>'Resultater - Vestdanmark'!H321+'Resultater - Østdanmark'!H321</f>
        <v>241.69299489389135</v>
      </c>
      <c r="I321" s="281">
        <f>'Resultater - Vestdanmark'!I321+'Resultater - Østdanmark'!I321</f>
        <v>245.20634289377099</v>
      </c>
      <c r="J321" s="282">
        <f>'Resultater - Vestdanmark'!J321+'Resultater - Østdanmark'!J321</f>
        <v>317.86007412155504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80">
        <f>'Resultater - Vestdanmark'!H322+'Resultater - Østdanmark'!H322</f>
        <v>-8448.0125000949847</v>
      </c>
      <c r="I322" s="281">
        <f>'Resultater - Vestdanmark'!I322+'Resultater - Østdanmark'!I322</f>
        <v>-5949.174568377467</v>
      </c>
      <c r="J322" s="282">
        <f>'Resultater - Vestdanmark'!J322+'Resultater - Østdanmark'!J322</f>
        <v>-7711.8929590078278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80">
        <f>'Resultater - Vestdanmark'!H323+'Resultater - Østdanmark'!H323</f>
        <v>5469.7300540171764</v>
      </c>
      <c r="I323" s="281">
        <f>'Resultater - Vestdanmark'!I323+'Resultater - Østdanmark'!I323</f>
        <v>3851.838397834169</v>
      </c>
      <c r="J323" s="282">
        <f>'Resultater - Vestdanmark'!J323+'Resultater - Østdanmark'!J323</f>
        <v>4993.1238490442929</v>
      </c>
    </row>
    <row r="324" spans="1:10" x14ac:dyDescent="0.25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80">
        <f>'Resultater - Vestdanmark'!H324+'Resultater - Østdanmark'!H324</f>
        <v>1244876.7164053498</v>
      </c>
      <c r="I324" s="281">
        <f>'Resultater - Vestdanmark'!I324+'Resultater - Østdanmark'!I324</f>
        <v>1251384.0274078758</v>
      </c>
      <c r="J324" s="282">
        <f>'Resultater - Vestdanmark'!J324+'Resultater - Østdanmark'!J324</f>
        <v>1246624.7774404201</v>
      </c>
    </row>
    <row r="325" spans="1:10" x14ac:dyDescent="0.25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80">
        <f>'Resultater - Vestdanmark'!H325+'Resultater - Østdanmark'!H325</f>
        <v>206810.63376166133</v>
      </c>
      <c r="I325" s="281">
        <f>'Resultater - Vestdanmark'!I325+'Resultater - Østdanmark'!I325</f>
        <v>279388.04278637352</v>
      </c>
      <c r="J325" s="282">
        <f>'Resultater - Vestdanmark'!J325+'Resultater - Østdanmark'!J325</f>
        <v>259447.74923285682</v>
      </c>
    </row>
    <row r="326" spans="1:10" x14ac:dyDescent="0.25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80">
        <f>'Resultater - Vestdanmark'!H326+'Resultater - Østdanmark'!H326</f>
        <v>-13068327.181838907</v>
      </c>
      <c r="I326" s="281">
        <f>'Resultater - Vestdanmark'!I326+'Resultater - Østdanmark'!I326</f>
        <v>-12254327.333482277</v>
      </c>
      <c r="J326" s="282">
        <f>'Resultater - Vestdanmark'!J326+'Resultater - Østdanmark'!J326</f>
        <v>-11379719.809504025</v>
      </c>
    </row>
    <row r="327" spans="1:10" x14ac:dyDescent="0.25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80">
        <f>'Resultater - Vestdanmark'!H327+'Resultater - Østdanmark'!H327</f>
        <v>198089.21270536177</v>
      </c>
      <c r="I327" s="281">
        <f>'Resultater - Vestdanmark'!I327+'Resultater - Østdanmark'!I327</f>
        <v>185750.63356974517</v>
      </c>
      <c r="J327" s="282">
        <f>'Resultater - Vestdanmark'!J327+'Resultater - Østdanmark'!J327</f>
        <v>172493.36556288012</v>
      </c>
    </row>
    <row r="328" spans="1:10" x14ac:dyDescent="0.25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80">
        <f>'Resultater - Vestdanmark'!H328+'Resultater - Østdanmark'!H328</f>
        <v>83193.972065214504</v>
      </c>
      <c r="I328" s="281">
        <f>'Resultater - Vestdanmark'!I328+'Resultater - Østdanmark'!I328</f>
        <v>46996.376065825483</v>
      </c>
      <c r="J328" s="282">
        <f>'Resultater - Vestdanmark'!J328+'Resultater - Østdanmark'!J328</f>
        <v>48084.517936817268</v>
      </c>
    </row>
    <row r="329" spans="1:10" x14ac:dyDescent="0.25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80">
        <f>'Resultater - Vestdanmark'!H329+'Resultater - Østdanmark'!H329</f>
        <v>13820.965450810663</v>
      </c>
      <c r="I329" s="281">
        <f>'Resultater - Vestdanmark'!I329+'Resultater - Østdanmark'!I329</f>
        <v>10492.5628260426</v>
      </c>
      <c r="J329" s="282">
        <f>'Resultater - Vestdanmark'!J329+'Resultater - Østdanmark'!J329</f>
        <v>10007.357608653347</v>
      </c>
    </row>
    <row r="330" spans="1:10" x14ac:dyDescent="0.25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80">
        <f>'Resultater - Vestdanmark'!H330+'Resultater - Østdanmark'!H330</f>
        <v>-655008.26237096614</v>
      </c>
      <c r="I330" s="281">
        <f>'Resultater - Vestdanmark'!I330+'Resultater - Østdanmark'!I330</f>
        <v>-345163.21320102591</v>
      </c>
      <c r="J330" s="282">
        <f>'Resultater - Vestdanmark'!J330+'Resultater - Østdanmark'!J330</f>
        <v>-329201.90854433109</v>
      </c>
    </row>
    <row r="331" spans="1:10" x14ac:dyDescent="0.25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80">
        <f>'Resultater - Vestdanmark'!H331+'Resultater - Østdanmark'!H331</f>
        <v>77590.310666771984</v>
      </c>
      <c r="I331" s="281">
        <f>'Resultater - Vestdanmark'!I331+'Resultater - Østdanmark'!I331</f>
        <v>40886.997128963179</v>
      </c>
      <c r="J331" s="282">
        <f>'Resultater - Vestdanmark'!J331+'Resultater - Østdanmark'!J331</f>
        <v>38996.268938028465</v>
      </c>
    </row>
    <row r="332" spans="1:10" x14ac:dyDescent="0.25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80">
        <f>'Resultater - Vestdanmark'!H332+'Resultater - Østdanmark'!H332</f>
        <v>72418.22612376757</v>
      </c>
      <c r="I332" s="281">
        <f>'Resultater - Vestdanmark'!I332+'Resultater - Østdanmark'!I332</f>
        <v>44931.017565096816</v>
      </c>
      <c r="J332" s="282">
        <f>'Resultater - Vestdanmark'!J332+'Resultater - Østdanmark'!J332</f>
        <v>45971.338662416529</v>
      </c>
    </row>
    <row r="333" spans="1:10" x14ac:dyDescent="0.25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80">
        <f>'Resultater - Vestdanmark'!H333+'Resultater - Østdanmark'!H333</f>
        <v>12030.797140939529</v>
      </c>
      <c r="I333" s="281">
        <f>'Resultater - Vestdanmark'!I333+'Resultater - Østdanmark'!I333</f>
        <v>10031.444211346794</v>
      </c>
      <c r="J333" s="282">
        <f>'Resultater - Vestdanmark'!J333+'Resultater - Østdanmark'!J333</f>
        <v>9567.5623981053213</v>
      </c>
    </row>
    <row r="334" spans="1:10" x14ac:dyDescent="0.25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80">
        <f>'Resultater - Vestdanmark'!H334+'Resultater - Østdanmark'!H334</f>
        <v>-434413.67575579346</v>
      </c>
      <c r="I334" s="281">
        <f>'Resultater - Vestdanmark'!I334+'Resultater - Østdanmark'!I334</f>
        <v>-251424.19894858479</v>
      </c>
      <c r="J334" s="282">
        <f>'Resultater - Vestdanmark'!J334+'Resultater - Østdanmark'!J334</f>
        <v>-239797.64639604904</v>
      </c>
    </row>
    <row r="335" spans="1:10" x14ac:dyDescent="0.25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80">
        <f>'Resultater - Vestdanmark'!H335+'Resultater - Østdanmark'!H335</f>
        <v>148249.80065505981</v>
      </c>
      <c r="I335" s="281">
        <f>'Resultater - Vestdanmark'!I335+'Resultater - Østdanmark'!I335</f>
        <v>85802.057932769181</v>
      </c>
      <c r="J335" s="282">
        <f>'Resultater - Vestdanmark'!J335+'Resultater - Østdanmark'!J335</f>
        <v>81834.332710444578</v>
      </c>
    </row>
    <row r="336" spans="1:10" x14ac:dyDescent="0.25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80">
        <f>'Resultater - Vestdanmark'!H336+'Resultater - Østdanmark'!H336</f>
        <v>90727.938572043873</v>
      </c>
      <c r="I336" s="281">
        <f>'Resultater - Vestdanmark'!I336+'Resultater - Østdanmark'!I336</f>
        <v>111322.54440350988</v>
      </c>
      <c r="J336" s="282">
        <f>'Resultater - Vestdanmark'!J336+'Resultater - Østdanmark'!J336</f>
        <v>150728.26854506898</v>
      </c>
    </row>
    <row r="337" spans="1:10" x14ac:dyDescent="0.25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80">
        <f>'Resultater - Vestdanmark'!H337+'Resultater - Østdanmark'!H337</f>
        <v>15072.578857570828</v>
      </c>
      <c r="I337" s="281">
        <f>'Resultater - Vestdanmark'!I337+'Resultater - Østdanmark'!I337</f>
        <v>24854.231089492998</v>
      </c>
      <c r="J337" s="282">
        <f>'Resultater - Vestdanmark'!J337+'Resultater - Østdanmark'!J337</f>
        <v>31369.591498154507</v>
      </c>
    </row>
    <row r="338" spans="1:10" x14ac:dyDescent="0.25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80">
        <f>'Resultater - Vestdanmark'!H338+'Resultater - Østdanmark'!H338</f>
        <v>-952433.57849676628</v>
      </c>
      <c r="I338" s="281">
        <f>'Resultater - Vestdanmark'!I338+'Resultater - Østdanmark'!I338</f>
        <v>-1090139.2928456198</v>
      </c>
      <c r="J338" s="282">
        <f>'Resultater - Vestdanmark'!J338+'Resultater - Østdanmark'!J338</f>
        <v>-1375911.5769673046</v>
      </c>
    </row>
    <row r="339" spans="1:10" x14ac:dyDescent="0.25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80">
        <f>'Resultater - Vestdanmark'!H339+'Resultater - Østdanmark'!H339</f>
        <v>25327.986699790868</v>
      </c>
      <c r="I339" s="281">
        <f>'Resultater - Vestdanmark'!I339+'Resultater - Østdanmark'!I339</f>
        <v>28989.983273890866</v>
      </c>
      <c r="J339" s="282">
        <f>'Resultater - Vestdanmark'!J339+'Resultater - Østdanmark'!J339</f>
        <v>36589.501786065477</v>
      </c>
    </row>
    <row r="340" spans="1:10" x14ac:dyDescent="0.25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80">
        <f>'Resultater - Vestdanmark'!H340+'Resultater - Østdanmark'!H340</f>
        <v>6063.2651310986303</v>
      </c>
      <c r="I340" s="281">
        <f>'Resultater - Vestdanmark'!I340+'Resultater - Østdanmark'!I340</f>
        <v>4180.7758823875965</v>
      </c>
      <c r="J340" s="282">
        <f>'Resultater - Vestdanmark'!J340+'Resultater - Østdanmark'!J340</f>
        <v>5813.8553505424516</v>
      </c>
    </row>
    <row r="341" spans="1:10" x14ac:dyDescent="0.25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80">
        <f>'Resultater - Vestdanmark'!H341+'Resultater - Østdanmark'!H341</f>
        <v>1007.2866557006012</v>
      </c>
      <c r="I341" s="281">
        <f>'Resultater - Vestdanmark'!I341+'Resultater - Østdanmark'!I341</f>
        <v>933.4135369525759</v>
      </c>
      <c r="J341" s="282">
        <f>'Resultater - Vestdanmark'!J341+'Resultater - Østdanmark'!J341</f>
        <v>1209.98051086445</v>
      </c>
    </row>
    <row r="342" spans="1:10" x14ac:dyDescent="0.25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80">
        <f>'Resultater - Vestdanmark'!H342+'Resultater - Østdanmark'!H342</f>
        <v>-47737.698528232206</v>
      </c>
      <c r="I342" s="281">
        <f>'Resultater - Vestdanmark'!I342+'Resultater - Østdanmark'!I342</f>
        <v>-30705.5598333167</v>
      </c>
      <c r="J342" s="282">
        <f>'Resultater - Vestdanmark'!J342+'Resultater - Østdanmark'!J342</f>
        <v>-39803.503487632755</v>
      </c>
    </row>
    <row r="343" spans="1:10" x14ac:dyDescent="0.25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80">
        <f>'Resultater - Vestdanmark'!H343+'Resultater - Østdanmark'!H343</f>
        <v>9920.8146156029889</v>
      </c>
      <c r="I343" s="281">
        <f>'Resultater - Vestdanmark'!I343+'Resultater - Østdanmark'!I343</f>
        <v>6381.2076444046597</v>
      </c>
      <c r="J343" s="282">
        <f>'Resultater - Vestdanmark'!J343+'Resultater - Østdanmark'!J343</f>
        <v>8271.9358353393727</v>
      </c>
    </row>
    <row r="344" spans="1:10" x14ac:dyDescent="0.25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80">
        <f>'Resultater - Vestdanmark'!H344+'Resultater - Østdanmark'!H344</f>
        <v>5277.9173107404822</v>
      </c>
      <c r="I344" s="281">
        <f>'Resultater - Vestdanmark'!I344+'Resultater - Østdanmark'!I344</f>
        <v>3997.0425452418499</v>
      </c>
      <c r="J344" s="282">
        <f>'Resultater - Vestdanmark'!J344+'Resultater - Østdanmark'!J344</f>
        <v>5558.352765546726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80">
        <f>'Resultater - Vestdanmark'!H345+'Resultater - Østdanmark'!H345</f>
        <v>876.81728607450714</v>
      </c>
      <c r="I345" s="281">
        <f>'Resultater - Vestdanmark'!I345+'Resultater - Østdanmark'!I345</f>
        <v>892.39263822327825</v>
      </c>
      <c r="J345" s="282">
        <f>'Resultater - Vestdanmark'!J345+'Resultater - Østdanmark'!J345</f>
        <v>1156.8052717709163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80">
        <f>'Resultater - Vestdanmark'!H346+'Resultater - Østdanmark'!H346</f>
        <v>-31660.530532401586</v>
      </c>
      <c r="I346" s="281">
        <f>'Resultater - Vestdanmark'!I346+'Resultater - Østdanmark'!I346</f>
        <v>-22366.580472940572</v>
      </c>
      <c r="J346" s="282">
        <f>'Resultater - Vestdanmark'!J346+'Resultater - Østdanmark'!J346</f>
        <v>-28993.715427885927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80">
        <f>'Resultater - Vestdanmark'!H347+'Resultater - Østdanmark'!H347</f>
        <v>18955.444004025605</v>
      </c>
      <c r="I347" s="281">
        <f>'Resultater - Vestdanmark'!I347+'Resultater - Østdanmark'!I347</f>
        <v>13391.072625345478</v>
      </c>
      <c r="J347" s="282">
        <f>'Resultater - Vestdanmark'!J347+'Resultater - Østdanmark'!J347</f>
        <v>17358.797847670063</v>
      </c>
    </row>
    <row r="348" spans="1:10" x14ac:dyDescent="0.25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80">
        <f>'Resultater - Vestdanmark'!H348+'Resultater - Østdanmark'!H348</f>
        <v>803523.26097451104</v>
      </c>
      <c r="I348" s="281">
        <f>'Resultater - Vestdanmark'!I348+'Resultater - Østdanmark'!I348</f>
        <v>822429.07045355951</v>
      </c>
      <c r="J348" s="282">
        <f>'Resultater - Vestdanmark'!J348+'Resultater - Østdanmark'!J348</f>
        <v>819301.2172597656</v>
      </c>
    </row>
    <row r="349" spans="1:10" x14ac:dyDescent="0.25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80">
        <f>'Resultater - Vestdanmark'!H349+'Resultater - Østdanmark'!H349</f>
        <v>-1767751.1741439244</v>
      </c>
      <c r="I349" s="281">
        <f>'Resultater - Vestdanmark'!I349+'Resultater - Østdanmark'!I349</f>
        <v>-1687820.8535427526</v>
      </c>
      <c r="J349" s="282">
        <f>'Resultater - Vestdanmark'!J349+'Resultater - Østdanmark'!J349</f>
        <v>-1567358.850409986</v>
      </c>
    </row>
    <row r="350" spans="1:10" x14ac:dyDescent="0.25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80">
        <f>'Resultater - Vestdanmark'!H350+'Resultater - Østdanmark'!H350</f>
        <v>31589.622964822924</v>
      </c>
      <c r="I350" s="281">
        <f>'Resultater - Vestdanmark'!I350+'Resultater - Østdanmark'!I350</f>
        <v>30161.272228486283</v>
      </c>
      <c r="J350" s="282">
        <f>'Resultater - Vestdanmark'!J350+'Resultater - Østdanmark'!J350</f>
        <v>28008.622400721786</v>
      </c>
    </row>
    <row r="351" spans="1:10" x14ac:dyDescent="0.25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80">
        <f>'Resultater - Vestdanmark'!H351+'Resultater - Østdanmark'!H351</f>
        <v>27634.888548227009</v>
      </c>
      <c r="I351" s="281">
        <f>'Resultater - Vestdanmark'!I351+'Resultater - Østdanmark'!I351</f>
        <v>15606.173335078131</v>
      </c>
      <c r="J351" s="282">
        <f>'Resultater - Vestdanmark'!J351+'Resultater - Østdanmark'!J351</f>
        <v>15967.514614415682</v>
      </c>
    </row>
    <row r="352" spans="1:10" x14ac:dyDescent="0.25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80">
        <f>'Resultater - Vestdanmark'!H352+'Resultater - Østdanmark'!H352</f>
        <v>-46058.147580378347</v>
      </c>
      <c r="I352" s="281">
        <f>'Resultater - Vestdanmark'!I352+'Resultater - Østdanmark'!I352</f>
        <v>-24263.329190109031</v>
      </c>
      <c r="J352" s="282">
        <f>'Resultater - Vestdanmark'!J352+'Resultater - Østdanmark'!J352</f>
        <v>-23141.325528138674</v>
      </c>
    </row>
    <row r="353" spans="1:10" x14ac:dyDescent="0.25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80">
        <f>'Resultater - Vestdanmark'!H353+'Resultater - Østdanmark'!H353</f>
        <v>4910.5789263453398</v>
      </c>
      <c r="I353" s="281">
        <f>'Resultater - Vestdanmark'!I353+'Resultater - Østdanmark'!I353</f>
        <v>2586.8820016263107</v>
      </c>
      <c r="J353" s="282">
        <f>'Resultater - Vestdanmark'!J353+'Resultater - Østdanmark'!J353</f>
        <v>2467.2574003950358</v>
      </c>
    </row>
    <row r="354" spans="1:10" x14ac:dyDescent="0.25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80">
        <f>'Resultater - Vestdanmark'!H354+'Resultater - Østdanmark'!H354</f>
        <v>18493.012942248984</v>
      </c>
      <c r="I354" s="281">
        <f>'Resultater - Vestdanmark'!I354+'Resultater - Østdanmark'!I354</f>
        <v>11409.983786663341</v>
      </c>
      <c r="J354" s="282">
        <f>'Resultater - Vestdanmark'!J354+'Resultater - Østdanmark'!J354</f>
        <v>11674.167584329265</v>
      </c>
    </row>
    <row r="355" spans="1:10" x14ac:dyDescent="0.25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80">
        <f>'Resultater - Vestdanmark'!H355+'Resultater - Østdanmark'!H355</f>
        <v>-23776.730925748692</v>
      </c>
      <c r="I355" s="281">
        <f>'Resultater - Vestdanmark'!I355+'Resultater - Østdanmark'!I355</f>
        <v>-13684.682046904327</v>
      </c>
      <c r="J355" s="282">
        <f>'Resultater - Vestdanmark'!J355+'Resultater - Østdanmark'!J355</f>
        <v>-13051.864379995453</v>
      </c>
    </row>
    <row r="356" spans="1:10" x14ac:dyDescent="0.25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80">
        <f>'Resultater - Vestdanmark'!H356+'Resultater - Østdanmark'!H356</f>
        <v>7529.7457544847666</v>
      </c>
      <c r="I356" s="281">
        <f>'Resultater - Vestdanmark'!I356+'Resultater - Østdanmark'!I356</f>
        <v>4333.7402801898061</v>
      </c>
      <c r="J356" s="282">
        <f>'Resultater - Vestdanmark'!J356+'Resultater - Østdanmark'!J356</f>
        <v>4133.3361053833396</v>
      </c>
    </row>
    <row r="357" spans="1:10" x14ac:dyDescent="0.25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80">
        <f>'Resultater - Vestdanmark'!H357+'Resultater - Østdanmark'!H357</f>
        <v>58561.6295189554</v>
      </c>
      <c r="I357" s="281">
        <f>'Resultater - Vestdanmark'!I357+'Resultater - Østdanmark'!I357</f>
        <v>73162.909793527637</v>
      </c>
      <c r="J357" s="282">
        <f>'Resultater - Vestdanmark'!J357+'Resultater - Østdanmark'!J357</f>
        <v>99060.965359589813</v>
      </c>
    </row>
    <row r="358" spans="1:10" x14ac:dyDescent="0.25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80">
        <f>'Resultater - Vestdanmark'!H358+'Resultater - Østdanmark'!H358</f>
        <v>-128835.58494170189</v>
      </c>
      <c r="I358" s="281">
        <f>'Resultater - Vestdanmark'!I358+'Resultater - Østdanmark'!I358</f>
        <v>-150147.7626359709</v>
      </c>
      <c r="J358" s="282">
        <f>'Resultater - Vestdanmark'!J358+'Resultater - Østdanmark'!J358</f>
        <v>-189507.9337313892</v>
      </c>
    </row>
    <row r="359" spans="1:10" x14ac:dyDescent="0.25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80">
        <f>'Resultater - Vestdanmark'!H359+'Resultater - Østdanmark'!H359</f>
        <v>4039.0970279361727</v>
      </c>
      <c r="I359" s="281">
        <f>'Resultater - Vestdanmark'!I359+'Resultater - Østdanmark'!I359</f>
        <v>4707.2505790123105</v>
      </c>
      <c r="J359" s="282">
        <f>'Resultater - Vestdanmark'!J359+'Resultater - Østdanmark'!J359</f>
        <v>5941.2229334864378</v>
      </c>
    </row>
    <row r="360" spans="1:10" x14ac:dyDescent="0.25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80">
        <f>'Resultater - Vestdanmark'!H360+'Resultater - Østdanmark'!H360</f>
        <v>2014.0600571988041</v>
      </c>
      <c r="I360" s="281">
        <f>'Resultater - Vestdanmark'!I360+'Resultater - Østdanmark'!I360</f>
        <v>1388.3179631609967</v>
      </c>
      <c r="J360" s="282">
        <f>'Resultater - Vestdanmark'!J360+'Resultater - Østdanmark'!J360</f>
        <v>1930.6176761066235</v>
      </c>
    </row>
    <row r="361" spans="1:10" x14ac:dyDescent="0.25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80">
        <f>'Resultater - Vestdanmark'!H361+'Resultater - Østdanmark'!H361</f>
        <v>-3356.766761998007</v>
      </c>
      <c r="I361" s="281">
        <f>'Resultater - Vestdanmark'!I361+'Resultater - Østdanmark'!I361</f>
        <v>-2158.4545447154796</v>
      </c>
      <c r="J361" s="282">
        <f>'Resultater - Vestdanmark'!J361+'Resultater - Østdanmark'!J361</f>
        <v>-2797.9966320385847</v>
      </c>
    </row>
    <row r="362" spans="1:10" x14ac:dyDescent="0.25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80">
        <f>'Resultater - Vestdanmark'!H362+'Resultater - Østdanmark'!H362</f>
        <v>627.87405753257133</v>
      </c>
      <c r="I362" s="281">
        <f>'Resultater - Vestdanmark'!I362+'Resultater - Østdanmark'!I362</f>
        <v>403.73302915555138</v>
      </c>
      <c r="J362" s="282">
        <f>'Resultater - Vestdanmark'!J362+'Resultater - Østdanmark'!J362</f>
        <v>523.3576303868258</v>
      </c>
    </row>
    <row r="363" spans="1:10" x14ac:dyDescent="0.25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80">
        <f>'Resultater - Vestdanmark'!H363+'Resultater - Østdanmark'!H363</f>
        <v>1347.7904439254141</v>
      </c>
      <c r="I363" s="281">
        <f>'Resultater - Vestdanmark'!I363+'Resultater - Østdanmark'!I363</f>
        <v>1015.0268813684903</v>
      </c>
      <c r="J363" s="282">
        <f>'Resultater - Vestdanmark'!J363+'Resultater - Østdanmark'!J363</f>
        <v>1411.5129897416293</v>
      </c>
    </row>
    <row r="364" spans="1:10" x14ac:dyDescent="0.25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80">
        <f>'Resultater - Vestdanmark'!H364+'Resultater - Østdanmark'!H364</f>
        <v>-1732.8734279041039</v>
      </c>
      <c r="I364" s="281">
        <f>'Resultater - Vestdanmark'!I364+'Resultater - Østdanmark'!I364</f>
        <v>-1217.3829867159398</v>
      </c>
      <c r="J364" s="282">
        <f>'Resultater - Vestdanmark'!J364+'Resultater - Østdanmark'!J364</f>
        <v>-1578.0890568539955</v>
      </c>
    </row>
    <row r="365" spans="1:10" x14ac:dyDescent="0.25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80">
        <f>'Resultater - Vestdanmark'!H365+'Resultater - Østdanmark'!H365</f>
        <v>962.76469434034368</v>
      </c>
      <c r="I365" s="281">
        <f>'Resultater - Vestdanmark'!I365+'Resultater - Østdanmark'!I365</f>
        <v>676.36408997181934</v>
      </c>
      <c r="J365" s="282">
        <f>'Resultater - Vestdanmark'!J365+'Resultater - Østdanmark'!J365</f>
        <v>876.76826477828422</v>
      </c>
    </row>
    <row r="366" spans="1:10" x14ac:dyDescent="0.25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80">
        <f>'Resultater - Vestdanmark'!H366+'Resultater - Østdanmark'!H366</f>
        <v>151119.96541178104</v>
      </c>
      <c r="I366" s="281">
        <f>'Resultater - Vestdanmark'!I366+'Resultater - Østdanmark'!I366</f>
        <v>154273.20639446744</v>
      </c>
      <c r="J366" s="282">
        <f>'Resultater - Vestdanmark'!J366+'Resultater - Østdanmark'!J366</f>
        <v>153686.47623295739</v>
      </c>
    </row>
    <row r="367" spans="1:10" x14ac:dyDescent="0.25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80">
        <f>'Resultater - Vestdanmark'!H367+'Resultater - Østdanmark'!H367</f>
        <v>-743510.2298259628</v>
      </c>
      <c r="I367" s="281">
        <f>'Resultater - Vestdanmark'!I367+'Resultater - Østdanmark'!I367</f>
        <v>-708044.93979550339</v>
      </c>
      <c r="J367" s="282">
        <f>'Resultater - Vestdanmark'!J367+'Resultater - Østdanmark'!J367</f>
        <v>-657510.83744882641</v>
      </c>
    </row>
    <row r="368" spans="1:10" x14ac:dyDescent="0.25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80">
        <f>'Resultater - Vestdanmark'!H368+'Resultater - Østdanmark'!H368</f>
        <v>12179.28225780596</v>
      </c>
      <c r="I368" s="281">
        <f>'Resultater - Vestdanmark'!I368+'Resultater - Østdanmark'!I368</f>
        <v>11598.332917355026</v>
      </c>
      <c r="J368" s="282">
        <f>'Resultater - Vestdanmark'!J368+'Resultater - Østdanmark'!J368</f>
        <v>10770.544581115051</v>
      </c>
    </row>
    <row r="369" spans="1:10" x14ac:dyDescent="0.25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80">
        <f>'Resultater - Vestdanmark'!H369+'Resultater - Østdanmark'!H369</f>
        <v>22625.724932981873</v>
      </c>
      <c r="I369" s="281">
        <f>'Resultater - Vestdanmark'!I369+'Resultater - Østdanmark'!I369</f>
        <v>12777.848929313532</v>
      </c>
      <c r="J369" s="282">
        <f>'Resultater - Vestdanmark'!J369+'Resultater - Østdanmark'!J369</f>
        <v>13073.703920807318</v>
      </c>
    </row>
    <row r="370" spans="1:10" x14ac:dyDescent="0.25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80">
        <f>'Resultater - Vestdanmark'!H370+'Resultater - Østdanmark'!H370</f>
        <v>-92765.472225225691</v>
      </c>
      <c r="I370" s="281">
        <f>'Resultater - Vestdanmark'!I370+'Resultater - Østdanmark'!I370</f>
        <v>-48870.504300546156</v>
      </c>
      <c r="J370" s="282">
        <f>'Resultater - Vestdanmark'!J370+'Resultater - Østdanmark'!J370</f>
        <v>-46610.596587226108</v>
      </c>
    </row>
    <row r="371" spans="1:10" x14ac:dyDescent="0.25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80">
        <f>'Resultater - Vestdanmark'!H371+'Resultater - Østdanmark'!H371</f>
        <v>8241.9759393401473</v>
      </c>
      <c r="I371" s="281">
        <f>'Resultater - Vestdanmark'!I371+'Resultater - Østdanmark'!I371</f>
        <v>4342.019836977558</v>
      </c>
      <c r="J371" s="282">
        <f>'Resultater - Vestdanmark'!J371+'Resultater - Østdanmark'!J371</f>
        <v>4141.2327924930469</v>
      </c>
    </row>
    <row r="372" spans="1:10" x14ac:dyDescent="0.25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80">
        <f>'Resultater - Vestdanmark'!H372+'Resultater - Østdanmark'!H372</f>
        <v>21786.130098302907</v>
      </c>
      <c r="I372" s="281">
        <f>'Resultater - Vestdanmark'!I372+'Resultater - Østdanmark'!I372</f>
        <v>13451.160805450048</v>
      </c>
      <c r="J372" s="282">
        <f>'Resultater - Vestdanmark'!J372+'Resultater - Østdanmark'!J372</f>
        <v>13762.605485043063</v>
      </c>
    </row>
    <row r="373" spans="1:10" x14ac:dyDescent="0.25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80">
        <f>'Resultater - Vestdanmark'!H373+'Resultater - Østdanmark'!H373</f>
        <v>-76562.685774035956</v>
      </c>
      <c r="I373" s="281">
        <f>'Resultater - Vestdanmark'!I373+'Resultater - Østdanmark'!I373</f>
        <v>-44096.289420851703</v>
      </c>
      <c r="J373" s="282">
        <f>'Resultater - Vestdanmark'!J373+'Resultater - Østdanmark'!J373</f>
        <v>-42057.154649945267</v>
      </c>
    </row>
    <row r="374" spans="1:10" x14ac:dyDescent="0.25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80">
        <f>'Resultater - Vestdanmark'!H374+'Resultater - Østdanmark'!H374</f>
        <v>18184.718915711666</v>
      </c>
      <c r="I374" s="281">
        <f>'Resultater - Vestdanmark'!I374+'Resultater - Østdanmark'!I374</f>
        <v>10473.491365110818</v>
      </c>
      <c r="J374" s="282">
        <f>'Resultater - Vestdanmark'!J374+'Resultater - Østdanmark'!J374</f>
        <v>9989.1680649900845</v>
      </c>
    </row>
    <row r="375" spans="1:10" x14ac:dyDescent="0.25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80">
        <f>'Resultater - Vestdanmark'!H375+'Resultater - Østdanmark'!H375</f>
        <v>11013.783741156445</v>
      </c>
      <c r="I375" s="281">
        <f>'Resultater - Vestdanmark'!I375+'Resultater - Østdanmark'!I375</f>
        <v>13724.073100640773</v>
      </c>
      <c r="J375" s="282">
        <f>'Resultater - Vestdanmark'!J375+'Resultater - Østdanmark'!J375</f>
        <v>18582.092126348478</v>
      </c>
    </row>
    <row r="376" spans="1:10" x14ac:dyDescent="0.25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80">
        <f>'Resultater - Vestdanmark'!H376+'Resultater - Østdanmark'!H376</f>
        <v>-54187.816006489709</v>
      </c>
      <c r="I376" s="281">
        <f>'Resultater - Vestdanmark'!I376+'Resultater - Østdanmark'!I376</f>
        <v>-62987.350424582641</v>
      </c>
      <c r="J376" s="282">
        <f>'Resultater - Vestdanmark'!J376+'Resultater - Østdanmark'!J376</f>
        <v>-79499.037618812639</v>
      </c>
    </row>
    <row r="377" spans="1:10" x14ac:dyDescent="0.25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80">
        <f>'Resultater - Vestdanmark'!H377+'Resultater - Østdanmark'!H377</f>
        <v>1557.2614723727386</v>
      </c>
      <c r="I377" s="281">
        <f>'Resultater - Vestdanmark'!I377+'Resultater - Østdanmark'!I377</f>
        <v>1810.1444437490504</v>
      </c>
      <c r="J377" s="282">
        <f>'Resultater - Vestdanmark'!J377+'Resultater - Østdanmark'!J377</f>
        <v>2284.6609717516776</v>
      </c>
    </row>
    <row r="378" spans="1:10" x14ac:dyDescent="0.25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80">
        <f>'Resultater - Vestdanmark'!H378+'Resultater - Østdanmark'!H378</f>
        <v>1648.986887468722</v>
      </c>
      <c r="I378" s="281">
        <f>'Resultater - Vestdanmark'!I378+'Resultater - Østdanmark'!I378</f>
        <v>1136.711531919857</v>
      </c>
      <c r="J378" s="282">
        <f>'Resultater - Vestdanmark'!J378+'Resultater - Østdanmark'!J378</f>
        <v>1580.7296558794301</v>
      </c>
    </row>
    <row r="379" spans="1:10" x14ac:dyDescent="0.25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80">
        <f>'Resultater - Vestdanmark'!H379+'Resultater - Østdanmark'!H379</f>
        <v>-6760.8462386217598</v>
      </c>
      <c r="I379" s="281">
        <f>'Resultater - Vestdanmark'!I379+'Resultater - Østdanmark'!I379</f>
        <v>-4347.4974634994524</v>
      </c>
      <c r="J379" s="282">
        <f>'Resultater - Vestdanmark'!J379+'Resultater - Østdanmark'!J379</f>
        <v>-5635.644860091882</v>
      </c>
    </row>
    <row r="380" spans="1:10" x14ac:dyDescent="0.25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80">
        <f>'Resultater - Vestdanmark'!H380+'Resultater - Østdanmark'!H380</f>
        <v>1053.8315242945746</v>
      </c>
      <c r="I380" s="281">
        <f>'Resultater - Vestdanmark'!I380+'Resultater - Østdanmark'!I380</f>
        <v>677.65627513522588</v>
      </c>
      <c r="J380" s="282">
        <f>'Resultater - Vestdanmark'!J380+'Resultater - Østdanmark'!J380</f>
        <v>878.44331961973717</v>
      </c>
    </row>
    <row r="381" spans="1:10" x14ac:dyDescent="0.25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80">
        <f>'Resultater - Vestdanmark'!H381+'Resultater - Østdanmark'!H381</f>
        <v>1587.7963233089895</v>
      </c>
      <c r="I381" s="281">
        <f>'Resultater - Vestdanmark'!I381+'Resultater - Østdanmark'!I381</f>
        <v>1196.6090450628683</v>
      </c>
      <c r="J381" s="282">
        <f>'Resultater - Vestdanmark'!J381+'Resultater - Østdanmark'!J381</f>
        <v>1664.0241177370244</v>
      </c>
    </row>
    <row r="382" spans="1:10" x14ac:dyDescent="0.25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80">
        <f>'Resultater - Vestdanmark'!H382+'Resultater - Østdanmark'!H382</f>
        <v>-5579.9699362001647</v>
      </c>
      <c r="I382" s="281">
        <f>'Resultater - Vestdanmark'!I382+'Resultater - Østdanmark'!I382</f>
        <v>-3922.7855155312582</v>
      </c>
      <c r="J382" s="282">
        <f>'Resultater - Vestdanmark'!J382+'Resultater - Østdanmark'!J382</f>
        <v>-5085.0923349479272</v>
      </c>
    </row>
    <row r="383" spans="1:10" x14ac:dyDescent="0.25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80">
        <f>'Resultater - Vestdanmark'!H383+'Resultater - Østdanmark'!H383</f>
        <v>2325.1256973879313</v>
      </c>
      <c r="I383" s="281">
        <f>'Resultater - Vestdanmark'!I383+'Resultater - Østdanmark'!I383</f>
        <v>1634.5911379074687</v>
      </c>
      <c r="J383" s="282">
        <f>'Resultater - Vestdanmark'!J383+'Resultater - Østdanmark'!J383</f>
        <v>2118.9144380282</v>
      </c>
    </row>
    <row r="384" spans="1:10" x14ac:dyDescent="0.25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80">
        <f>'Resultater - Vestdanmark'!H384+'Resultater - Østdanmark'!H384</f>
        <v>2073397.5877193159</v>
      </c>
      <c r="I384" s="281">
        <f>'Resultater - Vestdanmark'!I384+'Resultater - Østdanmark'!I384</f>
        <v>2115889.3802333996</v>
      </c>
      <c r="J384" s="282">
        <f>'Resultater - Vestdanmark'!J384+'Resultater - Østdanmark'!J384</f>
        <v>2107842.2530178837</v>
      </c>
    </row>
    <row r="385" spans="1:10" x14ac:dyDescent="0.25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80">
        <f>'Resultater - Vestdanmark'!H385+'Resultater - Østdanmark'!H385</f>
        <v>-7517757.7509764899</v>
      </c>
      <c r="I385" s="281">
        <f>'Resultater - Vestdanmark'!I385+'Resultater - Østdanmark'!I385</f>
        <v>-7156553.3246343043</v>
      </c>
      <c r="J385" s="282">
        <f>'Resultater - Vestdanmark'!J385+'Resultater - Østdanmark'!J385</f>
        <v>-6645780.6634230334</v>
      </c>
    </row>
    <row r="386" spans="1:10" x14ac:dyDescent="0.25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80">
        <f>'Resultater - Vestdanmark'!H386+'Resultater - Østdanmark'!H386</f>
        <v>295552.28134429298</v>
      </c>
      <c r="I386" s="281">
        <f>'Resultater - Vestdanmark'!I386+'Resultater - Østdanmark'!I386</f>
        <v>281351.93121685996</v>
      </c>
      <c r="J386" s="282">
        <f>'Resultater - Vestdanmark'!J386+'Resultater - Østdanmark'!J386</f>
        <v>261271.4723526889</v>
      </c>
    </row>
    <row r="387" spans="1:10" x14ac:dyDescent="0.25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80">
        <f>'Resultater - Vestdanmark'!H387+'Resultater - Østdanmark'!H387</f>
        <v>362721.58612359717</v>
      </c>
      <c r="I387" s="281">
        <f>'Resultater - Vestdanmark'!I387+'Resultater - Østdanmark'!I387</f>
        <v>799165.48722017289</v>
      </c>
      <c r="J387" s="282">
        <f>'Resultater - Vestdanmark'!J387+'Resultater - Østdanmark'!J387</f>
        <v>817669.15710479999</v>
      </c>
    </row>
    <row r="388" spans="1:10" x14ac:dyDescent="0.25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80">
        <f>'Resultater - Vestdanmark'!H388+'Resultater - Østdanmark'!H388</f>
        <v>-1095968.0508931505</v>
      </c>
      <c r="I388" s="281">
        <f>'Resultater - Vestdanmark'!I388+'Resultater - Østdanmark'!I388</f>
        <v>-2252508.44</v>
      </c>
      <c r="J388" s="282">
        <f>'Resultater - Vestdanmark'!J388+'Resultater - Østdanmark'!J388</f>
        <v>-2148346.1999999997</v>
      </c>
    </row>
    <row r="389" spans="1:10" x14ac:dyDescent="0.25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80">
        <f>'Resultater - Vestdanmark'!H389+'Resultater - Østdanmark'!H389</f>
        <v>233697.52790303045</v>
      </c>
      <c r="I389" s="281">
        <f>'Resultater - Vestdanmark'!I389+'Resultater - Østdanmark'!I389</f>
        <v>480311.13094922929</v>
      </c>
      <c r="J389" s="282">
        <f>'Resultater - Vestdanmark'!J389+'Resultater - Østdanmark'!J389</f>
        <v>458100.21159897582</v>
      </c>
    </row>
    <row r="390" spans="1:10" x14ac:dyDescent="0.25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80">
        <f>'Resultater - Vestdanmark'!H390+'Resultater - Østdanmark'!H390</f>
        <v>457088.33107391914</v>
      </c>
      <c r="I390" s="281">
        <f>'Resultater - Vestdanmark'!I390+'Resultater - Østdanmark'!I390</f>
        <v>721761.95915080293</v>
      </c>
      <c r="J390" s="282">
        <f>'Resultater - Vestdanmark'!J390+'Resultater - Østdanmark'!J390</f>
        <v>738473.44787369971</v>
      </c>
    </row>
    <row r="391" spans="1:10" x14ac:dyDescent="0.25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80">
        <f>'Resultater - Vestdanmark'!H391+'Resultater - Østdanmark'!H391</f>
        <v>-1183798.6405105125</v>
      </c>
      <c r="I391" s="281">
        <f>'Resultater - Vestdanmark'!I391+'Resultater - Østdanmark'!I391</f>
        <v>-1743720.6299999992</v>
      </c>
      <c r="J391" s="282">
        <f>'Resultater - Vestdanmark'!J391+'Resultater - Østdanmark'!J391</f>
        <v>-1663086.1499999994</v>
      </c>
    </row>
    <row r="392" spans="1:10" x14ac:dyDescent="0.25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80">
        <f>'Resultater - Vestdanmark'!H392+'Resultater - Østdanmark'!H392</f>
        <v>674805.3408895086</v>
      </c>
      <c r="I392" s="281">
        <f>'Resultater - Vestdanmark'!I392+'Resultater - Østdanmark'!I392</f>
        <v>993979.84917078388</v>
      </c>
      <c r="J392" s="282">
        <f>'Resultater - Vestdanmark'!J392+'Resultater - Østdanmark'!J392</f>
        <v>948015.4630819615</v>
      </c>
    </row>
    <row r="393" spans="1:10" x14ac:dyDescent="0.25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80">
        <f>'Resultater - Vestdanmark'!H393+'Resultater - Østdanmark'!H393</f>
        <v>265107.75527814421</v>
      </c>
      <c r="I393" s="281">
        <f>'Resultater - Vestdanmark'!I393+'Resultater - Østdanmark'!I393</f>
        <v>330225.51020983694</v>
      </c>
      <c r="J393" s="282">
        <f>'Resultater - Vestdanmark'!J393+'Resultater - Østdanmark'!J393</f>
        <v>447118.05367046018</v>
      </c>
    </row>
    <row r="394" spans="1:10" x14ac:dyDescent="0.25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80">
        <f>'Resultater - Vestdanmark'!H394+'Resultater - Østdanmark'!H394</f>
        <v>-961231.89005853585</v>
      </c>
      <c r="I394" s="281">
        <f>'Resultater - Vestdanmark'!I394+'Resultater - Østdanmark'!I394</f>
        <v>-1116918.7269660474</v>
      </c>
      <c r="J394" s="282">
        <f>'Resultater - Vestdanmark'!J394+'Resultater - Østdanmark'!J394</f>
        <v>-1409711.0498170073</v>
      </c>
    </row>
    <row r="395" spans="1:10" x14ac:dyDescent="0.25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80">
        <f>'Resultater - Vestdanmark'!H395+'Resultater - Østdanmark'!H395</f>
        <v>37789.762242709345</v>
      </c>
      <c r="I395" s="281">
        <f>'Resultater - Vestdanmark'!I395+'Resultater - Østdanmark'!I395</f>
        <v>43910.41701072381</v>
      </c>
      <c r="J395" s="282">
        <f>'Resultater - Vestdanmark'!J395+'Resultater - Østdanmark'!J395</f>
        <v>55421.221408146135</v>
      </c>
    </row>
    <row r="396" spans="1:10" x14ac:dyDescent="0.25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80">
        <f>'Resultater - Vestdanmark'!H396+'Resultater - Østdanmark'!H396</f>
        <v>46378.13126518044</v>
      </c>
      <c r="I396" s="281">
        <f>'Resultater - Vestdanmark'!I396+'Resultater - Østdanmark'!I396</f>
        <v>124725.24945054723</v>
      </c>
      <c r="J396" s="282">
        <f>'Resultater - Vestdanmark'!J396+'Resultater - Østdanmark'!J396</f>
        <v>173444.97271919998</v>
      </c>
    </row>
    <row r="397" spans="1:10" x14ac:dyDescent="0.25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80">
        <f>'Resultater - Vestdanmark'!H397+'Resultater - Østdanmark'!H397</f>
        <v>-140132.13459384954</v>
      </c>
      <c r="I397" s="281">
        <f>'Resultater - Vestdanmark'!I397+'Resultater - Østdanmark'!I397</f>
        <v>-351547.56</v>
      </c>
      <c r="J397" s="282">
        <f>'Resultater - Vestdanmark'!J397+'Resultater - Østdanmark'!J397</f>
        <v>-455709.79999999993</v>
      </c>
    </row>
    <row r="398" spans="1:10" x14ac:dyDescent="0.25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80">
        <f>'Resultater - Vestdanmark'!H398+'Resultater - Østdanmark'!H398</f>
        <v>29880.919802059198</v>
      </c>
      <c r="I398" s="281">
        <f>'Resultater - Vestdanmark'!I398+'Resultater - Østdanmark'!I398</f>
        <v>74961.852807105141</v>
      </c>
      <c r="J398" s="282">
        <f>'Resultater - Vestdanmark'!J398+'Resultater - Østdanmark'!J398</f>
        <v>97172.7721573585</v>
      </c>
    </row>
    <row r="399" spans="1:10" x14ac:dyDescent="0.25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80">
        <f>'Resultater - Vestdanmark'!H399+'Resultater - Østdanmark'!H399</f>
        <v>58444.006172560563</v>
      </c>
      <c r="I399" s="281">
        <f>'Resultater - Vestdanmark'!I399+'Resultater - Østdanmark'!I399</f>
        <v>112644.93004087679</v>
      </c>
      <c r="J399" s="282">
        <f>'Resultater - Vestdanmark'!J399+'Resultater - Østdanmark'!J399</f>
        <v>156645.88288229995</v>
      </c>
    </row>
    <row r="400" spans="1:10" x14ac:dyDescent="0.25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80">
        <f>'Resultater - Vestdanmark'!H400+'Resultater - Østdanmark'!H400</f>
        <v>-151362.28678276329</v>
      </c>
      <c r="I400" s="281">
        <f>'Resultater - Vestdanmark'!I400+'Resultater - Østdanmark'!I400</f>
        <v>-272141.36999999994</v>
      </c>
      <c r="J400" s="282">
        <f>'Resultater - Vestdanmark'!J400+'Resultater - Østdanmark'!J400</f>
        <v>-352775.84999999986</v>
      </c>
    </row>
    <row r="401" spans="1:10" x14ac:dyDescent="0.25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80">
        <f>'Resultater - Vestdanmark'!H401+'Resultater - Østdanmark'!H401</f>
        <v>86281.632732920101</v>
      </c>
      <c r="I401" s="281">
        <f>'Resultater - Vestdanmark'!I401+'Resultater - Østdanmark'!I401</f>
        <v>155129.80304977554</v>
      </c>
      <c r="J401" s="282">
        <f>'Resultater - Vestdanmark'!J401+'Resultater - Østdanmark'!J401</f>
        <v>201094.1891385979</v>
      </c>
    </row>
    <row r="402" spans="1:10" x14ac:dyDescent="0.25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80">
        <f>'Resultater - Vestdanmark'!H402+'Resultater - Østdanmark'!H402</f>
        <v>827693.20492220437</v>
      </c>
      <c r="I402" s="281">
        <f>'Resultater - Vestdanmark'!I402+'Resultater - Østdanmark'!I402</f>
        <v>792440.79236345144</v>
      </c>
      <c r="J402" s="282">
        <f>'Resultater - Vestdanmark'!J402+'Resultater - Østdanmark'!J402</f>
        <v>871392.37125140009</v>
      </c>
    </row>
    <row r="403" spans="1:10" x14ac:dyDescent="0.25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80">
        <f>'Resultater - Vestdanmark'!H403+'Resultater - Østdanmark'!H403</f>
        <v>896667.6386657214</v>
      </c>
      <c r="I403" s="281">
        <f>'Resultater - Vestdanmark'!I403+'Resultater - Østdanmark'!I403</f>
        <v>858477.52506040584</v>
      </c>
      <c r="J403" s="282">
        <f>'Resultater - Vestdanmark'!J403+'Resultater - Østdanmark'!J403</f>
        <v>944008.40218901669</v>
      </c>
    </row>
    <row r="404" spans="1:10" x14ac:dyDescent="0.25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80">
        <f>'Resultater - Vestdanmark'!H404+'Resultater - Østdanmark'!H404</f>
        <v>3383628.2</v>
      </c>
      <c r="I404" s="281">
        <f>'Resultater - Vestdanmark'!I404+'Resultater - Østdanmark'!I404</f>
        <v>2679978.7351939101</v>
      </c>
      <c r="J404" s="282">
        <f>'Resultater - Vestdanmark'!J404+'Resultater - Østdanmark'!J404</f>
        <v>2630197.4122624523</v>
      </c>
    </row>
    <row r="405" spans="1:10" x14ac:dyDescent="0.25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80">
        <f>'Resultater - Vestdanmark'!H405+'Resultater - Østdanmark'!H405</f>
        <v>131725</v>
      </c>
      <c r="I405" s="281">
        <f>'Resultater - Vestdanmark'!I405+'Resultater - Østdanmark'!I405</f>
        <v>104331.85268210551</v>
      </c>
      <c r="J405" s="282">
        <f>'Resultater - Vestdanmark'!J405+'Resultater - Østdanmark'!J405</f>
        <v>102393.86056963103</v>
      </c>
    </row>
    <row r="406" spans="1:10" s="171" customFormat="1" x14ac:dyDescent="0.25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80">
        <f>'Resultater - Vestdanmark'!H406+'Resultater - Østdanmark'!H406</f>
        <v>17308.665000000001</v>
      </c>
      <c r="I406" s="281">
        <f>'Resultater - Vestdanmark'!I406+'Resultater - Østdanmark'!I406</f>
        <v>13709.205442428665</v>
      </c>
      <c r="J406" s="282">
        <f>'Resultater - Vestdanmark'!J406+'Resultater - Østdanmark'!J406</f>
        <v>13454.553278849517</v>
      </c>
    </row>
    <row r="407" spans="1:10" x14ac:dyDescent="0.25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80">
        <f>'Resultater - Vestdanmark'!H407+'Resultater - Østdanmark'!H407</f>
        <v>1753646.8000000003</v>
      </c>
      <c r="I407" s="281">
        <f>'Resultater - Vestdanmark'!I407+'Resultater - Østdanmark'!I407</f>
        <v>1388963.5194082048</v>
      </c>
      <c r="J407" s="282">
        <f>'Resultater - Vestdanmark'!J407+'Resultater - Østdanmark'!J407</f>
        <v>1363163.1499531572</v>
      </c>
    </row>
    <row r="408" spans="1:10" x14ac:dyDescent="0.25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80">
        <f>'Resultater - Vestdanmark'!H408+'Resultater - Østdanmark'!H408</f>
        <v>1601127.6966659406</v>
      </c>
      <c r="I408" s="281">
        <f>'Resultater - Vestdanmark'!I408+'Resultater - Østdanmark'!I408</f>
        <v>1262146.510248078</v>
      </c>
      <c r="J408" s="282">
        <f>'Resultater - Vestdanmark'!J408+'Resultater - Østdanmark'!J408</f>
        <v>1227467.8963796864</v>
      </c>
    </row>
    <row r="409" spans="1:10" x14ac:dyDescent="0.25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80">
        <f>'Resultater - Vestdanmark'!H409+'Resultater - Østdanmark'!H409</f>
        <v>22728.326432774025</v>
      </c>
      <c r="I409" s="281">
        <f>'Resultater - Vestdanmark'!I409+'Resultater - Østdanmark'!I409</f>
        <v>24180.745341776219</v>
      </c>
      <c r="J409" s="282">
        <f>'Resultater - Vestdanmark'!J409+'Resultater - Østdanmark'!J409</f>
        <v>23516.35755165149</v>
      </c>
    </row>
    <row r="410" spans="1:10" x14ac:dyDescent="0.25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80">
        <f>'Resultater - Vestdanmark'!H410+'Resultater - Østdanmark'!H410</f>
        <v>142794.72651993899</v>
      </c>
      <c r="I410" s="281">
        <f>'Resultater - Vestdanmark'!I410+'Resultater - Østdanmark'!I410</f>
        <v>112563.08046776136</v>
      </c>
      <c r="J410" s="282">
        <f>'Resultater - Vestdanmark'!J410+'Resultater - Østdanmark'!J410</f>
        <v>109470.30829616069</v>
      </c>
    </row>
    <row r="411" spans="1:10" x14ac:dyDescent="0.25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80">
        <f>'Resultater - Vestdanmark'!H411+'Resultater - Østdanmark'!H411</f>
        <v>140895.61996077577</v>
      </c>
      <c r="I411" s="281">
        <f>'Resultater - Vestdanmark'!I411+'Resultater - Østdanmark'!I411</f>
        <v>111066.04139884243</v>
      </c>
      <c r="J411" s="282">
        <f>'Resultater - Vestdanmark'!J411+'Resultater - Østdanmark'!J411</f>
        <v>108014.40172604074</v>
      </c>
    </row>
    <row r="412" spans="1:10" x14ac:dyDescent="0.25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80">
        <f>'Resultater - Vestdanmark'!H412+'Resultater - Østdanmark'!H412</f>
        <v>115671.91919191919</v>
      </c>
      <c r="I412" s="281">
        <f>'Resultater - Vestdanmark'!I412+'Resultater - Østdanmark'!I412</f>
        <v>90971.147089593054</v>
      </c>
      <c r="J412" s="282">
        <f>'Resultater - Vestdanmark'!J412+'Resultater - Østdanmark'!J412</f>
        <v>88074.943427410559</v>
      </c>
    </row>
    <row r="413" spans="1:10" x14ac:dyDescent="0.25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80">
        <f>'Resultater - Vestdanmark'!H413+'Resultater - Østdanmark'!H413</f>
        <v>50006.545454545456</v>
      </c>
      <c r="I413" s="281">
        <f>'Resultater - Vestdanmark'!I413+'Resultater - Østdanmark'!I413</f>
        <v>44121.743543858545</v>
      </c>
      <c r="J413" s="282">
        <f>'Resultater - Vestdanmark'!J413+'Resultater - Østdanmark'!J413</f>
        <v>42717.06129765416</v>
      </c>
    </row>
    <row r="414" spans="1:10" x14ac:dyDescent="0.25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80">
        <f>'Resultater - Vestdanmark'!H414+'Resultater - Østdanmark'!H414</f>
        <v>7405.2525252525256</v>
      </c>
      <c r="I414" s="281">
        <f>'Resultater - Vestdanmark'!I414+'Resultater - Østdanmark'!I414</f>
        <v>5823.9227067081456</v>
      </c>
      <c r="J414" s="282">
        <f>'Resultater - Vestdanmark'!J414+'Resultater - Østdanmark'!J414</f>
        <v>5638.5093442183434</v>
      </c>
    </row>
    <row r="415" spans="1:10" x14ac:dyDescent="0.25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80">
        <f>'Resultater - Vestdanmark'!H415+'Resultater - Østdanmark'!H415</f>
        <v>76114.747474747448</v>
      </c>
      <c r="I415" s="281">
        <f>'Resultater - Vestdanmark'!I415+'Resultater - Østdanmark'!I415</f>
        <v>59861.078960088766</v>
      </c>
      <c r="J415" s="282">
        <f>'Resultater - Vestdanmark'!J415+'Resultater - Østdanmark'!J415</f>
        <v>57955.311234244218</v>
      </c>
    </row>
    <row r="416" spans="1:10" x14ac:dyDescent="0.25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80">
        <f>'Resultater - Vestdanmark'!H416+'Resultater - Østdanmark'!H416</f>
        <v>201545.30567673693</v>
      </c>
      <c r="I416" s="281">
        <f>'Resultater - Vestdanmark'!I416+'Resultater - Østdanmark'!I416</f>
        <v>157498.34817848625</v>
      </c>
      <c r="J416" s="282">
        <f>'Resultater - Vestdanmark'!J416+'Resultater - Østdanmark'!J416</f>
        <v>150587.0929141927</v>
      </c>
    </row>
    <row r="417" spans="1:10" ht="15.75" thickBot="1" x14ac:dyDescent="0.3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3">
        <f>'Resultater - Vestdanmark'!H417+'Resultater - Østdanmark'!H417</f>
        <v>550.81037157810442</v>
      </c>
      <c r="I417" s="284">
        <f>'Resultater - Vestdanmark'!I417+'Resultater - Østdanmark'!I417</f>
        <v>580.93006043583182</v>
      </c>
      <c r="J417" s="285">
        <f>'Resultater - Vestdanmark'!J417+'Resultater - Østdanmark'!J417</f>
        <v>555.43800934572437</v>
      </c>
    </row>
    <row r="418" spans="1:10" x14ac:dyDescent="0.25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7">
        <f>'Resultater - Vestdanmark'!H418+'Resultater - Østdanmark'!H418</f>
        <v>5940049093.1121235</v>
      </c>
      <c r="I418" s="278">
        <f>'Resultater - Vestdanmark'!I418+'Resultater - Østdanmark'!I418</f>
        <v>4752039274.4896984</v>
      </c>
      <c r="J418" s="279">
        <f>'Resultater - Vestdanmark'!J418+'Resultater - Østdanmark'!J418</f>
        <v>4752039274.4896984</v>
      </c>
    </row>
    <row r="419" spans="1:10" x14ac:dyDescent="0.25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80">
        <f>'Resultater - Vestdanmark'!H419+'Resultater - Østdanmark'!H419</f>
        <v>164945487.85478973</v>
      </c>
      <c r="I419" s="281">
        <f>'Resultater - Vestdanmark'!I419+'Resultater - Østdanmark'!I419</f>
        <v>131956390.2838318</v>
      </c>
      <c r="J419" s="282">
        <f>'Resultater - Vestdanmark'!J419+'Resultater - Østdanmark'!J419</f>
        <v>131956390.2838318</v>
      </c>
    </row>
    <row r="420" spans="1:10" x14ac:dyDescent="0.25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80">
        <f>'Resultater - Vestdanmark'!H420+'Resultater - Østdanmark'!H420</f>
        <v>0</v>
      </c>
      <c r="I420" s="281">
        <f>'Resultater - Vestdanmark'!I420+'Resultater - Østdanmark'!I420</f>
        <v>0</v>
      </c>
      <c r="J420" s="282">
        <f>'Resultater - Vestdanmark'!J420+'Resultater - Østdanmark'!J420</f>
        <v>0</v>
      </c>
    </row>
    <row r="421" spans="1:10" x14ac:dyDescent="0.25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80">
        <f>'Resultater - Vestdanmark'!H421+'Resultater - Østdanmark'!H421</f>
        <v>78449683.248009756</v>
      </c>
      <c r="I421" s="281">
        <f>'Resultater - Vestdanmark'!I421+'Resultater - Østdanmark'!I421</f>
        <v>62759746.598407798</v>
      </c>
      <c r="J421" s="282">
        <f>'Resultater - Vestdanmark'!J421+'Resultater - Østdanmark'!J421</f>
        <v>62759746.598407805</v>
      </c>
    </row>
    <row r="422" spans="1:10" x14ac:dyDescent="0.25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80">
        <f>'Resultater - Vestdanmark'!H422+'Resultater - Østdanmark'!H422</f>
        <v>143824419.28801787</v>
      </c>
      <c r="I422" s="281">
        <f>'Resultater - Vestdanmark'!I422+'Resultater - Østdanmark'!I422</f>
        <v>115059535.4304143</v>
      </c>
      <c r="J422" s="282">
        <f>'Resultater - Vestdanmark'!J422+'Resultater - Østdanmark'!J422</f>
        <v>115059535.4304143</v>
      </c>
    </row>
    <row r="423" spans="1:10" x14ac:dyDescent="0.25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80">
        <f>'Resultater - Vestdanmark'!H423+'Resultater - Østdanmark'!H423</f>
        <v>1682645129.1528244</v>
      </c>
      <c r="I423" s="281">
        <f>'Resultater - Vestdanmark'!I423+'Resultater - Østdanmark'!I423</f>
        <v>1346116103.3222597</v>
      </c>
      <c r="J423" s="282">
        <f>'Resultater - Vestdanmark'!J423+'Resultater - Østdanmark'!J423</f>
        <v>1346116103.3222597</v>
      </c>
    </row>
    <row r="424" spans="1:10" x14ac:dyDescent="0.25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80">
        <f>'Resultater - Vestdanmark'!H424+'Resultater - Østdanmark'!H424</f>
        <v>242389405.93295321</v>
      </c>
      <c r="I424" s="281">
        <f>'Resultater - Vestdanmark'!I424+'Resultater - Østdanmark'!I424</f>
        <v>193911524.74636257</v>
      </c>
      <c r="J424" s="282">
        <f>'Resultater - Vestdanmark'!J424+'Resultater - Østdanmark'!J424</f>
        <v>193911524.74636257</v>
      </c>
    </row>
    <row r="425" spans="1:10" x14ac:dyDescent="0.25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80">
        <f>'Resultater - Vestdanmark'!H425+'Resultater - Østdanmark'!H425</f>
        <v>0</v>
      </c>
      <c r="I425" s="281">
        <f>'Resultater - Vestdanmark'!I425+'Resultater - Østdanmark'!I425</f>
        <v>0</v>
      </c>
      <c r="J425" s="282">
        <f>'Resultater - Vestdanmark'!J425+'Resultater - Østdanmark'!J425</f>
        <v>0</v>
      </c>
    </row>
    <row r="426" spans="1:10" x14ac:dyDescent="0.25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80">
        <f>'Resultater - Vestdanmark'!H426+'Resultater - Østdanmark'!H426</f>
        <v>0</v>
      </c>
      <c r="I426" s="281">
        <f>'Resultater - Vestdanmark'!I426+'Resultater - Østdanmark'!I426</f>
        <v>0</v>
      </c>
      <c r="J426" s="282">
        <f>'Resultater - Vestdanmark'!J426+'Resultater - Østdanmark'!J426</f>
        <v>0</v>
      </c>
    </row>
    <row r="427" spans="1:10" x14ac:dyDescent="0.25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80">
        <f>'Resultater - Vestdanmark'!H427+'Resultater - Østdanmark'!H427</f>
        <v>2285098465.8907456</v>
      </c>
      <c r="I427" s="281">
        <f>'Resultater - Vestdanmark'!I427+'Resultater - Østdanmark'!I427</f>
        <v>1828078772.7125964</v>
      </c>
      <c r="J427" s="282">
        <f>'Resultater - Vestdanmark'!J427+'Resultater - Østdanmark'!J427</f>
        <v>1828078772.7125964</v>
      </c>
    </row>
    <row r="428" spans="1:10" x14ac:dyDescent="0.25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80">
        <f>'Resultater - Vestdanmark'!H428+'Resultater - Østdanmark'!H428</f>
        <v>163939722.68494347</v>
      </c>
      <c r="I428" s="281">
        <f>'Resultater - Vestdanmark'!I428+'Resultater - Østdanmark'!I428</f>
        <v>131151778.14795476</v>
      </c>
      <c r="J428" s="282">
        <f>'Resultater - Vestdanmark'!J428+'Resultater - Østdanmark'!J428</f>
        <v>131151778.14795476</v>
      </c>
    </row>
    <row r="429" spans="1:10" x14ac:dyDescent="0.25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80">
        <f>'Resultater - Vestdanmark'!H429+'Resultater - Østdanmark'!H429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'Resultater - Vestdanmark'!J429+'Resultater - Østdanmark'!J429</f>
        <v>0</v>
      </c>
    </row>
    <row r="430" spans="1:10" x14ac:dyDescent="0.25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80">
        <f>'Resultater - Vestdanmark'!H430+'Resultater - Østdanmark'!H430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'Resultater - Vestdanmark'!J430+'Resultater - Østdanmark'!J430</f>
        <v>0</v>
      </c>
    </row>
    <row r="431" spans="1:10" x14ac:dyDescent="0.25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80">
        <f>'Resultater - Vestdanmark'!H431+'Resultater - Østdanmark'!H431</f>
        <v>121697585.55139975</v>
      </c>
      <c r="I431" s="281">
        <f>'Resultater - Vestdanmark'!I431+'Resultater - Østdanmark'!I431</f>
        <v>97358068.441119805</v>
      </c>
      <c r="J431" s="282">
        <f>'Resultater - Vestdanmark'!J431+'Resultater - Østdanmark'!J431</f>
        <v>97358068.441119805</v>
      </c>
    </row>
    <row r="432" spans="1:10" x14ac:dyDescent="0.25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80">
        <f>'Resultater - Vestdanmark'!H432+'Resultater - Østdanmark'!H432</f>
        <v>4029095270.4041944</v>
      </c>
      <c r="I432" s="281">
        <f>'Resultater - Vestdanmark'!I432+'Resultater - Østdanmark'!I432</f>
        <v>3223276216.3233547</v>
      </c>
      <c r="J432" s="282">
        <f>'Resultater - Vestdanmark'!J432+'Resultater - Østdanmark'!J432</f>
        <v>3223276216.3233547</v>
      </c>
    </row>
    <row r="433" spans="1:10" x14ac:dyDescent="0.25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80">
        <f>'Resultater - Vestdanmark'!H433+'Resultater - Østdanmark'!H433</f>
        <v>12195000.399999999</v>
      </c>
      <c r="I433" s="281">
        <f>'Resultater - Vestdanmark'!I433+'Resultater - Østdanmark'!I433</f>
        <v>12195000.4</v>
      </c>
      <c r="J433" s="282">
        <f>'Resultater - Vestdanmark'!J433+'Resultater - Østdanmark'!J433</f>
        <v>12195000.400000002</v>
      </c>
    </row>
    <row r="434" spans="1:10" x14ac:dyDescent="0.25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80">
        <f>'Resultater - Vestdanmark'!H434+'Resultater - Østdanmark'!H434</f>
        <v>361184.39999999997</v>
      </c>
      <c r="I434" s="281">
        <f>'Resultater - Vestdanmark'!I434+'Resultater - Østdanmark'!I434</f>
        <v>361184.39999999991</v>
      </c>
      <c r="J434" s="282">
        <f>'Resultater - Vestdanmark'!J434+'Resultater - Østdanmark'!J434</f>
        <v>361184.4</v>
      </c>
    </row>
    <row r="435" spans="1:10" x14ac:dyDescent="0.25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80">
        <f>'Resultater - Vestdanmark'!H435+'Resultater - Østdanmark'!H435</f>
        <v>4390946.2499999991</v>
      </c>
      <c r="I435" s="281">
        <f>'Resultater - Vestdanmark'!I435+'Resultater - Østdanmark'!I435</f>
        <v>4390946.25</v>
      </c>
      <c r="J435" s="282">
        <f>'Resultater - Vestdanmark'!J435+'Resultater - Østdanmark'!J435</f>
        <v>4390946.2500000009</v>
      </c>
    </row>
    <row r="436" spans="1:10" x14ac:dyDescent="0.25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80">
        <f>'Resultater - Vestdanmark'!H436+'Resultater - Østdanmark'!H436</f>
        <v>34978432</v>
      </c>
      <c r="I436" s="281">
        <f>'Resultater - Vestdanmark'!I436+'Resultater - Østdanmark'!I436</f>
        <v>149118909.24030262</v>
      </c>
      <c r="J436" s="282">
        <f>'Resultater - Vestdanmark'!J436+'Resultater - Østdanmark'!J436</f>
        <v>142762946.76763344</v>
      </c>
    </row>
    <row r="437" spans="1:10" s="171" customFormat="1" x14ac:dyDescent="0.25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6">
        <f>'Resultater - Vestdanmark'!H437+'Resultater - Østdanmark'!H437</f>
        <v>-37099.291058504961</v>
      </c>
      <c r="I437" s="287">
        <f>'Resultater - Vestdanmark'!I437+'Resultater - Østdanmark'!I437</f>
        <v>-158160.48633148483</v>
      </c>
      <c r="J437" s="288">
        <f>'Resultater - Vestdanmark'!J437+'Resultater - Østdanmark'!J437</f>
        <v>-151419.14064364813</v>
      </c>
    </row>
    <row r="438" spans="1:10" x14ac:dyDescent="0.25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80">
        <f>'Resultater - Vestdanmark'!H438+'Resultater - Østdanmark'!H438</f>
        <v>61384486.300000004</v>
      </c>
      <c r="I438" s="281">
        <f>'Resultater - Vestdanmark'!I438+'Resultater - Østdanmark'!I438</f>
        <v>141176614.29438826</v>
      </c>
      <c r="J438" s="282">
        <f>'Resultater - Vestdanmark'!J438+'Resultater - Østdanmark'!J438</f>
        <v>138478994.65503407</v>
      </c>
    </row>
    <row r="439" spans="1:10" s="171" customFormat="1" x14ac:dyDescent="0.25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6">
        <f>'Resultater - Vestdanmark'!H439+'Resultater - Østdanmark'!H439</f>
        <v>-128107.91983655478</v>
      </c>
      <c r="I439" s="287">
        <f>'Resultater - Vestdanmark'!I439+'Resultater - Østdanmark'!I439</f>
        <v>-294632.13715648063</v>
      </c>
      <c r="J439" s="288">
        <f>'Resultater - Vestdanmark'!J439+'Resultater - Østdanmark'!J439</f>
        <v>-289002.27102354687</v>
      </c>
    </row>
    <row r="440" spans="1:10" x14ac:dyDescent="0.25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80">
        <f>'Resultater - Vestdanmark'!H440+'Resultater - Østdanmark'!H440</f>
        <v>58183.649999999994</v>
      </c>
      <c r="I440" s="281">
        <f>'Resultater - Vestdanmark'!I440+'Resultater - Østdanmark'!I440</f>
        <v>85292.897468506708</v>
      </c>
      <c r="J440" s="282">
        <f>'Resultater - Vestdanmark'!J440+'Resultater - Østdanmark'!J440</f>
        <v>88081.959290434388</v>
      </c>
    </row>
    <row r="441" spans="1:10" x14ac:dyDescent="0.25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80">
        <f>'Resultater - Vestdanmark'!H441+'Resultater - Østdanmark'!H441</f>
        <v>45425220.000000007</v>
      </c>
      <c r="I441" s="281">
        <f>'Resultater - Vestdanmark'!I441+'Resultater - Østdanmark'!I441</f>
        <v>72263542.273224667</v>
      </c>
      <c r="J441" s="282">
        <f>'Resultater - Vestdanmark'!J441+'Resultater - Østdanmark'!J441</f>
        <v>75720860.032909796</v>
      </c>
    </row>
    <row r="442" spans="1:10" x14ac:dyDescent="0.25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80">
        <f>'Resultater - Vestdanmark'!H442+'Resultater - Østdanmark'!H442</f>
        <v>33002599.999999996</v>
      </c>
      <c r="I442" s="281">
        <f>'Resultater - Vestdanmark'!I442+'Resultater - Østdanmark'!I442</f>
        <v>33002600</v>
      </c>
      <c r="J442" s="282">
        <f>'Resultater - Vestdanmark'!J442+'Resultater - Østdanmark'!J442</f>
        <v>33002600</v>
      </c>
    </row>
    <row r="443" spans="1:10" x14ac:dyDescent="0.25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80">
        <f>'Resultater - Vestdanmark'!H443+'Resultater - Østdanmark'!H443</f>
        <v>2165562</v>
      </c>
      <c r="I443" s="281">
        <f>'Resultater - Vestdanmark'!I443+'Resultater - Østdanmark'!I443</f>
        <v>2165562</v>
      </c>
      <c r="J443" s="282">
        <f>'Resultater - Vestdanmark'!J443+'Resultater - Østdanmark'!J443</f>
        <v>2165561.9999999995</v>
      </c>
    </row>
    <row r="444" spans="1:10" x14ac:dyDescent="0.25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80" t="e">
        <f>'Resultater - Vestdanmark'!H444+'Resultater - Østdanmark'!H444</f>
        <v>#REF!</v>
      </c>
      <c r="I444" s="281" t="e">
        <f>'Resultater - Vestdanmark'!I444+'Resultater - Østdanmark'!I444</f>
        <v>#REF!</v>
      </c>
      <c r="J444" s="282" t="e">
        <f>'Resultater - Vestdanmark'!J444+'Resultater - Østdanmark'!J444</f>
        <v>#REF!</v>
      </c>
    </row>
    <row r="445" spans="1:10" x14ac:dyDescent="0.25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80">
        <f>'Resultater - Vestdanmark'!H445+'Resultater - Østdanmark'!H445</f>
        <v>102149122.13</v>
      </c>
      <c r="I445" s="281">
        <f>'Resultater - Vestdanmark'!I445+'Resultater - Østdanmark'!I445</f>
        <v>74480686.960000008</v>
      </c>
      <c r="J445" s="282">
        <f>'Resultater - Vestdanmark'!J445+'Resultater - Østdanmark'!J445</f>
        <v>74179468.040000021</v>
      </c>
    </row>
    <row r="446" spans="1:10" x14ac:dyDescent="0.25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80">
        <f>'Resultater - Vestdanmark'!H446+'Resultater - Østdanmark'!H446</f>
        <v>0</v>
      </c>
      <c r="I446" s="281">
        <f>'Resultater - Vestdanmark'!I446+'Resultater - Østdanmark'!I446</f>
        <v>0</v>
      </c>
      <c r="J446" s="282">
        <f>'Resultater - Vestdanmark'!J446+'Resultater - Østdanmark'!J446</f>
        <v>0</v>
      </c>
    </row>
    <row r="447" spans="1:10" x14ac:dyDescent="0.25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80">
        <f>'Resultater - Vestdanmark'!H447+'Resultater - Østdanmark'!H447</f>
        <v>0</v>
      </c>
      <c r="I447" s="281">
        <f>'Resultater - Vestdanmark'!I447+'Resultater - Østdanmark'!I447</f>
        <v>0</v>
      </c>
      <c r="J447" s="282">
        <f>'Resultater - Vestdanmark'!J447+'Resultater - Østdanmark'!J447</f>
        <v>0</v>
      </c>
    </row>
    <row r="448" spans="1:10" x14ac:dyDescent="0.25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80">
        <f>'Resultater - Vestdanmark'!H448+'Resultater - Østdanmark'!H448</f>
        <v>3689.3999999999996</v>
      </c>
      <c r="I448" s="281">
        <f>'Resultater - Vestdanmark'!I448+'Resultater - Østdanmark'!I448</f>
        <v>3689.3999999999996</v>
      </c>
      <c r="J448" s="282">
        <f>'Resultater - Vestdanmark'!J448+'Resultater - Østdanmark'!J448</f>
        <v>3689.3999999999996</v>
      </c>
    </row>
    <row r="449" spans="1:13" x14ac:dyDescent="0.25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80">
        <f>'Resultater - Vestdanmark'!H449+'Resultater - Østdanmark'!H449</f>
        <v>0</v>
      </c>
      <c r="I449" s="281">
        <f>'Resultater - Vestdanmark'!I449+'Resultater - Østdanmark'!I449</f>
        <v>0</v>
      </c>
      <c r="J449" s="282">
        <f>'Resultater - Vestdanmark'!J449+'Resultater - Østdanmark'!J449</f>
        <v>0</v>
      </c>
    </row>
    <row r="450" spans="1:13" x14ac:dyDescent="0.25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80">
        <f>'Resultater - Vestdanmark'!H450+'Resultater - Østdanmark'!H450</f>
        <v>60431253.120000005</v>
      </c>
      <c r="I450" s="281">
        <f>'Resultater - Vestdanmark'!I450+'Resultater - Østdanmark'!I450</f>
        <v>60431253.120000005</v>
      </c>
      <c r="J450" s="282">
        <f>'Resultater - Vestdanmark'!J450+'Resultater - Østdanmark'!J450</f>
        <v>60431253.120000005</v>
      </c>
    </row>
    <row r="451" spans="1:13" x14ac:dyDescent="0.25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80">
        <f>'Resultater - Vestdanmark'!H451+'Resultater - Østdanmark'!H451</f>
        <v>37096792.599999994</v>
      </c>
      <c r="I451" s="281">
        <f>'Resultater - Vestdanmark'!I451+'Resultater - Østdanmark'!I451</f>
        <v>38439586.355437025</v>
      </c>
      <c r="J451" s="282">
        <f>'Resultater - Vestdanmark'!J451+'Resultater - Østdanmark'!J451</f>
        <v>40045479.800409868</v>
      </c>
      <c r="L451" s="98"/>
    </row>
    <row r="452" spans="1:13" x14ac:dyDescent="0.25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6" t="e">
        <f>'Resultater - Vestdanmark'!H452+'Resultater - Østdanmark'!H452</f>
        <v>#REF!</v>
      </c>
      <c r="I452" s="287" t="e">
        <f>'Resultater - Vestdanmark'!I452+'Resultater - Østdanmark'!I452</f>
        <v>#REF!</v>
      </c>
      <c r="J452" s="288" t="e">
        <f>'Resultater - Vestdanmark'!J452+'Resultater - Østdanmark'!J452</f>
        <v>#REF!</v>
      </c>
    </row>
    <row r="453" spans="1:13" x14ac:dyDescent="0.25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6">
        <f>'Resultater - Vestdanmark'!H453+'Resultater - Østdanmark'!H453</f>
        <v>78133292.533333316</v>
      </c>
      <c r="I453" s="287">
        <f>'Resultater - Vestdanmark'!I453+'Resultater - Østdanmark'!I453</f>
        <v>7317872.3979037385</v>
      </c>
      <c r="J453" s="288">
        <f>'Resultater - Vestdanmark'!J453+'Resultater - Østdanmark'!J453</f>
        <v>7005959.4247079352</v>
      </c>
    </row>
    <row r="454" spans="1:13" x14ac:dyDescent="0.25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6">
        <f>'Resultater - Vestdanmark'!H454+'Resultater - Østdanmark'!H454</f>
        <v>51391398.766666658</v>
      </c>
      <c r="I454" s="287">
        <f>'Resultater - Vestdanmark'!I454+'Resultater - Østdanmark'!I454</f>
        <v>5896265.2148168441</v>
      </c>
      <c r="J454" s="288">
        <f>'Resultater - Vestdanmark'!J454+'Resultater - Østdanmark'!J454</f>
        <v>5783598.6735357</v>
      </c>
    </row>
    <row r="455" spans="1:13" x14ac:dyDescent="0.25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6">
        <f>'Resultater - Vestdanmark'!H455+'Resultater - Østdanmark'!H455</f>
        <v>23539.95</v>
      </c>
      <c r="I455" s="287">
        <f>'Resultater - Vestdanmark'!I455+'Resultater - Østdanmark'!I455</f>
        <v>3834.2014977360932</v>
      </c>
      <c r="J455" s="288">
        <f>'Resultater - Vestdanmark'!J455+'Resultater - Østdanmark'!J455</f>
        <v>3959.5791708168126</v>
      </c>
    </row>
    <row r="456" spans="1:13" x14ac:dyDescent="0.25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6">
        <f>'Resultater - Vestdanmark'!H456+'Resultater - Østdanmark'!H456</f>
        <v>11532709.900000002</v>
      </c>
      <c r="I456" s="287">
        <f>'Resultater - Vestdanmark'!I456+'Resultater - Østdanmark'!I456</f>
        <v>6383279.5674681785</v>
      </c>
      <c r="J456" s="288">
        <f>'Resultater - Vestdanmark'!J456+'Resultater - Østdanmark'!J456</f>
        <v>6688675.969573698</v>
      </c>
    </row>
    <row r="457" spans="1:13" x14ac:dyDescent="0.25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6" t="e">
        <f>'Resultater - Vestdanmark'!H457+'Resultater - Østdanmark'!H457</f>
        <v>#REF!</v>
      </c>
      <c r="I457" s="287" t="e">
        <f>'Resultater - Vestdanmark'!I457+'Resultater - Østdanmark'!I457</f>
        <v>#REF!</v>
      </c>
      <c r="J457" s="288" t="e">
        <f>'Resultater - Vestdanmark'!J457+'Resultater - Østdanmark'!J457</f>
        <v>#REF!</v>
      </c>
    </row>
    <row r="458" spans="1:13" x14ac:dyDescent="0.25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6" t="e">
        <f>'Resultater - Vestdanmark'!H458+'Resultater - Østdanmark'!H458</f>
        <v>#REF!</v>
      </c>
      <c r="I458" s="287" t="e">
        <f>'Resultater - Vestdanmark'!I458+'Resultater - Østdanmark'!I458</f>
        <v>#REF!</v>
      </c>
      <c r="J458" s="288" t="e">
        <f>'Resultater - Vestdanmark'!J458+'Resultater - Østdanmark'!J458</f>
        <v>#REF!</v>
      </c>
    </row>
    <row r="459" spans="1:13" x14ac:dyDescent="0.25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90">
        <f>'Resultater - Vestdanmark'!H459+'Resultater - Østdanmark'!H459</f>
        <v>19.573590488557194</v>
      </c>
      <c r="I459" s="291">
        <f>'Resultater - Vestdanmark'!I459+'Resultater - Østdanmark'!I459</f>
        <v>25.012939850295552</v>
      </c>
      <c r="J459" s="292">
        <f>'Resultater - Vestdanmark'!J459+'Resultater - Østdanmark'!J459</f>
        <v>23.45383727390367</v>
      </c>
      <c r="L459" s="170" t="s">
        <v>217</v>
      </c>
      <c r="M459" s="168">
        <v>17963.28</v>
      </c>
    </row>
    <row r="460" spans="1:13" x14ac:dyDescent="0.25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90">
        <f>'Resultater - Vestdanmark'!H460+'Resultater - Østdanmark'!H460</f>
        <v>3.951047127829578</v>
      </c>
      <c r="I460" s="291">
        <f>'Resultater - Vestdanmark'!I460+'Resultater - Østdanmark'!I460</f>
        <v>5.3986394353114884</v>
      </c>
      <c r="J460" s="292">
        <f>'Resultater - Vestdanmark'!J460+'Resultater - Østdanmark'!J460</f>
        <v>5.5346783341970225</v>
      </c>
      <c r="L460" s="170" t="s">
        <v>221</v>
      </c>
      <c r="M460" s="168">
        <v>14758.1</v>
      </c>
    </row>
    <row r="461" spans="1:13" x14ac:dyDescent="0.25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9">
        <f>'Resultater - Vestdanmark'!H461+'Resultater - Østdanmark'!H461</f>
        <v>3.8599959280679998</v>
      </c>
      <c r="I461" s="291">
        <f>'Resultater - Vestdanmark'!I461+'Resultater - Østdanmark'!I461</f>
        <v>3.6166968204461223</v>
      </c>
      <c r="J461" s="292">
        <f>'Resultater - Vestdanmark'!J461+'Resultater - Østdanmark'!J461</f>
        <v>3.7232332203134169</v>
      </c>
      <c r="L461" s="170" t="s">
        <v>218</v>
      </c>
      <c r="M461" s="168">
        <v>1988.19</v>
      </c>
    </row>
    <row r="462" spans="1:13" x14ac:dyDescent="0.25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9">
        <f>'Resultater - Vestdanmark'!H462+'Resultater - Østdanmark'!H462</f>
        <v>43.629098996273854</v>
      </c>
      <c r="I462" s="291">
        <f>'Resultater - Vestdanmark'!I462+'Resultater - Østdanmark'!I462</f>
        <v>41.501325304246137</v>
      </c>
      <c r="J462" s="292">
        <f>'Resultater - Vestdanmark'!J462+'Resultater - Østdanmark'!J462</f>
        <v>41.450157138327555</v>
      </c>
      <c r="L462" s="170" t="s">
        <v>219</v>
      </c>
      <c r="M462" s="168">
        <v>8944.93</v>
      </c>
    </row>
    <row r="463" spans="1:13" x14ac:dyDescent="0.25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9">
        <f>'Resultater - Vestdanmark'!H463+'Resultater - Østdanmark'!H463</f>
        <v>17.543930524502301</v>
      </c>
      <c r="I463" s="291">
        <f>'Resultater - Vestdanmark'!I463+'Resultater - Østdanmark'!I463</f>
        <v>17.543930524502301</v>
      </c>
      <c r="J463" s="292">
        <f>'Resultater - Vestdanmark'!J463+'Resultater - Østdanmark'!J463</f>
        <v>17.543930524502301</v>
      </c>
      <c r="L463" s="170" t="s">
        <v>220</v>
      </c>
      <c r="M463" s="168">
        <v>18651.71</v>
      </c>
    </row>
    <row r="464" spans="1:13" x14ac:dyDescent="0.25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9" t="e">
        <f>'Resultater - Vestdanmark'!H464+'Resultater - Østdanmark'!H464</f>
        <v>#REF!</v>
      </c>
      <c r="I464" s="291" t="e">
        <f>'Resultater - Vestdanmark'!I464+'Resultater - Østdanmark'!I464</f>
        <v>#REF!</v>
      </c>
      <c r="J464" s="292" t="e">
        <f>'Resultater - Vestdanmark'!J464+'Resultater - Østdanmark'!J464</f>
        <v>#REF!</v>
      </c>
      <c r="L464" s="169" t="s">
        <v>110</v>
      </c>
      <c r="M464" s="168">
        <v>16604.849999999999</v>
      </c>
    </row>
    <row r="465" spans="1:13" s="171" customFormat="1" x14ac:dyDescent="0.25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9">
        <f>'Resultater - Vestdanmark'!H465+'Resultater - Østdanmark'!H465</f>
        <v>0</v>
      </c>
      <c r="I465" s="291">
        <f>'Resultater - Vestdanmark'!I465+'Resultater - Østdanmark'!I465</f>
        <v>0</v>
      </c>
      <c r="J465" s="292">
        <f>'Resultater - Vestdanmark'!J465+'Resultater - Østdanmark'!J465</f>
        <v>0</v>
      </c>
      <c r="L465" s="169"/>
      <c r="M465" s="168"/>
    </row>
    <row r="466" spans="1:13" s="171" customFormat="1" x14ac:dyDescent="0.25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9">
        <f>'Resultater - Vestdanmark'!H466+'Resultater - Østdanmark'!H466</f>
        <v>0</v>
      </c>
      <c r="I466" s="291">
        <f>'Resultater - Vestdanmark'!I466+'Resultater - Østdanmark'!I466</f>
        <v>0</v>
      </c>
      <c r="J466" s="292">
        <f>'Resultater - Vestdanmark'!J466+'Resultater - Østdanmark'!J466</f>
        <v>0</v>
      </c>
      <c r="L466" s="169"/>
      <c r="M466" s="168"/>
    </row>
    <row r="467" spans="1:13" x14ac:dyDescent="0.25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3" t="e">
        <f>'Resultater - Vestdanmark'!H467+'Resultater - Østdanmark'!H467</f>
        <v>#REF!</v>
      </c>
      <c r="I467" s="294" t="e">
        <f>'Resultater - Vestdanmark'!I467+'Resultater - Østdanmark'!I467</f>
        <v>#REF!</v>
      </c>
      <c r="J467" s="295" t="e">
        <f>'Resultater - Vestdanmark'!J467+'Resultater - Østdanmark'!J467</f>
        <v>#REF!</v>
      </c>
    </row>
    <row r="468" spans="1:13" x14ac:dyDescent="0.25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6">
        <f>'Resultater - Vestdanmark'!H468+'Resultater - Østdanmark'!H468</f>
        <v>0</v>
      </c>
      <c r="I468" s="297">
        <f>'Resultater - Vestdanmark'!I468+'Resultater - Østdanmark'!I468</f>
        <v>0</v>
      </c>
      <c r="J468" s="298">
        <f>'Resultater - Vestdanmark'!J468+'Resultater - Østdanmark'!J468</f>
        <v>0</v>
      </c>
    </row>
    <row r="469" spans="1:13" x14ac:dyDescent="0.25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6">
        <f>'Resultater - Vestdanmark'!H469+'Resultater - Østdanmark'!H469</f>
        <v>0</v>
      </c>
      <c r="I469" s="297">
        <f>'Resultater - Vestdanmark'!I469+'Resultater - Østdanmark'!I469</f>
        <v>0</v>
      </c>
      <c r="J469" s="298">
        <f>'Resultater - Vestdanmark'!J469+'Resultater - Østdanmark'!J469</f>
        <v>0</v>
      </c>
    </row>
    <row r="470" spans="1:13" x14ac:dyDescent="0.25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6">
        <f>'Resultater - Vestdanmark'!H470+'Resultater - Østdanmark'!H470</f>
        <v>0</v>
      </c>
      <c r="I470" s="297">
        <f>'Resultater - Vestdanmark'!I470+'Resultater - Østdanmark'!I470</f>
        <v>0</v>
      </c>
      <c r="J470" s="298">
        <f>'Resultater - Vestdanmark'!J470+'Resultater - Østdanmark'!J470</f>
        <v>0</v>
      </c>
    </row>
    <row r="471" spans="1:13" x14ac:dyDescent="0.25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6">
        <f>'Resultater - Vestdanmark'!H471+'Resultater - Østdanmark'!H471</f>
        <v>339203.90863921517</v>
      </c>
      <c r="I471" s="297">
        <f>'Resultater - Vestdanmark'!I471+'Resultater - Østdanmark'!I471</f>
        <v>241010.68907640575</v>
      </c>
      <c r="J471" s="298">
        <f>'Resultater - Vestdanmark'!J471+'Resultater - Østdanmark'!J471</f>
        <v>247083.85420522426</v>
      </c>
    </row>
    <row r="472" spans="1:13" x14ac:dyDescent="0.25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6">
        <f>'Resultater - Vestdanmark'!H472+'Resultater - Østdanmark'!H472</f>
        <v>217090.50152909773</v>
      </c>
      <c r="I472" s="297">
        <f>'Resultater - Vestdanmark'!I472+'Resultater - Østdanmark'!I472</f>
        <v>154246.84100889968</v>
      </c>
      <c r="J472" s="298">
        <f>'Resultater - Vestdanmark'!J472+'Resultater - Østdanmark'!J472</f>
        <v>158133.66669134353</v>
      </c>
    </row>
    <row r="473" spans="1:13" x14ac:dyDescent="0.25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6">
        <f>'Resultater - Vestdanmark'!H473+'Resultater - Østdanmark'!H473</f>
        <v>0</v>
      </c>
      <c r="I473" s="297">
        <f>'Resultater - Vestdanmark'!I473+'Resultater - Østdanmark'!I473</f>
        <v>0</v>
      </c>
      <c r="J473" s="298">
        <f>'Resultater - Vestdanmark'!J473+'Resultater - Østdanmark'!J473</f>
        <v>0</v>
      </c>
    </row>
    <row r="474" spans="1:13" x14ac:dyDescent="0.25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6">
        <f>'Resultater - Vestdanmark'!H474+'Resultater - Østdanmark'!H474</f>
        <v>0</v>
      </c>
      <c r="I474" s="297">
        <f>'Resultater - Vestdanmark'!I474+'Resultater - Østdanmark'!I474</f>
        <v>0</v>
      </c>
      <c r="J474" s="298">
        <f>'Resultater - Vestdanmark'!J474+'Resultater - Østdanmark'!J474</f>
        <v>0</v>
      </c>
    </row>
    <row r="475" spans="1:13" ht="15.75" thickBot="1" x14ac:dyDescent="0.3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9">
        <f>'Resultater - Vestdanmark'!H475+'Resultater - Østdanmark'!H475</f>
        <v>0</v>
      </c>
      <c r="I475" s="300">
        <f>'Resultater - Vestdanmark'!I475+'Resultater - Østdanmark'!I475</f>
        <v>0</v>
      </c>
      <c r="J475" s="301">
        <f>'Resultater - Vestdanmark'!J475+'Resultater - Østdanmark'!J475</f>
        <v>0</v>
      </c>
    </row>
    <row r="476" spans="1:13" x14ac:dyDescent="0.25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25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25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25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25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25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25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25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25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25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25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25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25">
      <c r="H488" s="97"/>
      <c r="I488" s="97"/>
      <c r="J488" s="97"/>
    </row>
    <row r="489" spans="1:10" x14ac:dyDescent="0.25">
      <c r="H489" s="97"/>
      <c r="I489" s="97"/>
      <c r="J489" s="97"/>
    </row>
  </sheetData>
  <autoFilter ref="A2:O475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Q3" activePane="bottomRight" state="frozen"/>
      <selection pane="topRight" activeCell="F1" sqref="F1"/>
      <selection pane="bottomLeft" activeCell="A3" sqref="A3"/>
      <selection pane="bottomRight" activeCell="G183" activeCellId="1" sqref="G39 G183"/>
    </sheetView>
  </sheetViews>
  <sheetFormatPr defaultColWidth="18" defaultRowHeight="15" x14ac:dyDescent="0.25"/>
  <cols>
    <col min="1" max="2" width="18.140625" style="192" bestFit="1" customWidth="1"/>
    <col min="3" max="3" width="8.140625" style="192" bestFit="1" customWidth="1"/>
    <col min="4" max="4" width="7.85546875" style="192" customWidth="1"/>
    <col min="5" max="5" width="11.140625" style="192" bestFit="1" customWidth="1"/>
    <col min="6" max="6" width="14.28515625" style="192" bestFit="1" customWidth="1"/>
    <col min="7" max="7" width="10.7109375" style="192" bestFit="1" customWidth="1"/>
    <col min="8" max="8" width="11.7109375" style="192" bestFit="1" customWidth="1"/>
    <col min="9" max="9" width="9" style="192" bestFit="1" customWidth="1"/>
    <col min="10" max="11" width="9.5703125" style="192" bestFit="1" customWidth="1"/>
    <col min="12" max="12" width="10.5703125" style="192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56" t="s">
        <v>254</v>
      </c>
      <c r="B1" s="356"/>
      <c r="C1" s="356"/>
      <c r="F1" s="357" t="s">
        <v>256</v>
      </c>
      <c r="G1" s="357"/>
      <c r="H1" s="357"/>
      <c r="I1" s="357"/>
      <c r="J1" s="357"/>
      <c r="K1" s="357"/>
      <c r="L1" s="357"/>
      <c r="M1" s="358"/>
      <c r="N1" s="359" t="s">
        <v>257</v>
      </c>
      <c r="O1" s="360"/>
      <c r="P1" s="361"/>
      <c r="Q1" s="353" t="s">
        <v>123</v>
      </c>
      <c r="R1" s="353"/>
      <c r="S1" s="353"/>
      <c r="T1" s="354"/>
      <c r="U1" s="355" t="s">
        <v>231</v>
      </c>
      <c r="V1" s="353"/>
      <c r="W1" s="353"/>
      <c r="X1" s="354"/>
    </row>
    <row r="2" spans="1:26" x14ac:dyDescent="0.25">
      <c r="A2" s="199" t="s">
        <v>129</v>
      </c>
      <c r="B2" s="199" t="s">
        <v>321</v>
      </c>
      <c r="C2" s="199" t="s">
        <v>130</v>
      </c>
      <c r="D2" s="199" t="s">
        <v>58</v>
      </c>
      <c r="E2" s="199" t="s">
        <v>64</v>
      </c>
      <c r="F2" s="199" t="s">
        <v>133</v>
      </c>
      <c r="G2" s="199" t="s">
        <v>113</v>
      </c>
      <c r="H2" s="199" t="s">
        <v>125</v>
      </c>
      <c r="I2" s="199" t="s">
        <v>128</v>
      </c>
      <c r="J2" s="199" t="s">
        <v>110</v>
      </c>
      <c r="K2" s="199" t="s">
        <v>115</v>
      </c>
      <c r="L2" s="199" t="s">
        <v>121</v>
      </c>
      <c r="M2" s="190" t="s">
        <v>225</v>
      </c>
      <c r="N2" s="202" t="s">
        <v>255</v>
      </c>
      <c r="O2" s="199" t="s">
        <v>131</v>
      </c>
      <c r="P2" s="203" t="s">
        <v>192</v>
      </c>
      <c r="Q2" s="199" t="s">
        <v>132</v>
      </c>
      <c r="R2" s="199" t="s">
        <v>234</v>
      </c>
      <c r="S2" s="199" t="s">
        <v>235</v>
      </c>
      <c r="T2" s="201" t="s">
        <v>294</v>
      </c>
      <c r="U2" s="200" t="s">
        <v>237</v>
      </c>
      <c r="V2" s="199" t="s">
        <v>236</v>
      </c>
      <c r="W2" s="199" t="s">
        <v>238</v>
      </c>
      <c r="X2" s="201" t="s">
        <v>293</v>
      </c>
      <c r="Y2" s="95" t="s">
        <v>288</v>
      </c>
      <c r="Z2" s="199" t="s">
        <v>310</v>
      </c>
    </row>
    <row r="3" spans="1:26" x14ac:dyDescent="0.25">
      <c r="A3" s="194" t="s">
        <v>15</v>
      </c>
      <c r="B3" s="194"/>
      <c r="C3" s="194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4">
        <f t="shared" ref="D3:D15" si="0">År1</f>
        <v>2019</v>
      </c>
      <c r="E3" s="192" t="s">
        <v>23</v>
      </c>
      <c r="F3" s="195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216549.9929685164</v>
      </c>
      <c r="G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2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5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4">
        <f>F3-SUM(G3:M3)</f>
        <v>185027.43463784308</v>
      </c>
      <c r="O3" s="195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5">
        <f>SUM(J3,L3)</f>
        <v>0</v>
      </c>
      <c r="Q3" s="192">
        <f>IFERROR(VLOOKUP(A3,[1]Energiindhold!$A$2:$C$11,3,FALSE),IFERROR(VLOOKUP(A3,[1]Biogasudbytte!$A$2:$B$18,2,FALSE)*[1]Energiindhold!$C$10,0))*O3</f>
        <v>0</v>
      </c>
      <c r="R3" s="192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2">
        <f>IFERROR(VLOOKUP(A3,[1]Biogasudbytte!$A$2:$B$18,2,FALSE)*[1]Energiindhold!$C$10,0)*J3*IFERROR(VLOOKUP(A3,Biogasanlæg!$F$3:$G$8,2,FALSE),1)</f>
        <v>0</v>
      </c>
      <c r="T3" s="193">
        <f>R3-S3</f>
        <v>0</v>
      </c>
      <c r="U3" s="191">
        <f>O3*IFERROR(VLOOKUP(A3,[1]Tørstofindhold!A$2:B$24,2,FALSE),0)</f>
        <v>0</v>
      </c>
      <c r="V3" s="192">
        <f>IF(D3=År1,P3,SUM(O3,P3))*IFERROR(VLOOKUP(A3,[1]Tørstofindhold!A$2:B$24,2,FALSE),0)</f>
        <v>0</v>
      </c>
      <c r="W3" s="192">
        <f>J3*IFERROR(VLOOKUP(A3,[1]Tørstofindhold!A$2:B$24,2,FALSE),0)</f>
        <v>0</v>
      </c>
      <c r="X3" s="193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4" t="s">
        <v>49</v>
      </c>
      <c r="B4" s="194"/>
      <c r="C4" s="194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4">
        <f t="shared" si="0"/>
        <v>2019</v>
      </c>
      <c r="E4" s="192" t="s">
        <v>23</v>
      </c>
      <c r="F4" s="195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258086.32953598633</v>
      </c>
      <c r="G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2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5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4">
        <f t="shared" ref="N4:N15" si="4">F4-SUM(G4:M4)</f>
        <v>193587.85406079434</v>
      </c>
      <c r="O4" s="195">
        <f t="shared" si="1"/>
        <v>0</v>
      </c>
      <c r="P4" s="205">
        <f t="shared" ref="P4:P15" si="5">SUM(J4,L4)</f>
        <v>0</v>
      </c>
      <c r="Q4" s="192">
        <f>IFERROR(VLOOKUP(A4,[1]Energiindhold!$A$2:$C$11,3,FALSE),IFERROR(VLOOKUP(A4,[1]Biogasudbytte!$A$2:$B$18,2,FALSE)*[1]Energiindhold!$C$10,0))*O4</f>
        <v>0</v>
      </c>
      <c r="R4" s="192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2">
        <f>IFERROR(VLOOKUP(A4,[1]Biogasudbytte!$A$2:$B$18,2,FALSE)*[1]Energiindhold!$C$10,0)*J4*IFERROR(VLOOKUP(A4,Biogasanlæg!$F$3:$G$8,2,FALSE),1)</f>
        <v>0</v>
      </c>
      <c r="T4" s="193">
        <f t="shared" ref="T4:T15" si="6">R4-S4</f>
        <v>0</v>
      </c>
      <c r="U4" s="191">
        <f>O4*IFERROR(VLOOKUP(A4,[1]Tørstofindhold!A$2:B$24,2,FALSE),0)</f>
        <v>0</v>
      </c>
      <c r="V4" s="192">
        <f>IF(D4=År1,P4,SUM(O4,P4))*IFERROR(VLOOKUP(A4,[1]Tørstofindhold!A$2:B$24,2,FALSE),0)</f>
        <v>0</v>
      </c>
      <c r="W4" s="192">
        <f>J4*IFERROR(VLOOKUP(A4,[1]Tørstofindhold!A$2:B$24,2,FALSE),0)</f>
        <v>0</v>
      </c>
      <c r="X4" s="193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x14ac:dyDescent="0.25">
      <c r="A5" s="194" t="s">
        <v>103</v>
      </c>
      <c r="B5" s="194" t="s">
        <v>232</v>
      </c>
      <c r="C5" s="194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4">
        <f t="shared" si="0"/>
        <v>2019</v>
      </c>
      <c r="E5" s="192" t="s">
        <v>23</v>
      </c>
      <c r="F5" s="195">
        <f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0</v>
      </c>
      <c r="G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2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5" t="e">
        <f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#REF!</v>
      </c>
      <c r="K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5" t="e">
        <f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#REF!</v>
      </c>
      <c r="M5" s="157" t="e">
        <f>SUMIFS('Forbrug af biomasse'!E:E,'Forbrug af biomasse'!C:C,'Resultat-Produktion &amp; forbrug'!$A5,'Forbrug af biomasse'!D:D,'Resultat-Produktion &amp; forbrug'!$D5,'Forbrug af biomasse'!G:G,1,'Forbrug af biomasse'!B:B,$E5)</f>
        <v>#REF!</v>
      </c>
      <c r="N5" s="204" t="e">
        <f t="shared" si="4"/>
        <v>#REF!</v>
      </c>
      <c r="O5" s="195" t="e">
        <f t="shared" si="1"/>
        <v>#REF!</v>
      </c>
      <c r="P5" s="205" t="e">
        <f t="shared" si="5"/>
        <v>#REF!</v>
      </c>
      <c r="Q5" s="192" t="e">
        <f>IFERROR(VLOOKUP(A5,[1]Energiindhold!$A$2:$C$11,3,FALSE),IFERROR(VLOOKUP(A5,[1]Biogasudbytte!$A$2:$B$18,2,FALSE)*[1]Energiindhold!$C$10,0))*O5</f>
        <v>#REF!</v>
      </c>
      <c r="R5" s="192" t="e">
        <f>IF(A5&lt;&gt;"Biogas",IFERROR(VLOOKUP(A5,[1]Biogasudbytte!$A$2:$B$18,2,FALSE)*[1]Energiindhold!$C$10,0)*J5*IFERROR(VLOOKUP(A5,Biogasanlæg!$F$3:$G$8,2,FALSE),1)+IFERROR(VLOOKUP(A5,[1]Energiindhold!$A$2:$C$11,3,FALSE),0)*L5+IF(D5&lt;&gt;År1,Q5,0),0)</f>
        <v>#REF!</v>
      </c>
      <c r="S5" s="192" t="e">
        <f>IFERROR(VLOOKUP(A5,[1]Biogasudbytte!$A$2:$B$18,2,FALSE)*[1]Energiindhold!$C$10,0)*J5*IFERROR(VLOOKUP(A5,Biogasanlæg!$F$3:$G$8,2,FALSE),1)</f>
        <v>#REF!</v>
      </c>
      <c r="T5" s="193" t="e">
        <f t="shared" si="6"/>
        <v>#REF!</v>
      </c>
      <c r="U5" s="191" t="e">
        <f>O5*IFERROR(VLOOKUP(A5,[1]Tørstofindhold!A$2:B$24,2,FALSE),0)</f>
        <v>#REF!</v>
      </c>
      <c r="V5" s="192" t="e">
        <f>IF(D5=År1,P5,SUM(O5,P5))*IFERROR(VLOOKUP(A5,[1]Tørstofindhold!A$2:B$24,2,FALSE),0)</f>
        <v>#REF!</v>
      </c>
      <c r="W5" s="192" t="e">
        <f>J5*IFERROR(VLOOKUP(A5,[1]Tørstofindhold!A$2:B$24,2,FALSE),0)</f>
        <v>#REF!</v>
      </c>
      <c r="X5" s="193" t="e">
        <f t="shared" si="7"/>
        <v>#REF!</v>
      </c>
      <c r="Y5" s="171" t="e">
        <f t="shared" si="2"/>
        <v>#REF!</v>
      </c>
      <c r="Z5" s="103" t="e">
        <f t="shared" si="3"/>
        <v>#REF!</v>
      </c>
    </row>
    <row r="6" spans="1:26" x14ac:dyDescent="0.25">
      <c r="A6" s="194" t="s">
        <v>110</v>
      </c>
      <c r="B6" s="194"/>
      <c r="C6" s="194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4">
        <f t="shared" si="0"/>
        <v>2019</v>
      </c>
      <c r="E6" s="192" t="s">
        <v>23</v>
      </c>
      <c r="F6" s="195">
        <f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314672965.75604105</v>
      </c>
      <c r="G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2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5">
        <f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314672965.75604105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4">
        <f t="shared" si="4"/>
        <v>0</v>
      </c>
      <c r="O6" s="195">
        <f t="shared" si="1"/>
        <v>0</v>
      </c>
      <c r="P6" s="205">
        <f t="shared" si="5"/>
        <v>314672965.75604105</v>
      </c>
      <c r="Q6" s="192">
        <f>IFERROR(VLOOKUP(A6,[1]Energiindhold!$A$2:$C$11,3,FALSE),IFERROR(VLOOKUP(A6,[1]Biogasudbytte!$A$2:$B$18,2,FALSE)*[1]Energiindhold!$C$10,0))*O6</f>
        <v>0</v>
      </c>
      <c r="R6" s="192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2">
        <f>IFERROR(VLOOKUP(A6,[1]Biogasudbytte!$A$2:$B$18,2,FALSE)*[1]Energiindhold!$C$10,0)*J6*IFERROR(VLOOKUP(A6,Biogasanlæg!$F$3:$G$8,2,FALSE),1)</f>
        <v>0</v>
      </c>
      <c r="T6" s="193">
        <f t="shared" si="6"/>
        <v>0</v>
      </c>
      <c r="U6" s="191">
        <f>O6*IFERROR(VLOOKUP(A6,[1]Tørstofindhold!A$2:B$24,2,FALSE),0)</f>
        <v>0</v>
      </c>
      <c r="V6" s="192">
        <f>IF(D6=År1,P6,SUM(O6,P6))*IFERROR(VLOOKUP(A6,[1]Tørstofindhold!A$2:B$24,2,FALSE),0)</f>
        <v>0</v>
      </c>
      <c r="W6" s="192">
        <f>J6*IFERROR(VLOOKUP(A6,[1]Tørstofindhold!A$2:B$24,2,FALSE),0)</f>
        <v>0</v>
      </c>
      <c r="X6" s="193">
        <f t="shared" si="7"/>
        <v>0</v>
      </c>
      <c r="Y6" s="171">
        <f t="shared" si="2"/>
        <v>0</v>
      </c>
      <c r="Z6" s="103">
        <f t="shared" si="3"/>
        <v>0</v>
      </c>
    </row>
    <row r="7" spans="1:26" x14ac:dyDescent="0.25">
      <c r="A7" s="194" t="s">
        <v>111</v>
      </c>
      <c r="B7" s="194"/>
      <c r="C7" s="194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4">
        <f t="shared" si="0"/>
        <v>2019</v>
      </c>
      <c r="E7" s="192" t="s">
        <v>23</v>
      </c>
      <c r="F7" s="195">
        <f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0</v>
      </c>
      <c r="G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2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5" t="e">
        <f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#REF!</v>
      </c>
      <c r="L7" s="195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4" t="e">
        <f t="shared" si="4"/>
        <v>#REF!</v>
      </c>
      <c r="O7" s="195">
        <f t="shared" si="1"/>
        <v>0</v>
      </c>
      <c r="P7" s="205">
        <f t="shared" si="5"/>
        <v>0</v>
      </c>
      <c r="Q7" s="192">
        <f>IFERROR(VLOOKUP(A7,[1]Energiindhold!$A$2:$C$11,3,FALSE),IFERROR(VLOOKUP(A7,[1]Biogasudbytte!$A$2:$B$18,2,FALSE)*[1]Energiindhold!$C$10,0))*O7</f>
        <v>0</v>
      </c>
      <c r="R7" s="192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2">
        <f>IFERROR(VLOOKUP(A7,[1]Biogasudbytte!$A$2:$B$18,2,FALSE)*[1]Energiindhold!$C$10,0)*J7*IFERROR(VLOOKUP(A7,Biogasanlæg!$F$3:$G$8,2,FALSE),1)</f>
        <v>0</v>
      </c>
      <c r="T7" s="193">
        <f t="shared" si="6"/>
        <v>0</v>
      </c>
      <c r="U7" s="191">
        <f>O7*IFERROR(VLOOKUP(A7,[1]Tørstofindhold!A$2:B$24,2,FALSE),0)</f>
        <v>0</v>
      </c>
      <c r="V7" s="192">
        <f>IF(D7=År1,P7,SUM(O7,P7))*IFERROR(VLOOKUP(A7,[1]Tørstofindhold!A$2:B$24,2,FALSE),0)</f>
        <v>0</v>
      </c>
      <c r="W7" s="192">
        <f>J7*IFERROR(VLOOKUP(A7,[1]Tørstofindhold!A$2:B$24,2,FALSE),0)</f>
        <v>0</v>
      </c>
      <c r="X7" s="193">
        <f t="shared" si="7"/>
        <v>0</v>
      </c>
      <c r="Y7" s="171" t="e">
        <f t="shared" si="2"/>
        <v>#REF!</v>
      </c>
      <c r="Z7" s="103" t="e">
        <f t="shared" si="3"/>
        <v>#REF!</v>
      </c>
    </row>
    <row r="8" spans="1:26" x14ac:dyDescent="0.25">
      <c r="A8" s="194" t="s">
        <v>210</v>
      </c>
      <c r="B8" s="194" t="s">
        <v>232</v>
      </c>
      <c r="C8" s="194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4">
        <f t="shared" si="0"/>
        <v>2019</v>
      </c>
      <c r="E8" s="192" t="s">
        <v>23</v>
      </c>
      <c r="F8" s="195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2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5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4">
        <f t="shared" si="4"/>
        <v>0</v>
      </c>
      <c r="O8" s="195">
        <f t="shared" si="1"/>
        <v>0</v>
      </c>
      <c r="P8" s="205">
        <f t="shared" si="5"/>
        <v>0</v>
      </c>
      <c r="Q8" s="192">
        <f>IFERROR(VLOOKUP(A8,[1]Energiindhold!$A$2:$C$11,3,FALSE),IFERROR(VLOOKUP(A8,[1]Biogasudbytte!$A$2:$B$18,2,FALSE)*[1]Energiindhold!$C$10,0))*O8</f>
        <v>0</v>
      </c>
      <c r="R8" s="192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2">
        <f>IFERROR(VLOOKUP(A8,[1]Biogasudbytte!$A$2:$B$18,2,FALSE)*[1]Energiindhold!$C$10,0)*J8*IFERROR(VLOOKUP(A8,Biogasanlæg!$F$3:$G$8,2,FALSE),1)</f>
        <v>0</v>
      </c>
      <c r="T8" s="193">
        <f t="shared" si="6"/>
        <v>0</v>
      </c>
      <c r="U8" s="191">
        <f>O8*IFERROR(VLOOKUP(A8,[1]Tørstofindhold!A$2:B$24,2,FALSE),0)</f>
        <v>0</v>
      </c>
      <c r="V8" s="192">
        <f>IF(D8=År1,P8,SUM(O8,P8))*IFERROR(VLOOKUP(A8,[1]Tørstofindhold!A$2:B$24,2,FALSE),0)</f>
        <v>0</v>
      </c>
      <c r="W8" s="192">
        <f>J8*IFERROR(VLOOKUP(A8,[1]Tørstofindhold!A$2:B$24,2,FALSE),0)</f>
        <v>0</v>
      </c>
      <c r="X8" s="193">
        <f t="shared" si="7"/>
        <v>0</v>
      </c>
      <c r="Y8" s="171">
        <f t="shared" si="2"/>
        <v>0</v>
      </c>
      <c r="Z8" s="103">
        <f t="shared" si="3"/>
        <v>0</v>
      </c>
    </row>
    <row r="9" spans="1:26" x14ac:dyDescent="0.25">
      <c r="A9" s="192" t="s">
        <v>102</v>
      </c>
      <c r="B9" s="194" t="s">
        <v>224</v>
      </c>
      <c r="C9" s="194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4">
        <f t="shared" si="0"/>
        <v>2019</v>
      </c>
      <c r="E9" s="192" t="s">
        <v>23</v>
      </c>
      <c r="F9" s="195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2600310.0770241949</v>
      </c>
      <c r="G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2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5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4">
        <f t="shared" si="4"/>
        <v>1198807.4305444965</v>
      </c>
      <c r="O9" s="195">
        <f t="shared" si="1"/>
        <v>1198807.4305444965</v>
      </c>
      <c r="P9" s="205">
        <f>SUM(J9,L9)</f>
        <v>671194.67155029252</v>
      </c>
      <c r="Q9" s="192">
        <f>IFERROR(VLOOKUP(A9,[1]Energiindhold!$A$2:$C$11,3,FALSE),IFERROR(VLOOKUP(A9,[1]Biogasudbytte!$A$2:$B$18,2,FALSE)*[1]Energiindhold!$C$10,0))*O9</f>
        <v>2.5822312053928456</v>
      </c>
      <c r="R9" s="192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2">
        <f>IFERROR(VLOOKUP(A9,[1]Biogasudbytte!$A$2:$B$18,2,FALSE)*[1]Energiindhold!$C$10,0)*J9*IFERROR(VLOOKUP(A9,Biogasanlæg!$F$3:$G$8,2,FALSE),1)</f>
        <v>1.4457533225193302</v>
      </c>
      <c r="T9" s="193">
        <f t="shared" si="6"/>
        <v>0</v>
      </c>
      <c r="U9" s="191">
        <f>O9*IFERROR(VLOOKUP(A9,[1]Tørstofindhold!A$2:B$24,2,FALSE),0)</f>
        <v>359642.22916334897</v>
      </c>
      <c r="V9" s="192">
        <f>IF(D9=År1,P9,SUM(O9,P9))*IFERROR(VLOOKUP(A9,[1]Tørstofindhold!A$2:B$24,2,FALSE),0)</f>
        <v>201358.40146508775</v>
      </c>
      <c r="W9" s="192">
        <f>J9*IFERROR(VLOOKUP(A9,[1]Tørstofindhold!A$2:B$24,2,FALSE),0)</f>
        <v>201358.40146508775</v>
      </c>
      <c r="X9" s="193">
        <f t="shared" si="7"/>
        <v>0</v>
      </c>
      <c r="Y9" s="171">
        <f t="shared" si="2"/>
        <v>0</v>
      </c>
      <c r="Z9" s="103">
        <f t="shared" si="3"/>
        <v>1</v>
      </c>
    </row>
    <row r="10" spans="1:26" x14ac:dyDescent="0.25">
      <c r="A10" s="192" t="s">
        <v>206</v>
      </c>
      <c r="B10" s="194"/>
      <c r="C10" s="194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4">
        <f t="shared" si="0"/>
        <v>2019</v>
      </c>
      <c r="E10" s="192" t="s">
        <v>23</v>
      </c>
      <c r="F10" s="195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2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5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4">
        <f t="shared" si="4"/>
        <v>0</v>
      </c>
      <c r="O10" s="195">
        <f t="shared" si="1"/>
        <v>0</v>
      </c>
      <c r="P10" s="205">
        <f t="shared" si="5"/>
        <v>0</v>
      </c>
      <c r="Q10" s="192">
        <f>IFERROR(VLOOKUP(A10,[1]Energiindhold!$A$2:$C$11,3,FALSE),IFERROR(VLOOKUP(A10,[1]Biogasudbytte!$A$2:$B$18,2,FALSE)*[1]Energiindhold!$C$10,0))*O10</f>
        <v>0</v>
      </c>
      <c r="R10" s="192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2">
        <f>IFERROR(VLOOKUP(A10,[1]Biogasudbytte!$A$2:$B$18,2,FALSE)*[1]Energiindhold!$C$10,0)*J10*IFERROR(VLOOKUP(A10,Biogasanlæg!$F$3:$G$8,2,FALSE),1)</f>
        <v>0</v>
      </c>
      <c r="T10" s="193">
        <f t="shared" si="6"/>
        <v>0</v>
      </c>
      <c r="U10" s="191">
        <f>O10*IFERROR(VLOOKUP(A10,[1]Tørstofindhold!A$2:B$24,2,FALSE),0)</f>
        <v>0</v>
      </c>
      <c r="V10" s="192">
        <f>IF(D10=År1,P10,SUM(O10,P10))*IFERROR(VLOOKUP(A10,[1]Tørstofindhold!A$2:B$24,2,FALSE),0)</f>
        <v>0</v>
      </c>
      <c r="W10" s="192">
        <f>J10*IFERROR(VLOOKUP(A10,[1]Tørstofindhold!A$2:B$24,2,FALSE),0)</f>
        <v>0</v>
      </c>
      <c r="X10" s="193">
        <f t="shared" si="7"/>
        <v>0</v>
      </c>
      <c r="Y10" s="171">
        <f t="shared" si="2"/>
        <v>0</v>
      </c>
      <c r="Z10" s="103">
        <f t="shared" si="3"/>
        <v>0</v>
      </c>
    </row>
    <row r="11" spans="1:26" x14ac:dyDescent="0.25">
      <c r="A11" s="192" t="s">
        <v>138</v>
      </c>
      <c r="B11" s="194" t="s">
        <v>224</v>
      </c>
      <c r="C11" s="194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4">
        <f t="shared" si="0"/>
        <v>2019</v>
      </c>
      <c r="E11" s="192" t="s">
        <v>23</v>
      </c>
      <c r="F11" s="195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8207.6123560951182</v>
      </c>
      <c r="G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2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3107.1675348074377</v>
      </c>
      <c r="L11" s="195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4">
        <f t="shared" si="4"/>
        <v>996.63864324012138</v>
      </c>
      <c r="O11" s="195">
        <f t="shared" si="1"/>
        <v>996.63864324012138</v>
      </c>
      <c r="P11" s="205">
        <f t="shared" si="5"/>
        <v>4103.8061780475591</v>
      </c>
      <c r="Q11" s="192">
        <f>IFERROR(VLOOKUP(A11,[1]Energiindhold!$A$2:$C$11,3,FALSE),IFERROR(VLOOKUP(A11,[1]Biogasudbytte!$A$2:$B$18,2,FALSE)*[1]Energiindhold!$C$10,0))*O11</f>
        <v>4.6870918752939668E-4</v>
      </c>
      <c r="R11" s="192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2">
        <f>IFERROR(VLOOKUP(A11,[1]Biogasudbytte!$A$2:$B$18,2,FALSE)*[1]Energiindhold!$C$10,0)*J11*IFERROR(VLOOKUP(A11,Biogasanlæg!$F$3:$G$8,2,FALSE),1)</f>
        <v>1.9299790074739866E-3</v>
      </c>
      <c r="T11" s="193">
        <f t="shared" si="6"/>
        <v>0</v>
      </c>
      <c r="U11" s="191">
        <f>O11*IFERROR(VLOOKUP(A11,[1]Tørstofindhold!A$2:B$24,2,FALSE),0)</f>
        <v>62.788234524127645</v>
      </c>
      <c r="V11" s="192">
        <f>IF(D11=År1,P11,SUM(O11,P11))*IFERROR(VLOOKUP(A11,[1]Tørstofindhold!A$2:B$24,2,FALSE),0)</f>
        <v>258.53978921699621</v>
      </c>
      <c r="W11" s="192">
        <f>J11*IFERROR(VLOOKUP(A11,[1]Tørstofindhold!A$2:B$24,2,FALSE),0)</f>
        <v>258.53978921699621</v>
      </c>
      <c r="X11" s="193">
        <f t="shared" si="7"/>
        <v>0</v>
      </c>
      <c r="Y11" s="171">
        <f t="shared" si="2"/>
        <v>0</v>
      </c>
      <c r="Z11" s="103">
        <f t="shared" si="3"/>
        <v>1</v>
      </c>
    </row>
    <row r="12" spans="1:26" x14ac:dyDescent="0.25">
      <c r="A12" s="192" t="s">
        <v>97</v>
      </c>
      <c r="B12" s="194"/>
      <c r="C12" s="194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4">
        <f t="shared" si="0"/>
        <v>2019</v>
      </c>
      <c r="E12" s="192" t="s">
        <v>23</v>
      </c>
      <c r="F12" s="195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185576.29959415729</v>
      </c>
      <c r="G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2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5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4">
        <f t="shared" si="4"/>
        <v>151426.86140259454</v>
      </c>
      <c r="O12" s="195">
        <f t="shared" si="1"/>
        <v>0</v>
      </c>
      <c r="P12" s="205">
        <f t="shared" si="5"/>
        <v>0</v>
      </c>
      <c r="Q12" s="192">
        <f>IFERROR(VLOOKUP(A12,[1]Energiindhold!$A$2:$C$11,3,FALSE),IFERROR(VLOOKUP(A12,[1]Biogasudbytte!$A$2:$B$18,2,FALSE)*[1]Energiindhold!$C$10,0))*O12</f>
        <v>0</v>
      </c>
      <c r="R12" s="192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2">
        <f>IFERROR(VLOOKUP(A12,[1]Biogasudbytte!$A$2:$B$18,2,FALSE)*[1]Energiindhold!$C$10,0)*J12*IFERROR(VLOOKUP(A12,Biogasanlæg!$F$3:$G$8,2,FALSE),1)</f>
        <v>0</v>
      </c>
      <c r="T12" s="193">
        <f t="shared" si="6"/>
        <v>0</v>
      </c>
      <c r="U12" s="191">
        <f>O12*IFERROR(VLOOKUP(A12,[1]Tørstofindhold!A$2:B$24,2,FALSE),0)</f>
        <v>0</v>
      </c>
      <c r="V12" s="192">
        <f>IF(D12=År1,P12,SUM(O12,P12))*IFERROR(VLOOKUP(A12,[1]Tørstofindhold!A$2:B$24,2,FALSE),0)</f>
        <v>0</v>
      </c>
      <c r="W12" s="192">
        <f>J12*IFERROR(VLOOKUP(A12,[1]Tørstofindhold!A$2:B$24,2,FALSE),0)</f>
        <v>0</v>
      </c>
      <c r="X12" s="193">
        <f t="shared" si="7"/>
        <v>0</v>
      </c>
      <c r="Y12" s="171">
        <f t="shared" si="2"/>
        <v>0</v>
      </c>
      <c r="Z12" s="103">
        <f t="shared" si="3"/>
        <v>1</v>
      </c>
    </row>
    <row r="13" spans="1:26" x14ac:dyDescent="0.25">
      <c r="A13" s="192" t="s">
        <v>114</v>
      </c>
      <c r="B13" s="194"/>
      <c r="C13" s="194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4">
        <f t="shared" si="0"/>
        <v>2019</v>
      </c>
      <c r="E13" s="192" t="s">
        <v>23</v>
      </c>
      <c r="F13" s="195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890042.58416558511</v>
      </c>
      <c r="G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2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5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4">
        <f t="shared" si="4"/>
        <v>890042.58416558511</v>
      </c>
      <c r="O13" s="195">
        <f t="shared" si="1"/>
        <v>0</v>
      </c>
      <c r="P13" s="205">
        <f t="shared" si="5"/>
        <v>0</v>
      </c>
      <c r="Q13" s="192">
        <f>IFERROR(VLOOKUP(A13,[1]Energiindhold!$A$2:$C$11,3,FALSE),IFERROR(VLOOKUP(A13,[1]Biogasudbytte!$A$2:$B$18,2,FALSE)*[1]Energiindhold!$C$10,0))*O13</f>
        <v>0</v>
      </c>
      <c r="R13" s="192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2">
        <f>IFERROR(VLOOKUP(A13,[1]Biogasudbytte!$A$2:$B$18,2,FALSE)*[1]Energiindhold!$C$10,0)*J13*IFERROR(VLOOKUP(A13,Biogasanlæg!$F$3:$G$8,2,FALSE),1)</f>
        <v>0</v>
      </c>
      <c r="T13" s="193">
        <f t="shared" si="6"/>
        <v>0</v>
      </c>
      <c r="U13" s="191">
        <f>O13*IFERROR(VLOOKUP(A13,[1]Tørstofindhold!A$2:B$24,2,FALSE),0)</f>
        <v>0</v>
      </c>
      <c r="V13" s="192">
        <f>IF(D13=År1,P13,SUM(O13,P13))*IFERROR(VLOOKUP(A13,[1]Tørstofindhold!A$2:B$24,2,FALSE),0)</f>
        <v>0</v>
      </c>
      <c r="W13" s="192">
        <f>J13*IFERROR(VLOOKUP(A13,[1]Tørstofindhold!A$2:B$24,2,FALSE),0)</f>
        <v>0</v>
      </c>
      <c r="X13" s="193">
        <f t="shared" si="7"/>
        <v>0</v>
      </c>
      <c r="Y13" s="171">
        <f t="shared" si="2"/>
        <v>0</v>
      </c>
      <c r="Z13" s="103">
        <f t="shared" si="3"/>
        <v>1</v>
      </c>
    </row>
    <row r="14" spans="1:26" x14ac:dyDescent="0.25">
      <c r="A14" s="192" t="s">
        <v>54</v>
      </c>
      <c r="B14" s="194"/>
      <c r="C14" s="194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4">
        <f t="shared" si="0"/>
        <v>2019</v>
      </c>
      <c r="E14" s="192" t="s">
        <v>23</v>
      </c>
      <c r="F14" s="195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25923.363510878662</v>
      </c>
      <c r="G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2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5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4">
        <f t="shared" si="4"/>
        <v>-223630.22327361835</v>
      </c>
      <c r="O14" s="195">
        <f t="shared" si="1"/>
        <v>0</v>
      </c>
      <c r="P14" s="205">
        <f t="shared" si="5"/>
        <v>0</v>
      </c>
      <c r="Q14" s="192">
        <f>IFERROR(VLOOKUP(A14,[1]Energiindhold!$A$2:$C$11,3,FALSE),IFERROR(VLOOKUP(A14,[1]Biogasudbytte!$A$2:$B$18,2,FALSE)*[1]Energiindhold!$C$10,0))*O14</f>
        <v>0</v>
      </c>
      <c r="R14" s="192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2">
        <f>IFERROR(VLOOKUP(A14,[1]Biogasudbytte!$A$2:$B$18,2,FALSE)*[1]Energiindhold!$C$10,0)*J14*IFERROR(VLOOKUP(A14,Biogasanlæg!$F$3:$G$8,2,FALSE),1)</f>
        <v>0</v>
      </c>
      <c r="T14" s="193">
        <f t="shared" si="6"/>
        <v>0</v>
      </c>
      <c r="U14" s="191">
        <f>O14*IFERROR(VLOOKUP(A14,[1]Tørstofindhold!A$2:B$24,2,FALSE),0)</f>
        <v>0</v>
      </c>
      <c r="V14" s="192">
        <f>IF(D14=År1,P14,SUM(O14,P14))*IFERROR(VLOOKUP(A14,[1]Tørstofindhold!A$2:B$24,2,FALSE),0)</f>
        <v>0</v>
      </c>
      <c r="W14" s="192">
        <f>J14*IFERROR(VLOOKUP(A14,[1]Tørstofindhold!A$2:B$24,2,FALSE),0)</f>
        <v>0</v>
      </c>
      <c r="X14" s="193">
        <f t="shared" si="7"/>
        <v>0</v>
      </c>
      <c r="Y14" s="171">
        <f t="shared" si="2"/>
        <v>1</v>
      </c>
      <c r="Z14" s="103">
        <f t="shared" si="3"/>
        <v>0</v>
      </c>
    </row>
    <row r="15" spans="1:26" x14ac:dyDescent="0.25">
      <c r="A15" s="194" t="s">
        <v>159</v>
      </c>
      <c r="B15" s="194" t="s">
        <v>159</v>
      </c>
      <c r="C15" s="194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4">
        <f t="shared" si="0"/>
        <v>2019</v>
      </c>
      <c r="E15" s="192" t="s">
        <v>23</v>
      </c>
      <c r="F15" s="195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2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5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4">
        <f t="shared" si="4"/>
        <v>-114193.60000000001</v>
      </c>
      <c r="O15" s="195">
        <f t="shared" si="1"/>
        <v>0</v>
      </c>
      <c r="P15" s="205">
        <f t="shared" si="5"/>
        <v>114193.60000000001</v>
      </c>
      <c r="Q15" s="192">
        <f>IFERROR(VLOOKUP(A15,[1]Energiindhold!$A$2:$C$11,3,FALSE),IFERROR(VLOOKUP(A15,[1]Biogasudbytte!$A$2:$B$18,2,FALSE)*[1]Energiindhold!$C$10,0))*O15</f>
        <v>0</v>
      </c>
      <c r="R15" s="192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2">
        <f>IFERROR(VLOOKUP(A15,[1]Biogasudbytte!$A$2:$B$18,2,FALSE)*[1]Energiindhold!$C$10,0)*J15*IFERROR(VLOOKUP(A15,Biogasanlæg!$F$3:$G$8,2,FALSE),1)</f>
        <v>1.7355855896064003</v>
      </c>
      <c r="T15" s="193">
        <f t="shared" si="6"/>
        <v>0</v>
      </c>
      <c r="U15" s="191">
        <f>O15*IFERROR(VLOOKUP(A15,[1]Tørstofindhold!A$2:B$24,2,FALSE),0)</f>
        <v>0</v>
      </c>
      <c r="V15" s="192">
        <f>IF(D15=År1,P15,SUM(O15,P15))*IFERROR(VLOOKUP(A15,[1]Tørstofindhold!A$2:B$24,2,FALSE),0)</f>
        <v>102774.24</v>
      </c>
      <c r="W15" s="192">
        <f>J15*IFERROR(VLOOKUP(A15,[1]Tørstofindhold!A$2:B$24,2,FALSE),0)</f>
        <v>102774.24</v>
      </c>
      <c r="X15" s="193">
        <f t="shared" si="7"/>
        <v>0</v>
      </c>
      <c r="Y15" s="171">
        <f t="shared" si="2"/>
        <v>1</v>
      </c>
      <c r="Z15" s="103">
        <f t="shared" si="3"/>
        <v>0</v>
      </c>
    </row>
    <row r="16" spans="1:26" x14ac:dyDescent="0.25">
      <c r="A16" s="194" t="s">
        <v>51</v>
      </c>
      <c r="B16" s="194" t="s">
        <v>226</v>
      </c>
      <c r="C16" s="194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4">
        <f t="shared" ref="D16:D50" si="8">År1</f>
        <v>2019</v>
      </c>
      <c r="E16" s="192" t="s">
        <v>23</v>
      </c>
      <c r="F16" s="195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15863611.568544758</v>
      </c>
      <c r="G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2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5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4">
        <f t="shared" ref="N16:N81" si="9">F16-SUM(G16:M16)</f>
        <v>3550175.4953867961</v>
      </c>
      <c r="O16" s="195">
        <f t="shared" si="1"/>
        <v>3550175.4953867961</v>
      </c>
      <c r="P16" s="205">
        <f t="shared" ref="P16:P81" si="10">SUM(J16,L16)</f>
        <v>75746.163899662715</v>
      </c>
      <c r="Q16" s="192">
        <f>IFERROR(VLOOKUP(A16,[1]Energiindhold!$A$2:$C$11,3,FALSE),IFERROR(VLOOKUP(A16,[1]Biogasudbytte!$A$2:$B$18,2,FALSE)*[1]Energiindhold!$C$10,0))*O16</f>
        <v>6.5318791395747819</v>
      </c>
      <c r="R16" s="192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2">
        <f>IFERROR(VLOOKUP(A16,[1]Biogasudbytte!$A$2:$B$18,2,FALSE)*[1]Energiindhold!$C$10,0)*J16*IFERROR(VLOOKUP(A16,Biogasanlæg!$F$3:$G$8,2,FALSE),1)</f>
        <v>0.13936347330489193</v>
      </c>
      <c r="T16" s="193">
        <f t="shared" ref="T16:T81" si="11">R16-S16</f>
        <v>0</v>
      </c>
      <c r="U16" s="191">
        <f>O16*IFERROR(VLOOKUP(A16,[1]Tørstofindhold!A$2:B$24,2,FALSE),0)</f>
        <v>994049.13870830298</v>
      </c>
      <c r="V16" s="192">
        <f>IF(D16=År1,P16,SUM(O16,P16))*IFERROR(VLOOKUP(A16,[1]Tørstofindhold!A$2:B$24,2,FALSE),0)</f>
        <v>21208.925891905561</v>
      </c>
      <c r="W16" s="192">
        <f>J16*IFERROR(VLOOKUP(A16,[1]Tørstofindhold!A$2:B$24,2,FALSE),0)</f>
        <v>21208.925891905561</v>
      </c>
      <c r="X16" s="193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x14ac:dyDescent="0.25">
      <c r="A17" s="194" t="s">
        <v>205</v>
      </c>
      <c r="B17" s="194"/>
      <c r="C17" s="194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4">
        <f t="shared" si="8"/>
        <v>2019</v>
      </c>
      <c r="E17" s="192" t="s">
        <v>23</v>
      </c>
      <c r="F17" s="195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2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5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4">
        <f t="shared" si="9"/>
        <v>0</v>
      </c>
      <c r="O17" s="195">
        <f t="shared" si="1"/>
        <v>0</v>
      </c>
      <c r="P17" s="205">
        <f t="shared" si="10"/>
        <v>0</v>
      </c>
      <c r="Q17" s="192">
        <f>IFERROR(VLOOKUP(A17,[1]Energiindhold!$A$2:$C$11,3,FALSE),IFERROR(VLOOKUP(A17,[1]Biogasudbytte!$A$2:$B$18,2,FALSE)*[1]Energiindhold!$C$10,0))*O17</f>
        <v>0</v>
      </c>
      <c r="R17" s="192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2">
        <f>IFERROR(VLOOKUP(A17,[1]Biogasudbytte!$A$2:$B$18,2,FALSE)*[1]Energiindhold!$C$10,0)*J17*IFERROR(VLOOKUP(A17,Biogasanlæg!$F$3:$G$8,2,FALSE),1)</f>
        <v>0</v>
      </c>
      <c r="T17" s="193">
        <f t="shared" si="11"/>
        <v>0</v>
      </c>
      <c r="U17" s="191">
        <f>O17*IFERROR(VLOOKUP(A17,[1]Tørstofindhold!A$2:B$24,2,FALSE),0)</f>
        <v>0</v>
      </c>
      <c r="V17" s="192">
        <f>IF(D17=År1,P17,SUM(O17,P17))*IFERROR(VLOOKUP(A17,[1]Tørstofindhold!A$2:B$24,2,FALSE),0)</f>
        <v>0</v>
      </c>
      <c r="W17" s="192">
        <f>J17*IFERROR(VLOOKUP(A17,[1]Tørstofindhold!A$2:B$24,2,FALSE),0)</f>
        <v>0</v>
      </c>
      <c r="X17" s="193">
        <f t="shared" si="12"/>
        <v>0</v>
      </c>
      <c r="Y17" s="171">
        <f t="shared" si="2"/>
        <v>0</v>
      </c>
      <c r="Z17" s="103">
        <f t="shared" si="3"/>
        <v>0</v>
      </c>
    </row>
    <row r="18" spans="1:26" x14ac:dyDescent="0.25">
      <c r="A18" s="194" t="s">
        <v>6</v>
      </c>
      <c r="B18" s="194"/>
      <c r="C18" s="194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4">
        <f t="shared" si="8"/>
        <v>2019</v>
      </c>
      <c r="E18" s="192" t="s">
        <v>23</v>
      </c>
      <c r="F18" s="195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184529.62070571107</v>
      </c>
      <c r="G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2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5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4">
        <f t="shared" si="9"/>
        <v>-76844.925452788419</v>
      </c>
      <c r="O18" s="195">
        <f t="shared" si="1"/>
        <v>0</v>
      </c>
      <c r="P18" s="205">
        <f t="shared" si="10"/>
        <v>0</v>
      </c>
      <c r="Q18" s="192">
        <f>IFERROR(VLOOKUP(A18,[1]Energiindhold!$A$2:$C$11,3,FALSE),IFERROR(VLOOKUP(A18,[1]Biogasudbytte!$A$2:$B$18,2,FALSE)*[1]Energiindhold!$C$10,0))*O18</f>
        <v>0</v>
      </c>
      <c r="R18" s="192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2">
        <f>IFERROR(VLOOKUP(A18,[1]Biogasudbytte!$A$2:$B$18,2,FALSE)*[1]Energiindhold!$C$10,0)*J18*IFERROR(VLOOKUP(A18,Biogasanlæg!$F$3:$G$8,2,FALSE),1)</f>
        <v>0</v>
      </c>
      <c r="T18" s="193">
        <f t="shared" si="11"/>
        <v>0</v>
      </c>
      <c r="U18" s="191">
        <f>O18*IFERROR(VLOOKUP(A18,[1]Tørstofindhold!A$2:B$24,2,FALSE),0)</f>
        <v>0</v>
      </c>
      <c r="V18" s="192">
        <f>IF(D18=År1,P18,SUM(O18,P18))*IFERROR(VLOOKUP(A18,[1]Tørstofindhold!A$2:B$24,2,FALSE),0)</f>
        <v>0</v>
      </c>
      <c r="W18" s="192">
        <f>J18*IFERROR(VLOOKUP(A18,[1]Tørstofindhold!A$2:B$24,2,FALSE),0)</f>
        <v>0</v>
      </c>
      <c r="X18" s="193">
        <f t="shared" si="12"/>
        <v>0</v>
      </c>
      <c r="Y18" s="171">
        <f t="shared" si="2"/>
        <v>1</v>
      </c>
      <c r="Z18" s="103">
        <f t="shared" si="3"/>
        <v>0</v>
      </c>
    </row>
    <row r="19" spans="1:26" x14ac:dyDescent="0.25">
      <c r="A19" s="194" t="s">
        <v>68</v>
      </c>
      <c r="B19" s="194" t="s">
        <v>229</v>
      </c>
      <c r="C19" s="194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4">
        <f t="shared" si="8"/>
        <v>2019</v>
      </c>
      <c r="E19" s="192" t="s">
        <v>23</v>
      </c>
      <c r="F19" s="195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2714031.9406148358</v>
      </c>
      <c r="G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2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728216.84089200001</v>
      </c>
      <c r="I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5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4">
        <f t="shared" si="9"/>
        <v>0</v>
      </c>
      <c r="O19" s="195">
        <f t="shared" si="1"/>
        <v>0</v>
      </c>
      <c r="P19" s="205">
        <f t="shared" si="10"/>
        <v>1212729.2061799087</v>
      </c>
      <c r="Q19" s="192">
        <f>IFERROR(VLOOKUP(A19,[1]Energiindhold!$A$2:$C$11,3,FALSE),IFERROR(VLOOKUP(A19,[1]Biogasudbytte!$A$2:$B$18,2,FALSE)*[1]Energiindhold!$C$10,0))*O19</f>
        <v>0</v>
      </c>
      <c r="R19" s="192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2">
        <f>IFERROR(VLOOKUP(A19,[1]Biogasudbytte!$A$2:$B$18,2,FALSE)*[1]Energiindhold!$C$10,0)*J19*IFERROR(VLOOKUP(A19,Biogasanlæg!$F$3:$G$8,2,FALSE),1)</f>
        <v>0.3063744116894675</v>
      </c>
      <c r="T19" s="193">
        <f t="shared" si="11"/>
        <v>11.985300912376998</v>
      </c>
      <c r="U19" s="191">
        <f>O19*IFERROR(VLOOKUP(A19,[1]Tørstofindhold!A$2:B$24,2,FALSE),0)</f>
        <v>0</v>
      </c>
      <c r="V19" s="192">
        <f>IF(D19=År1,P19,SUM(O19,P19))*IFERROR(VLOOKUP(A19,[1]Tørstofindhold!A$2:B$24,2,FALSE),0)</f>
        <v>1030819.8252529224</v>
      </c>
      <c r="W19" s="192">
        <f>J19*IFERROR(VLOOKUP(A19,[1]Tørstofindhold!A$2:B$24,2,FALSE),0)</f>
        <v>45168.058835086973</v>
      </c>
      <c r="X19" s="193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x14ac:dyDescent="0.25">
      <c r="A20" s="194" t="s">
        <v>163</v>
      </c>
      <c r="B20" s="194" t="s">
        <v>232</v>
      </c>
      <c r="C20" s="194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4">
        <f t="shared" si="8"/>
        <v>2019</v>
      </c>
      <c r="E20" s="192" t="s">
        <v>23</v>
      </c>
      <c r="F20" s="195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530462.48766233202</v>
      </c>
      <c r="G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2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5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4">
        <f t="shared" si="9"/>
        <v>0</v>
      </c>
      <c r="O20" s="195">
        <f t="shared" si="1"/>
        <v>0</v>
      </c>
      <c r="P20" s="205">
        <f t="shared" si="10"/>
        <v>530462.48766233202</v>
      </c>
      <c r="Q20" s="192">
        <f>IFERROR(VLOOKUP(A20,[1]Energiindhold!$A$2:$C$11,3,FALSE),IFERROR(VLOOKUP(A20,[1]Biogasudbytte!$A$2:$B$18,2,FALSE)*[1]Energiindhold!$C$10,0))*O20</f>
        <v>0</v>
      </c>
      <c r="R20" s="192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2">
        <f>IFERROR(VLOOKUP(A20,[1]Biogasudbytte!$A$2:$B$18,2,FALSE)*[1]Energiindhold!$C$10,0)*J20*IFERROR(VLOOKUP(A20,Biogasanlæg!$F$3:$G$8,2,FALSE),1)</f>
        <v>7.148842760000421E-5</v>
      </c>
      <c r="T20" s="193">
        <f t="shared" si="11"/>
        <v>9.4691817325671721</v>
      </c>
      <c r="U20" s="191">
        <f>O20*IFERROR(VLOOKUP(A20,[1]Tørstofindhold!A$2:B$24,2,FALSE),0)</f>
        <v>0</v>
      </c>
      <c r="V20" s="192">
        <f>IF(D20=År1,P20,SUM(O20,P20))*IFERROR(VLOOKUP(A20,[1]Tørstofindhold!A$2:B$24,2,FALSE),0)</f>
        <v>159138.74629869961</v>
      </c>
      <c r="W20" s="192">
        <f>J20*IFERROR(VLOOKUP(A20,[1]Tørstofindhold!A$2:B$24,2,FALSE),0)</f>
        <v>12.629943571231609</v>
      </c>
      <c r="X20" s="193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x14ac:dyDescent="0.25">
      <c r="A21" s="192" t="s">
        <v>160</v>
      </c>
      <c r="B21" s="194"/>
      <c r="C21" s="194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4">
        <f t="shared" si="8"/>
        <v>2019</v>
      </c>
      <c r="E21" s="192" t="s">
        <v>23</v>
      </c>
      <c r="F21" s="195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2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5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4">
        <f t="shared" si="9"/>
        <v>-4828427.5390456235</v>
      </c>
      <c r="O21" s="195">
        <f t="shared" si="1"/>
        <v>0</v>
      </c>
      <c r="P21" s="205">
        <f t="shared" si="10"/>
        <v>0</v>
      </c>
      <c r="Q21" s="192">
        <f>IFERROR(VLOOKUP(A21,[1]Energiindhold!$A$2:$C$11,3,FALSE),IFERROR(VLOOKUP(A21,[1]Biogasudbytte!$A$2:$B$18,2,FALSE)*[1]Energiindhold!$C$10,0))*O21</f>
        <v>0</v>
      </c>
      <c r="R21" s="192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2">
        <f>IFERROR(VLOOKUP(A21,[1]Biogasudbytte!$A$2:$B$18,2,FALSE)*[1]Energiindhold!$C$10,0)*J21*IFERROR(VLOOKUP(A21,Biogasanlæg!$F$3:$G$8,2,FALSE),1)</f>
        <v>0</v>
      </c>
      <c r="T21" s="193">
        <f t="shared" si="11"/>
        <v>0</v>
      </c>
      <c r="U21" s="191">
        <f>O21*IFERROR(VLOOKUP(A21,[1]Tørstofindhold!A$2:B$24,2,FALSE),0)</f>
        <v>0</v>
      </c>
      <c r="V21" s="192">
        <f>IF(D21=År1,P21,SUM(O21,P21))*IFERROR(VLOOKUP(A21,[1]Tørstofindhold!A$2:B$24,2,FALSE),0)</f>
        <v>0</v>
      </c>
      <c r="W21" s="192">
        <f>J21*IFERROR(VLOOKUP(A21,[1]Tørstofindhold!A$2:B$24,2,FALSE),0)</f>
        <v>0</v>
      </c>
      <c r="X21" s="193">
        <f t="shared" si="12"/>
        <v>0</v>
      </c>
      <c r="Y21" s="171">
        <f t="shared" si="2"/>
        <v>1</v>
      </c>
      <c r="Z21" s="103">
        <f t="shared" si="3"/>
        <v>0</v>
      </c>
    </row>
    <row r="22" spans="1:26" x14ac:dyDescent="0.25">
      <c r="A22" s="194" t="s">
        <v>104</v>
      </c>
      <c r="B22" s="194" t="s">
        <v>232</v>
      </c>
      <c r="C22" s="194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4">
        <f t="shared" si="8"/>
        <v>2019</v>
      </c>
      <c r="E22" s="192" t="s">
        <v>23</v>
      </c>
      <c r="F22" s="195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513042.22037196398</v>
      </c>
      <c r="G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2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5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4">
        <f t="shared" si="9"/>
        <v>-203061.53166372905</v>
      </c>
      <c r="O22" s="195">
        <f t="shared" si="1"/>
        <v>0</v>
      </c>
      <c r="P22" s="205">
        <f t="shared" si="10"/>
        <v>716103.75203569303</v>
      </c>
      <c r="Q22" s="192">
        <f>IFERROR(VLOOKUP(A22,[1]Energiindhold!$A$2:$C$11,3,FALSE),IFERROR(VLOOKUP(A22,[1]Biogasudbytte!$A$2:$B$18,2,FALSE)*[1]Energiindhold!$C$10,0))*O22</f>
        <v>0</v>
      </c>
      <c r="R22" s="192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2">
        <f>IFERROR(VLOOKUP(A22,[1]Biogasudbytte!$A$2:$B$18,2,FALSE)*[1]Energiindhold!$C$10,0)*J22*IFERROR(VLOOKUP(A22,Biogasanlæg!$F$3:$G$8,2,FALSE),1)</f>
        <v>2.637525053399659</v>
      </c>
      <c r="T22" s="193">
        <f t="shared" si="11"/>
        <v>0</v>
      </c>
      <c r="U22" s="191">
        <f>O22*IFERROR(VLOOKUP(A22,[1]Tørstofindhold!A$2:B$24,2,FALSE),0)</f>
        <v>0</v>
      </c>
      <c r="V22" s="192">
        <f>IF(D22=År1,P22,SUM(O22,P22))*IFERROR(VLOOKUP(A22,[1]Tørstofindhold!A$2:B$24,2,FALSE),0)</f>
        <v>300763.57585499104</v>
      </c>
      <c r="W22" s="192">
        <f>J22*IFERROR(VLOOKUP(A22,[1]Tørstofindhold!A$2:B$24,2,FALSE),0)</f>
        <v>300763.57585499104</v>
      </c>
      <c r="X22" s="193">
        <f t="shared" si="12"/>
        <v>0</v>
      </c>
      <c r="Y22" s="171">
        <f t="shared" si="2"/>
        <v>1</v>
      </c>
      <c r="Z22" s="103">
        <f t="shared" si="3"/>
        <v>0</v>
      </c>
    </row>
    <row r="23" spans="1:26" x14ac:dyDescent="0.25">
      <c r="A23" s="194" t="s">
        <v>56</v>
      </c>
      <c r="B23" s="194"/>
      <c r="C23" s="194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4">
        <f t="shared" si="8"/>
        <v>2019</v>
      </c>
      <c r="E23" s="192" t="s">
        <v>23</v>
      </c>
      <c r="F23" s="195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765723.03528474667</v>
      </c>
      <c r="G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2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5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4">
        <f t="shared" si="9"/>
        <v>765723.03528474667</v>
      </c>
      <c r="O23" s="195">
        <f t="shared" si="1"/>
        <v>0</v>
      </c>
      <c r="P23" s="205">
        <f t="shared" si="10"/>
        <v>0</v>
      </c>
      <c r="Q23" s="192">
        <f>IFERROR(VLOOKUP(A23,[1]Energiindhold!$A$2:$C$11,3,FALSE),IFERROR(VLOOKUP(A23,[1]Biogasudbytte!$A$2:$B$18,2,FALSE)*[1]Energiindhold!$C$10,0))*O23</f>
        <v>0</v>
      </c>
      <c r="R23" s="192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2">
        <f>IFERROR(VLOOKUP(A23,[1]Biogasudbytte!$A$2:$B$18,2,FALSE)*[1]Energiindhold!$C$10,0)*J23*IFERROR(VLOOKUP(A23,Biogasanlæg!$F$3:$G$8,2,FALSE),1)</f>
        <v>0</v>
      </c>
      <c r="T23" s="193">
        <f t="shared" si="11"/>
        <v>0</v>
      </c>
      <c r="U23" s="191">
        <f>O23*IFERROR(VLOOKUP(A23,[1]Tørstofindhold!A$2:B$24,2,FALSE),0)</f>
        <v>0</v>
      </c>
      <c r="V23" s="192">
        <f>IF(D23=År1,P23,SUM(O23,P23))*IFERROR(VLOOKUP(A23,[1]Tørstofindhold!A$2:B$24,2,FALSE),0)</f>
        <v>0</v>
      </c>
      <c r="W23" s="192">
        <f>J23*IFERROR(VLOOKUP(A23,[1]Tørstofindhold!A$2:B$24,2,FALSE),0)</f>
        <v>0</v>
      </c>
      <c r="X23" s="193">
        <f t="shared" si="12"/>
        <v>0</v>
      </c>
      <c r="Y23" s="171">
        <f t="shared" si="2"/>
        <v>0</v>
      </c>
      <c r="Z23" s="103">
        <f t="shared" si="3"/>
        <v>1</v>
      </c>
    </row>
    <row r="24" spans="1:26" x14ac:dyDescent="0.25">
      <c r="A24" s="194" t="s">
        <v>12</v>
      </c>
      <c r="B24" s="194"/>
      <c r="C24" s="194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4">
        <f t="shared" si="8"/>
        <v>2019</v>
      </c>
      <c r="E24" s="192" t="s">
        <v>23</v>
      </c>
      <c r="F24" s="195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2145904.0489790672</v>
      </c>
      <c r="G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2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5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4">
        <f t="shared" si="9"/>
        <v>2026381.0153085976</v>
      </c>
      <c r="O24" s="195">
        <f t="shared" si="1"/>
        <v>0</v>
      </c>
      <c r="P24" s="205">
        <f t="shared" si="10"/>
        <v>0</v>
      </c>
      <c r="Q24" s="192">
        <f>IFERROR(VLOOKUP(A24,[1]Energiindhold!$A$2:$C$11,3,FALSE),IFERROR(VLOOKUP(A24,[1]Biogasudbytte!$A$2:$B$18,2,FALSE)*[1]Energiindhold!$C$10,0))*O24</f>
        <v>0</v>
      </c>
      <c r="R24" s="192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2">
        <f>IFERROR(VLOOKUP(A24,[1]Biogasudbytte!$A$2:$B$18,2,FALSE)*[1]Energiindhold!$C$10,0)*J24*IFERROR(VLOOKUP(A24,Biogasanlæg!$F$3:$G$8,2,FALSE),1)</f>
        <v>0</v>
      </c>
      <c r="T24" s="193">
        <f t="shared" si="11"/>
        <v>0</v>
      </c>
      <c r="U24" s="191">
        <f>O24*IFERROR(VLOOKUP(A24,[1]Tørstofindhold!A$2:B$24,2,FALSE),0)</f>
        <v>0</v>
      </c>
      <c r="V24" s="192">
        <f>IF(D24=År1,P24,SUM(O24,P24))*IFERROR(VLOOKUP(A24,[1]Tørstofindhold!A$2:B$24,2,FALSE),0)</f>
        <v>0</v>
      </c>
      <c r="W24" s="192">
        <f>J24*IFERROR(VLOOKUP(A24,[1]Tørstofindhold!A$2:B$24,2,FALSE),0)</f>
        <v>0</v>
      </c>
      <c r="X24" s="193">
        <f t="shared" si="12"/>
        <v>0</v>
      </c>
      <c r="Y24" s="171">
        <f t="shared" si="2"/>
        <v>0</v>
      </c>
      <c r="Z24" s="103">
        <f t="shared" si="3"/>
        <v>1</v>
      </c>
    </row>
    <row r="25" spans="1:26" x14ac:dyDescent="0.25">
      <c r="A25" s="194" t="s">
        <v>48</v>
      </c>
      <c r="B25" s="194" t="s">
        <v>229</v>
      </c>
      <c r="C25" s="194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4">
        <f t="shared" si="8"/>
        <v>2019</v>
      </c>
      <c r="E25" s="192" t="s">
        <v>23</v>
      </c>
      <c r="F25" s="195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6833990.0005322779</v>
      </c>
      <c r="G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2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5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4">
        <f t="shared" si="9"/>
        <v>665604.70837060641</v>
      </c>
      <c r="O25" s="195">
        <f t="shared" si="1"/>
        <v>665604.70837060641</v>
      </c>
      <c r="P25" s="205">
        <f t="shared" si="10"/>
        <v>2840.1853290986264</v>
      </c>
      <c r="Q25" s="192">
        <f>IFERROR(VLOOKUP(A25,[1]Energiindhold!$A$2:$C$11,3,FALSE),IFERROR(VLOOKUP(A25,[1]Biogasudbytte!$A$2:$B$18,2,FALSE)*[1]Energiindhold!$C$10,0))*O25</f>
        <v>2.2796029415101553</v>
      </c>
      <c r="R25" s="192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2">
        <f>IFERROR(VLOOKUP(A25,[1]Biogasudbytte!$A$2:$B$18,2,FALSE)*[1]Energiindhold!$C$10,0)*J25*IFERROR(VLOOKUP(A25,Biogasanlæg!$F$3:$G$8,2,FALSE),1)</f>
        <v>9.7272371262167243E-3</v>
      </c>
      <c r="T25" s="193">
        <f t="shared" si="11"/>
        <v>0</v>
      </c>
      <c r="U25" s="191">
        <f>O25*IFERROR(VLOOKUP(A25,[1]Tørstofindhold!A$2:B$24,2,FALSE),0)</f>
        <v>206337.459594888</v>
      </c>
      <c r="V25" s="192">
        <f>IF(D25=År1,P25,SUM(O25,P25))*IFERROR(VLOOKUP(A25,[1]Tørstofindhold!A$2:B$24,2,FALSE),0)</f>
        <v>880.45745202057424</v>
      </c>
      <c r="W25" s="192">
        <f>J25*IFERROR(VLOOKUP(A25,[1]Tørstofindhold!A$2:B$24,2,FALSE),0)</f>
        <v>880.45745202057424</v>
      </c>
      <c r="X25" s="193">
        <f t="shared" si="12"/>
        <v>0</v>
      </c>
      <c r="Y25" s="171">
        <f t="shared" si="2"/>
        <v>0</v>
      </c>
      <c r="Z25" s="103">
        <f t="shared" si="3"/>
        <v>1</v>
      </c>
    </row>
    <row r="26" spans="1:26" x14ac:dyDescent="0.25">
      <c r="A26" s="194" t="s">
        <v>116</v>
      </c>
      <c r="B26" s="194"/>
      <c r="C26" s="194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4">
        <f t="shared" si="8"/>
        <v>2019</v>
      </c>
      <c r="E26" s="192" t="s">
        <v>23</v>
      </c>
      <c r="F26" s="195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2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5" t="e">
        <f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#REF!</v>
      </c>
      <c r="L26" s="195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4" t="e">
        <f t="shared" si="9"/>
        <v>#REF!</v>
      </c>
      <c r="O26" s="195">
        <f t="shared" si="1"/>
        <v>0</v>
      </c>
      <c r="P26" s="205">
        <f t="shared" si="10"/>
        <v>0</v>
      </c>
      <c r="Q26" s="192">
        <f>IFERROR(VLOOKUP(A26,[1]Energiindhold!$A$2:$C$11,3,FALSE),IFERROR(VLOOKUP(A26,[1]Biogasudbytte!$A$2:$B$18,2,FALSE)*[1]Energiindhold!$C$10,0))*O26</f>
        <v>0</v>
      </c>
      <c r="R26" s="192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2">
        <f>IFERROR(VLOOKUP(A26,[1]Biogasudbytte!$A$2:$B$18,2,FALSE)*[1]Energiindhold!$C$10,0)*J26*IFERROR(VLOOKUP(A26,Biogasanlæg!$F$3:$G$8,2,FALSE),1)</f>
        <v>0</v>
      </c>
      <c r="T26" s="193">
        <f t="shared" si="11"/>
        <v>0</v>
      </c>
      <c r="U26" s="191">
        <f>O26*IFERROR(VLOOKUP(A26,[1]Tørstofindhold!A$2:B$24,2,FALSE),0)</f>
        <v>0</v>
      </c>
      <c r="V26" s="192">
        <f>IF(D26=År1,P26,SUM(O26,P26))*IFERROR(VLOOKUP(A26,[1]Tørstofindhold!A$2:B$24,2,FALSE),0)</f>
        <v>0</v>
      </c>
      <c r="W26" s="192">
        <f>J26*IFERROR(VLOOKUP(A26,[1]Tørstofindhold!A$2:B$24,2,FALSE),0)</f>
        <v>0</v>
      </c>
      <c r="X26" s="193">
        <f t="shared" si="12"/>
        <v>0</v>
      </c>
      <c r="Y26" s="171" t="e">
        <f t="shared" si="2"/>
        <v>#REF!</v>
      </c>
      <c r="Z26" s="103" t="e">
        <f t="shared" si="3"/>
        <v>#REF!</v>
      </c>
    </row>
    <row r="27" spans="1:26" x14ac:dyDescent="0.25">
      <c r="A27" s="194" t="s">
        <v>137</v>
      </c>
      <c r="B27" s="194" t="s">
        <v>224</v>
      </c>
      <c r="C27" s="194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4">
        <f t="shared" si="8"/>
        <v>2019</v>
      </c>
      <c r="E27" s="192" t="s">
        <v>23</v>
      </c>
      <c r="F27" s="195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13124915.780770566</v>
      </c>
      <c r="G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2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6000958.9027446285</v>
      </c>
      <c r="L27" s="195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4">
        <f t="shared" si="9"/>
        <v>3057092.2712095287</v>
      </c>
      <c r="O27" s="195">
        <f t="shared" si="1"/>
        <v>3057092.2712095287</v>
      </c>
      <c r="P27" s="205">
        <f t="shared" si="10"/>
        <v>4066864.6068164087</v>
      </c>
      <c r="Q27" s="192">
        <f>IFERROR(VLOOKUP(A27,[1]Energiindhold!$A$2:$C$11,3,FALSE),IFERROR(VLOOKUP(A27,[1]Biogasudbytte!$A$2:$B$18,2,FALSE)*[1]Energiindhold!$C$10,0))*O27</f>
        <v>1.5474695367635516</v>
      </c>
      <c r="R27" s="192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2">
        <f>IFERROR(VLOOKUP(A27,[1]Biogasudbytte!$A$2:$B$18,2,FALSE)*[1]Energiindhold!$C$10,0)*J27*IFERROR(VLOOKUP(A27,Biogasanlæg!$F$3:$G$8,2,FALSE),1)</f>
        <v>2.0586061953243981</v>
      </c>
      <c r="T27" s="193">
        <f t="shared" si="11"/>
        <v>0</v>
      </c>
      <c r="U27" s="191">
        <f>O27*IFERROR(VLOOKUP(A27,[1]Tørstofindhold!A$2:B$24,2,FALSE),0)</f>
        <v>232339.01261192418</v>
      </c>
      <c r="V27" s="192">
        <f>IF(D27=År1,P27,SUM(O27,P27))*IFERROR(VLOOKUP(A27,[1]Tørstofindhold!A$2:B$24,2,FALSE),0)</f>
        <v>309081.71011804708</v>
      </c>
      <c r="W27" s="192">
        <f>J27*IFERROR(VLOOKUP(A27,[1]Tørstofindhold!A$2:B$24,2,FALSE),0)</f>
        <v>309081.71011804708</v>
      </c>
      <c r="X27" s="193">
        <f t="shared" si="12"/>
        <v>0</v>
      </c>
      <c r="Y27" s="171">
        <f t="shared" si="2"/>
        <v>0</v>
      </c>
      <c r="Z27" s="103">
        <f t="shared" si="3"/>
        <v>1</v>
      </c>
    </row>
    <row r="28" spans="1:26" x14ac:dyDescent="0.25">
      <c r="A28" s="194" t="s">
        <v>109</v>
      </c>
      <c r="B28" s="194"/>
      <c r="C28" s="194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4">
        <f t="shared" si="8"/>
        <v>2019</v>
      </c>
      <c r="E28" s="192" t="s">
        <v>23</v>
      </c>
      <c r="F28" s="195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1638157.7192038004</v>
      </c>
      <c r="G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2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5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4">
        <f t="shared" si="9"/>
        <v>122443.54553678865</v>
      </c>
      <c r="O28" s="195">
        <f t="shared" si="1"/>
        <v>0</v>
      </c>
      <c r="P28" s="205">
        <f t="shared" si="10"/>
        <v>0</v>
      </c>
      <c r="Q28" s="192">
        <f>IFERROR(VLOOKUP(A28,[1]Energiindhold!$A$2:$C$11,3,FALSE),IFERROR(VLOOKUP(A28,[1]Biogasudbytte!$A$2:$B$18,2,FALSE)*[1]Energiindhold!$C$10,0))*O28</f>
        <v>0</v>
      </c>
      <c r="R28" s="192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2">
        <f>IFERROR(VLOOKUP(A28,[1]Biogasudbytte!$A$2:$B$18,2,FALSE)*[1]Energiindhold!$C$10,0)*J28*IFERROR(VLOOKUP(A28,Biogasanlæg!$F$3:$G$8,2,FALSE),1)</f>
        <v>0</v>
      </c>
      <c r="T28" s="193">
        <f t="shared" si="11"/>
        <v>0</v>
      </c>
      <c r="U28" s="191">
        <f>O28*IFERROR(VLOOKUP(A28,[1]Tørstofindhold!A$2:B$24,2,FALSE),0)</f>
        <v>0</v>
      </c>
      <c r="V28" s="192">
        <f>IF(D28=År1,P28,SUM(O28,P28))*IFERROR(VLOOKUP(A28,[1]Tørstofindhold!A$2:B$24,2,FALSE),0)</f>
        <v>0</v>
      </c>
      <c r="W28" s="192">
        <f>J28*IFERROR(VLOOKUP(A28,[1]Tørstofindhold!A$2:B$24,2,FALSE),0)</f>
        <v>0</v>
      </c>
      <c r="X28" s="193">
        <f t="shared" si="12"/>
        <v>0</v>
      </c>
      <c r="Y28" s="171">
        <f t="shared" si="2"/>
        <v>0</v>
      </c>
      <c r="Z28" s="103">
        <f t="shared" si="3"/>
        <v>1</v>
      </c>
    </row>
    <row r="29" spans="1:26" x14ac:dyDescent="0.25">
      <c r="A29" s="192" t="s">
        <v>53</v>
      </c>
      <c r="B29" s="194" t="s">
        <v>226</v>
      </c>
      <c r="C29" s="194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4">
        <f t="shared" si="8"/>
        <v>2019</v>
      </c>
      <c r="E29" s="192" t="s">
        <v>23</v>
      </c>
      <c r="F29" s="195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7581538.5357748987</v>
      </c>
      <c r="G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2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5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4">
        <f t="shared" si="9"/>
        <v>1609663.314373374</v>
      </c>
      <c r="O29" s="195">
        <f t="shared" si="1"/>
        <v>1266262.2462674922</v>
      </c>
      <c r="P29" s="205">
        <f t="shared" si="10"/>
        <v>314821.43493156106</v>
      </c>
      <c r="Q29" s="192">
        <f>IFERROR(VLOOKUP(A29,[1]Energiindhold!$A$2:$C$11,3,FALSE),IFERROR(VLOOKUP(A29,[1]Biogasudbytte!$A$2:$B$18,2,FALSE)*[1]Energiindhold!$C$10,0))*O29</f>
        <v>4.5458814641002974</v>
      </c>
      <c r="R29" s="192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2">
        <f>IFERROR(VLOOKUP(A29,[1]Biogasudbytte!$A$2:$B$18,2,FALSE)*[1]Energiindhold!$C$10,0)*J29*IFERROR(VLOOKUP(A29,Biogasanlæg!$F$3:$G$8,2,FALSE),1)</f>
        <v>1.1302089514043043</v>
      </c>
      <c r="T29" s="193">
        <f t="shared" si="11"/>
        <v>0</v>
      </c>
      <c r="U29" s="191">
        <f>O29*IFERROR(VLOOKUP(A29,[1]Tørstofindhold!A$2:B$24,2,FALSE),0)</f>
        <v>379878.67388024763</v>
      </c>
      <c r="V29" s="192">
        <f>IF(D29=År1,P29,SUM(O29,P29))*IFERROR(VLOOKUP(A29,[1]Tørstofindhold!A$2:B$24,2,FALSE),0)</f>
        <v>94446.430479468312</v>
      </c>
      <c r="W29" s="192">
        <f>J29*IFERROR(VLOOKUP(A29,[1]Tørstofindhold!A$2:B$24,2,FALSE),0)</f>
        <v>94446.430479468312</v>
      </c>
      <c r="X29" s="193">
        <f t="shared" si="12"/>
        <v>0</v>
      </c>
      <c r="Y29" s="171">
        <f t="shared" si="2"/>
        <v>0</v>
      </c>
      <c r="Z29" s="103">
        <f t="shared" si="3"/>
        <v>1</v>
      </c>
    </row>
    <row r="30" spans="1:26" x14ac:dyDescent="0.25">
      <c r="A30" s="194" t="s">
        <v>117</v>
      </c>
      <c r="B30" s="194"/>
      <c r="C30" s="194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4">
        <f t="shared" si="8"/>
        <v>2019</v>
      </c>
      <c r="E30" s="192" t="s">
        <v>23</v>
      </c>
      <c r="F30" s="195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3160794.2116654618</v>
      </c>
      <c r="G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2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5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4">
        <f t="shared" si="9"/>
        <v>2703717.1158706988</v>
      </c>
      <c r="O30" s="195">
        <f t="shared" si="1"/>
        <v>0</v>
      </c>
      <c r="P30" s="205">
        <f t="shared" si="10"/>
        <v>0</v>
      </c>
      <c r="Q30" s="192">
        <f>IFERROR(VLOOKUP(A30,[1]Energiindhold!$A$2:$C$11,3,FALSE),IFERROR(VLOOKUP(A30,[1]Biogasudbytte!$A$2:$B$18,2,FALSE)*[1]Energiindhold!$C$10,0))*O30</f>
        <v>0</v>
      </c>
      <c r="R30" s="192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2">
        <f>IFERROR(VLOOKUP(A30,[1]Biogasudbytte!$A$2:$B$18,2,FALSE)*[1]Energiindhold!$C$10,0)*J30*IFERROR(VLOOKUP(A30,Biogasanlæg!$F$3:$G$8,2,FALSE),1)</f>
        <v>0</v>
      </c>
      <c r="T30" s="193">
        <f t="shared" si="11"/>
        <v>0</v>
      </c>
      <c r="U30" s="191">
        <f>O30*IFERROR(VLOOKUP(A30,[1]Tørstofindhold!A$2:B$24,2,FALSE),0)</f>
        <v>0</v>
      </c>
      <c r="V30" s="192">
        <f>IF(D30=År1,P30,SUM(O30,P30))*IFERROR(VLOOKUP(A30,[1]Tørstofindhold!A$2:B$24,2,FALSE),0)</f>
        <v>0</v>
      </c>
      <c r="W30" s="192">
        <f>J30*IFERROR(VLOOKUP(A30,[1]Tørstofindhold!A$2:B$24,2,FALSE),0)</f>
        <v>0</v>
      </c>
      <c r="X30" s="193">
        <f t="shared" si="12"/>
        <v>0</v>
      </c>
      <c r="Y30" s="171">
        <f t="shared" si="2"/>
        <v>0</v>
      </c>
      <c r="Z30" s="103">
        <f t="shared" si="3"/>
        <v>1</v>
      </c>
    </row>
    <row r="31" spans="1:26" x14ac:dyDescent="0.25">
      <c r="A31" s="194" t="s">
        <v>107</v>
      </c>
      <c r="B31" s="194" t="s">
        <v>228</v>
      </c>
      <c r="C31" s="194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4">
        <f t="shared" si="8"/>
        <v>2019</v>
      </c>
      <c r="E31" s="192" t="s">
        <v>23</v>
      </c>
      <c r="F31" s="195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878.90231344976178</v>
      </c>
      <c r="G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2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5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4">
        <f t="shared" si="9"/>
        <v>878.90231344976178</v>
      </c>
      <c r="O31" s="195">
        <f t="shared" si="1"/>
        <v>878.90231344976178</v>
      </c>
      <c r="P31" s="205">
        <f t="shared" si="10"/>
        <v>0</v>
      </c>
      <c r="Q31" s="192">
        <f>IFERROR(VLOOKUP(A31,[1]Energiindhold!$A$2:$C$11,3,FALSE),IFERROR(VLOOKUP(A31,[1]Biogasudbytte!$A$2:$B$18,2,FALSE)*[1]Energiindhold!$C$10,0))*O31</f>
        <v>7.8881482632116122E-4</v>
      </c>
      <c r="R31" s="192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2">
        <f>IFERROR(VLOOKUP(A31,[1]Biogasudbytte!$A$2:$B$18,2,FALSE)*[1]Energiindhold!$C$10,0)*J31*IFERROR(VLOOKUP(A31,Biogasanlæg!$F$3:$G$8,2,FALSE),1)</f>
        <v>0</v>
      </c>
      <c r="T31" s="193">
        <f t="shared" si="11"/>
        <v>0</v>
      </c>
      <c r="U31" s="191">
        <f>O31*IFERROR(VLOOKUP(A31,[1]Tørstofindhold!A$2:B$24,2,FALSE),0)</f>
        <v>131.83534701746427</v>
      </c>
      <c r="V31" s="192">
        <f>IF(D31=År1,P31,SUM(O31,P31))*IFERROR(VLOOKUP(A31,[1]Tørstofindhold!A$2:B$24,2,FALSE),0)</f>
        <v>0</v>
      </c>
      <c r="W31" s="192">
        <f>J31*IFERROR(VLOOKUP(A31,[1]Tørstofindhold!A$2:B$24,2,FALSE),0)</f>
        <v>0</v>
      </c>
      <c r="X31" s="193">
        <f t="shared" si="12"/>
        <v>0</v>
      </c>
      <c r="Y31" s="171">
        <f t="shared" si="2"/>
        <v>0</v>
      </c>
      <c r="Z31" s="103">
        <f t="shared" si="3"/>
        <v>1</v>
      </c>
    </row>
    <row r="32" spans="1:26" x14ac:dyDescent="0.25">
      <c r="A32" s="194" t="s">
        <v>14</v>
      </c>
      <c r="B32" s="194"/>
      <c r="C32" s="194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4">
        <f t="shared" si="8"/>
        <v>2019</v>
      </c>
      <c r="E32" s="192" t="s">
        <v>23</v>
      </c>
      <c r="F32" s="195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108094.85577035608</v>
      </c>
      <c r="G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2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5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4">
        <f t="shared" si="9"/>
        <v>50014.542046090508</v>
      </c>
      <c r="O32" s="195">
        <f t="shared" si="1"/>
        <v>0</v>
      </c>
      <c r="P32" s="205">
        <f t="shared" si="10"/>
        <v>0</v>
      </c>
      <c r="Q32" s="192">
        <f>IFERROR(VLOOKUP(A32,[1]Energiindhold!$A$2:$C$11,3,FALSE),IFERROR(VLOOKUP(A32,[1]Biogasudbytte!$A$2:$B$18,2,FALSE)*[1]Energiindhold!$C$10,0))*O32</f>
        <v>0</v>
      </c>
      <c r="R32" s="192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2">
        <f>IFERROR(VLOOKUP(A32,[1]Biogasudbytte!$A$2:$B$18,2,FALSE)*[1]Energiindhold!$C$10,0)*J32*IFERROR(VLOOKUP(A32,Biogasanlæg!$F$3:$G$8,2,FALSE),1)</f>
        <v>0</v>
      </c>
      <c r="T32" s="193">
        <f t="shared" si="11"/>
        <v>0</v>
      </c>
      <c r="U32" s="191">
        <f>O32*IFERROR(VLOOKUP(A32,[1]Tørstofindhold!A$2:B$24,2,FALSE),0)</f>
        <v>0</v>
      </c>
      <c r="V32" s="192">
        <f>IF(D32=År1,P32,SUM(O32,P32))*IFERROR(VLOOKUP(A32,[1]Tørstofindhold!A$2:B$24,2,FALSE),0)</f>
        <v>0</v>
      </c>
      <c r="W32" s="192">
        <f>J32*IFERROR(VLOOKUP(A32,[1]Tørstofindhold!A$2:B$24,2,FALSE),0)</f>
        <v>0</v>
      </c>
      <c r="X32" s="193">
        <f t="shared" si="12"/>
        <v>0</v>
      </c>
      <c r="Y32" s="171">
        <f t="shared" si="2"/>
        <v>0</v>
      </c>
      <c r="Z32" s="103">
        <f t="shared" si="3"/>
        <v>1</v>
      </c>
    </row>
    <row r="33" spans="1:26" x14ac:dyDescent="0.25">
      <c r="A33" s="194" t="s">
        <v>55</v>
      </c>
      <c r="B33" s="194"/>
      <c r="C33" s="194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4">
        <f t="shared" si="8"/>
        <v>2019</v>
      </c>
      <c r="E33" s="192" t="s">
        <v>23</v>
      </c>
      <c r="F33" s="195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1609044.2994914718</v>
      </c>
      <c r="G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2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5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4">
        <f t="shared" si="9"/>
        <v>1609044.2994914718</v>
      </c>
      <c r="O33" s="195">
        <f t="shared" si="1"/>
        <v>0</v>
      </c>
      <c r="P33" s="205">
        <f t="shared" si="10"/>
        <v>0</v>
      </c>
      <c r="Q33" s="192">
        <f>IFERROR(VLOOKUP(A33,[1]Energiindhold!$A$2:$C$11,3,FALSE),IFERROR(VLOOKUP(A33,[1]Biogasudbytte!$A$2:$B$18,2,FALSE)*[1]Energiindhold!$C$10,0))*O33</f>
        <v>0</v>
      </c>
      <c r="R33" s="192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2">
        <f>IFERROR(VLOOKUP(A33,[1]Biogasudbytte!$A$2:$B$18,2,FALSE)*[1]Energiindhold!$C$10,0)*J33*IFERROR(VLOOKUP(A33,Biogasanlæg!$F$3:$G$8,2,FALSE),1)</f>
        <v>0</v>
      </c>
      <c r="T33" s="193">
        <f t="shared" si="11"/>
        <v>0</v>
      </c>
      <c r="U33" s="191">
        <f>O33*IFERROR(VLOOKUP(A33,[1]Tørstofindhold!A$2:B$24,2,FALSE),0)</f>
        <v>0</v>
      </c>
      <c r="V33" s="192">
        <f>IF(D33=År1,P33,SUM(O33,P33))*IFERROR(VLOOKUP(A33,[1]Tørstofindhold!A$2:B$24,2,FALSE),0)</f>
        <v>0</v>
      </c>
      <c r="W33" s="192">
        <f>J33*IFERROR(VLOOKUP(A33,[1]Tørstofindhold!A$2:B$24,2,FALSE),0)</f>
        <v>0</v>
      </c>
      <c r="X33" s="193">
        <f t="shared" si="12"/>
        <v>0</v>
      </c>
      <c r="Y33" s="171">
        <f t="shared" si="2"/>
        <v>0</v>
      </c>
      <c r="Z33" s="103">
        <f t="shared" si="3"/>
        <v>1</v>
      </c>
    </row>
    <row r="34" spans="1:26" x14ac:dyDescent="0.25">
      <c r="A34" s="194" t="s">
        <v>96</v>
      </c>
      <c r="B34" s="194" t="s">
        <v>227</v>
      </c>
      <c r="C34" s="194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4">
        <f t="shared" si="8"/>
        <v>2019</v>
      </c>
      <c r="E34" s="192" t="s">
        <v>23</v>
      </c>
      <c r="F34" s="195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172205.06744997756</v>
      </c>
      <c r="G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2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5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4">
        <f t="shared" si="9"/>
        <v>0</v>
      </c>
      <c r="O34" s="195">
        <f t="shared" si="1"/>
        <v>0</v>
      </c>
      <c r="P34" s="205">
        <f t="shared" si="10"/>
        <v>172205.06744997756</v>
      </c>
      <c r="Q34" s="192">
        <f>IFERROR(VLOOKUP(A34,[1]Energiindhold!$A$2:$C$11,3,FALSE),IFERROR(VLOOKUP(A34,[1]Biogasudbytte!$A$2:$B$18,2,FALSE)*[1]Energiindhold!$C$10,0))*O34</f>
        <v>0</v>
      </c>
      <c r="R34" s="192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2">
        <f>IFERROR(VLOOKUP(A34,[1]Biogasudbytte!$A$2:$B$18,2,FALSE)*[1]Energiindhold!$C$10,0)*J34*IFERROR(VLOOKUP(A34,Biogasanlæg!$F$3:$G$8,2,FALSE),1)</f>
        <v>0</v>
      </c>
      <c r="T34" s="193">
        <f t="shared" si="11"/>
        <v>3.1685732410795864</v>
      </c>
      <c r="U34" s="191">
        <f>O34*IFERROR(VLOOKUP(A34,[1]Tørstofindhold!A$2:B$24,2,FALSE),0)</f>
        <v>0</v>
      </c>
      <c r="V34" s="192">
        <f>IF(D34=År1,P34,SUM(O34,P34))*IFERROR(VLOOKUP(A34,[1]Tørstofindhold!A$2:B$24,2,FALSE),0)</f>
        <v>71465.1029917407</v>
      </c>
      <c r="W34" s="192">
        <f>J34*IFERROR(VLOOKUP(A34,[1]Tørstofindhold!A$2:B$24,2,FALSE),0)</f>
        <v>0</v>
      </c>
      <c r="X34" s="193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x14ac:dyDescent="0.25">
      <c r="A35" s="194" t="s">
        <v>316</v>
      </c>
      <c r="B35" s="194" t="s">
        <v>322</v>
      </c>
      <c r="C35" s="194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4">
        <f t="shared" si="8"/>
        <v>2019</v>
      </c>
      <c r="E35" s="192" t="s">
        <v>23</v>
      </c>
      <c r="F35" s="195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2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5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4">
        <f t="shared" ref="N35:N36" si="13">F35-SUM(G35:M35)</f>
        <v>0</v>
      </c>
      <c r="O35" s="195">
        <f t="shared" si="1"/>
        <v>0</v>
      </c>
      <c r="P35" s="205">
        <f t="shared" ref="P35:P36" si="14">SUM(J35,L35)</f>
        <v>0</v>
      </c>
      <c r="Q35" s="192">
        <f>IFERROR(VLOOKUP(A35,[1]Energiindhold!$A$2:$C$11,3,FALSE),IFERROR(VLOOKUP(A35,[1]Biogasudbytte!$A$2:$B$18,2,FALSE)*[1]Energiindhold!$C$10,0))*O35</f>
        <v>0</v>
      </c>
      <c r="R35" s="192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2">
        <f>IFERROR(VLOOKUP(A35,[1]Biogasudbytte!$A$2:$B$18,2,FALSE)*[1]Energiindhold!$C$10,0)*J35*IFERROR(VLOOKUP(A35,Biogasanlæg!$F$3:$G$8,2,FALSE),1)</f>
        <v>0</v>
      </c>
      <c r="T35" s="193">
        <f t="shared" ref="T35:T36" si="15">R35-S35</f>
        <v>0</v>
      </c>
      <c r="U35" s="191">
        <f>O35*IFERROR(VLOOKUP(A35,[1]Tørstofindhold!A$2:B$24,2,FALSE),0)</f>
        <v>0</v>
      </c>
      <c r="V35" s="192">
        <f>IF(D35=År1,P35,SUM(O35,P35))*IFERROR(VLOOKUP(A35,[1]Tørstofindhold!A$2:B$24,2,FALSE),0)</f>
        <v>0</v>
      </c>
      <c r="W35" s="192">
        <f>J35*IFERROR(VLOOKUP(A35,[1]Tørstofindhold!A$2:B$24,2,FALSE),0)</f>
        <v>0</v>
      </c>
      <c r="X35" s="193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x14ac:dyDescent="0.25">
      <c r="A36" s="194" t="s">
        <v>317</v>
      </c>
      <c r="B36" s="194" t="s">
        <v>322</v>
      </c>
      <c r="C36" s="194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4">
        <f t="shared" si="8"/>
        <v>2019</v>
      </c>
      <c r="E36" s="192" t="s">
        <v>23</v>
      </c>
      <c r="F36" s="195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2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5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4">
        <f t="shared" si="13"/>
        <v>0</v>
      </c>
      <c r="O36" s="195">
        <f t="shared" si="1"/>
        <v>0</v>
      </c>
      <c r="P36" s="205">
        <f t="shared" si="14"/>
        <v>0</v>
      </c>
      <c r="Q36" s="192">
        <f>IFERROR(VLOOKUP(A36,[1]Energiindhold!$A$2:$C$11,3,FALSE),IFERROR(VLOOKUP(A36,[1]Biogasudbytte!$A$2:$B$18,2,FALSE)*[1]Energiindhold!$C$10,0))*O36</f>
        <v>0</v>
      </c>
      <c r="R36" s="192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2">
        <f>IFERROR(VLOOKUP(A36,[1]Biogasudbytte!$A$2:$B$18,2,FALSE)*[1]Energiindhold!$C$10,0)*J36*IFERROR(VLOOKUP(A36,Biogasanlæg!$F$3:$G$8,2,FALSE),1)</f>
        <v>0</v>
      </c>
      <c r="T36" s="193">
        <f t="shared" si="15"/>
        <v>0</v>
      </c>
      <c r="U36" s="191">
        <f>O36*IFERROR(VLOOKUP(A36,[1]Tørstofindhold!A$2:B$24,2,FALSE),0)</f>
        <v>0</v>
      </c>
      <c r="V36" s="192">
        <f>IF(D36=År1,P36,SUM(O36,P36))*IFERROR(VLOOKUP(A36,[1]Tørstofindhold!A$2:B$24,2,FALSE),0)</f>
        <v>0</v>
      </c>
      <c r="W36" s="192">
        <f>J36*IFERROR(VLOOKUP(A36,[1]Tørstofindhold!A$2:B$24,2,FALSE),0)</f>
        <v>0</v>
      </c>
      <c r="X36" s="193">
        <f t="shared" si="16"/>
        <v>0</v>
      </c>
      <c r="Y36" s="171">
        <f t="shared" si="2"/>
        <v>0</v>
      </c>
      <c r="Z36" s="103">
        <f t="shared" si="3"/>
        <v>0</v>
      </c>
    </row>
    <row r="37" spans="1:26" x14ac:dyDescent="0.25">
      <c r="A37" s="194" t="s">
        <v>118</v>
      </c>
      <c r="B37" s="194"/>
      <c r="C37" s="194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4">
        <f t="shared" si="8"/>
        <v>2019</v>
      </c>
      <c r="E37" s="192" t="s">
        <v>23</v>
      </c>
      <c r="F37" s="195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4922001.9803787302</v>
      </c>
      <c r="G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2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5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4">
        <f t="shared" si="9"/>
        <v>4922001.9803787302</v>
      </c>
      <c r="O37" s="195">
        <f t="shared" si="1"/>
        <v>0</v>
      </c>
      <c r="P37" s="205">
        <f t="shared" si="10"/>
        <v>0</v>
      </c>
      <c r="Q37" s="192">
        <f>IFERROR(VLOOKUP(A37,[1]Energiindhold!$A$2:$C$11,3,FALSE),IFERROR(VLOOKUP(A37,[1]Biogasudbytte!$A$2:$B$18,2,FALSE)*[1]Energiindhold!$C$10,0))*O37</f>
        <v>0</v>
      </c>
      <c r="R37" s="192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2">
        <f>IFERROR(VLOOKUP(A37,[1]Biogasudbytte!$A$2:$B$18,2,FALSE)*[1]Energiindhold!$C$10,0)*J37*IFERROR(VLOOKUP(A37,Biogasanlæg!$F$3:$G$8,2,FALSE),1)</f>
        <v>0</v>
      </c>
      <c r="T37" s="193">
        <f t="shared" si="11"/>
        <v>0</v>
      </c>
      <c r="U37" s="191">
        <f>O37*IFERROR(VLOOKUP(A37,[1]Tørstofindhold!A$2:B$24,2,FALSE),0)</f>
        <v>0</v>
      </c>
      <c r="V37" s="192">
        <f>IF(D37=År1,P37,SUM(O37,P37))*IFERROR(VLOOKUP(A37,[1]Tørstofindhold!A$2:B$24,2,FALSE),0)</f>
        <v>0</v>
      </c>
      <c r="W37" s="192">
        <f>J37*IFERROR(VLOOKUP(A37,[1]Tørstofindhold!A$2:B$24,2,FALSE),0)</f>
        <v>0</v>
      </c>
      <c r="X37" s="193">
        <f t="shared" si="12"/>
        <v>0</v>
      </c>
      <c r="Y37" s="171">
        <f t="shared" si="2"/>
        <v>0</v>
      </c>
      <c r="Z37" s="103">
        <f t="shared" si="3"/>
        <v>1</v>
      </c>
    </row>
    <row r="38" spans="1:26" x14ac:dyDescent="0.25">
      <c r="A38" s="192" t="s">
        <v>50</v>
      </c>
      <c r="B38" s="194"/>
      <c r="C38" s="194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4">
        <f t="shared" si="8"/>
        <v>2019</v>
      </c>
      <c r="E38" s="192" t="s">
        <v>23</v>
      </c>
      <c r="F38" s="195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484833.6848947219</v>
      </c>
      <c r="G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2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5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4">
        <f t="shared" si="9"/>
        <v>0</v>
      </c>
      <c r="O38" s="195">
        <f t="shared" si="1"/>
        <v>0</v>
      </c>
      <c r="P38" s="205">
        <f t="shared" si="10"/>
        <v>0</v>
      </c>
      <c r="Q38" s="192">
        <f>IFERROR(VLOOKUP(A38,[1]Energiindhold!$A$2:$C$11,3,FALSE),IFERROR(VLOOKUP(A38,[1]Biogasudbytte!$A$2:$B$18,2,FALSE)*[1]Energiindhold!$C$10,0))*O38</f>
        <v>0</v>
      </c>
      <c r="R38" s="192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2">
        <f>IFERROR(VLOOKUP(A38,[1]Biogasudbytte!$A$2:$B$18,2,FALSE)*[1]Energiindhold!$C$10,0)*J38*IFERROR(VLOOKUP(A38,Biogasanlæg!$F$3:$G$8,2,FALSE),1)</f>
        <v>0</v>
      </c>
      <c r="T38" s="193">
        <f t="shared" si="11"/>
        <v>0</v>
      </c>
      <c r="U38" s="191">
        <f>O38*IFERROR(VLOOKUP(A38,[1]Tørstofindhold!A$2:B$24,2,FALSE),0)</f>
        <v>0</v>
      </c>
      <c r="V38" s="192">
        <f>IF(D38=År1,P38,SUM(O38,P38))*IFERROR(VLOOKUP(A38,[1]Tørstofindhold!A$2:B$24,2,FALSE),0)</f>
        <v>0</v>
      </c>
      <c r="W38" s="192">
        <f>J38*IFERROR(VLOOKUP(A38,[1]Tørstofindhold!A$2:B$24,2,FALSE),0)</f>
        <v>0</v>
      </c>
      <c r="X38" s="193">
        <f t="shared" si="12"/>
        <v>0</v>
      </c>
      <c r="Y38" s="171">
        <f t="shared" si="2"/>
        <v>0</v>
      </c>
      <c r="Z38" s="103">
        <f t="shared" si="3"/>
        <v>0</v>
      </c>
    </row>
    <row r="39" spans="1:26" x14ac:dyDescent="0.25">
      <c r="A39" s="192" t="s">
        <v>240</v>
      </c>
      <c r="B39" s="194"/>
      <c r="C39" s="194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4">
        <f t="shared" si="8"/>
        <v>2019</v>
      </c>
      <c r="E39" s="192" t="s">
        <v>23</v>
      </c>
      <c r="F39" s="195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242416.84244736095</v>
      </c>
      <c r="G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2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5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4">
        <f t="shared" si="9"/>
        <v>28317.736356098671</v>
      </c>
      <c r="O39" s="195">
        <f t="shared" si="1"/>
        <v>0</v>
      </c>
      <c r="P39" s="205">
        <f t="shared" si="10"/>
        <v>0</v>
      </c>
      <c r="Q39" s="192">
        <f>IFERROR(VLOOKUP(A39,[1]Energiindhold!$A$2:$C$11,3,FALSE),IFERROR(VLOOKUP(A39,[1]Biogasudbytte!$A$2:$B$18,2,FALSE)*[1]Energiindhold!$C$10,0))*O39</f>
        <v>0</v>
      </c>
      <c r="R39" s="192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2">
        <f>IFERROR(VLOOKUP(A39,[1]Biogasudbytte!$A$2:$B$18,2,FALSE)*[1]Energiindhold!$C$10,0)*J39*IFERROR(VLOOKUP(A39,Biogasanlæg!$F$3:$G$8,2,FALSE),1)</f>
        <v>0</v>
      </c>
      <c r="T39" s="193">
        <f t="shared" si="11"/>
        <v>0</v>
      </c>
      <c r="U39" s="191">
        <f>O39*IFERROR(VLOOKUP(A39,[1]Tørstofindhold!A$2:B$24,2,FALSE),0)</f>
        <v>0</v>
      </c>
      <c r="V39" s="192">
        <f>IF(D39=År1,P39,SUM(O39,P39))*IFERROR(VLOOKUP(A39,[1]Tørstofindhold!A$2:B$24,2,FALSE),0)</f>
        <v>0</v>
      </c>
      <c r="W39" s="192">
        <f>J39*IFERROR(VLOOKUP(A39,[1]Tørstofindhold!A$2:B$24,2,FALSE),0)</f>
        <v>0</v>
      </c>
      <c r="X39" s="193">
        <f t="shared" si="12"/>
        <v>0</v>
      </c>
      <c r="Y39" s="171">
        <f t="shared" si="2"/>
        <v>0</v>
      </c>
      <c r="Z39" s="103">
        <f t="shared" si="3"/>
        <v>1</v>
      </c>
    </row>
    <row r="40" spans="1:26" x14ac:dyDescent="0.25">
      <c r="A40" s="192" t="s">
        <v>233</v>
      </c>
      <c r="B40" s="194" t="s">
        <v>233</v>
      </c>
      <c r="C40" s="194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4">
        <f t="shared" si="8"/>
        <v>2019</v>
      </c>
      <c r="E40" s="192" t="s">
        <v>23</v>
      </c>
      <c r="F40" s="195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155146.779166311</v>
      </c>
      <c r="G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2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5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4">
        <f t="shared" si="9"/>
        <v>0</v>
      </c>
      <c r="O40" s="195">
        <f t="shared" si="1"/>
        <v>0</v>
      </c>
      <c r="P40" s="205">
        <f t="shared" si="10"/>
        <v>80676.325166481722</v>
      </c>
      <c r="Q40" s="192">
        <f>IFERROR(VLOOKUP(A40,[1]Energiindhold!$A$2:$C$11,3,FALSE),IFERROR(VLOOKUP(A40,[1]Biogasudbytte!$A$2:$B$18,2,FALSE)*[1]Energiindhold!$C$10,0))*O40</f>
        <v>0</v>
      </c>
      <c r="R40" s="192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92">
        <f>IFERROR(VLOOKUP(A40,[1]Biogasudbytte!$A$2:$B$18,2,FALSE)*[1]Energiindhold!$C$10,0)*J40*IFERROR(VLOOKUP(A40,Biogasanlæg!$F$3:$G$8,2,FALSE),1)</f>
        <v>0</v>
      </c>
      <c r="T40" s="193">
        <f t="shared" si="11"/>
        <v>2.8236713808268599</v>
      </c>
      <c r="U40" s="191">
        <f>O40*IFERROR(VLOOKUP(A40,[1]Tørstofindhold!A$2:B$24,2,FALSE),0)</f>
        <v>0</v>
      </c>
      <c r="V40" s="192">
        <f>IF(D40=År1,P40,SUM(O40,P40))*IFERROR(VLOOKUP(A40,[1]Tørstofindhold!A$2:B$24,2,FALSE),0)</f>
        <v>0</v>
      </c>
      <c r="W40" s="192">
        <f>J40*IFERROR(VLOOKUP(A40,[1]Tørstofindhold!A$2:B$24,2,FALSE),0)</f>
        <v>0</v>
      </c>
      <c r="X40" s="193">
        <f t="shared" si="12"/>
        <v>0</v>
      </c>
      <c r="Y40" s="171">
        <f t="shared" si="2"/>
        <v>0</v>
      </c>
      <c r="Z40" s="103">
        <f t="shared" si="3"/>
        <v>0</v>
      </c>
    </row>
    <row r="41" spans="1:26" x14ac:dyDescent="0.25">
      <c r="A41" s="192" t="s">
        <v>52</v>
      </c>
      <c r="B41" s="194" t="s">
        <v>226</v>
      </c>
      <c r="C41" s="194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4">
        <f t="shared" si="8"/>
        <v>2019</v>
      </c>
      <c r="E41" s="192" t="s">
        <v>23</v>
      </c>
      <c r="F41" s="195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376449.39511597221</v>
      </c>
      <c r="G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2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5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4">
        <f t="shared" si="9"/>
        <v>-468819.27146385383</v>
      </c>
      <c r="O41" s="195">
        <f t="shared" si="1"/>
        <v>0</v>
      </c>
      <c r="P41" s="205">
        <f t="shared" si="10"/>
        <v>4101.0489241972273</v>
      </c>
      <c r="Q41" s="192">
        <f>IFERROR(VLOOKUP(A41,[1]Energiindhold!$A$2:$C$11,3,FALSE),IFERROR(VLOOKUP(A41,[1]Biogasudbytte!$A$2:$B$18,2,FALSE)*[1]Energiindhold!$C$10,0))*O41</f>
        <v>0</v>
      </c>
      <c r="R41" s="192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2">
        <f>IFERROR(VLOOKUP(A41,[1]Biogasudbytte!$A$2:$B$18,2,FALSE)*[1]Energiindhold!$C$10,0)*J41*IFERROR(VLOOKUP(A41,Biogasanlæg!$F$3:$G$8,2,FALSE),1)</f>
        <v>1.1130410822228242E-2</v>
      </c>
      <c r="T41" s="193">
        <f t="shared" si="11"/>
        <v>0</v>
      </c>
      <c r="U41" s="191">
        <f>O41*IFERROR(VLOOKUP(A41,[1]Tørstofindhold!A$2:B$24,2,FALSE),0)</f>
        <v>0</v>
      </c>
      <c r="V41" s="192">
        <f>IF(D41=År1,P41,SUM(O41,P41))*IFERROR(VLOOKUP(A41,[1]Tørstofindhold!A$2:B$24,2,FALSE),0)</f>
        <v>820.20978483944555</v>
      </c>
      <c r="W41" s="192">
        <f>J41*IFERROR(VLOOKUP(A41,[1]Tørstofindhold!A$2:B$24,2,FALSE),0)</f>
        <v>820.20978483944555</v>
      </c>
      <c r="X41" s="193">
        <f t="shared" si="12"/>
        <v>0</v>
      </c>
      <c r="Y41" s="171">
        <f t="shared" si="2"/>
        <v>0</v>
      </c>
      <c r="Z41" s="103">
        <f t="shared" si="3"/>
        <v>1</v>
      </c>
    </row>
    <row r="42" spans="1:26" x14ac:dyDescent="0.25">
      <c r="A42" s="192" t="s">
        <v>122</v>
      </c>
      <c r="B42" s="194"/>
      <c r="C42" s="194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4">
        <f t="shared" si="8"/>
        <v>2019</v>
      </c>
      <c r="E42" s="192" t="s">
        <v>23</v>
      </c>
      <c r="F42" s="195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193830.89221723122</v>
      </c>
      <c r="G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2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5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4">
        <f t="shared" si="9"/>
        <v>193830.89221723122</v>
      </c>
      <c r="O42" s="195">
        <f t="shared" si="1"/>
        <v>0</v>
      </c>
      <c r="P42" s="205">
        <f t="shared" si="10"/>
        <v>0</v>
      </c>
      <c r="Q42" s="192">
        <f>IFERROR(VLOOKUP(A42,[1]Energiindhold!$A$2:$C$11,3,FALSE),IFERROR(VLOOKUP(A42,[1]Biogasudbytte!$A$2:$B$18,2,FALSE)*[1]Energiindhold!$C$10,0))*O42</f>
        <v>0</v>
      </c>
      <c r="R42" s="192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2">
        <f>IFERROR(VLOOKUP(A42,[1]Biogasudbytte!$A$2:$B$18,2,FALSE)*[1]Energiindhold!$C$10,0)*J42*IFERROR(VLOOKUP(A42,Biogasanlæg!$F$3:$G$8,2,FALSE),1)</f>
        <v>0</v>
      </c>
      <c r="T42" s="193">
        <f t="shared" si="11"/>
        <v>0</v>
      </c>
      <c r="U42" s="191">
        <f>O42*IFERROR(VLOOKUP(A42,[1]Tørstofindhold!A$2:B$24,2,FALSE),0)</f>
        <v>0</v>
      </c>
      <c r="V42" s="192">
        <f>IF(D42=År1,P42,SUM(O42,P42))*IFERROR(VLOOKUP(A42,[1]Tørstofindhold!A$2:B$24,2,FALSE),0)</f>
        <v>0</v>
      </c>
      <c r="W42" s="192">
        <f>J42*IFERROR(VLOOKUP(A42,[1]Tørstofindhold!A$2:B$24,2,FALSE),0)</f>
        <v>0</v>
      </c>
      <c r="X42" s="193">
        <f t="shared" si="12"/>
        <v>0</v>
      </c>
      <c r="Y42" s="171">
        <f t="shared" si="2"/>
        <v>0</v>
      </c>
      <c r="Z42" s="103">
        <f t="shared" si="3"/>
        <v>1</v>
      </c>
    </row>
    <row r="43" spans="1:26" x14ac:dyDescent="0.25">
      <c r="A43" s="192" t="s">
        <v>108</v>
      </c>
      <c r="B43" s="194"/>
      <c r="C43" s="194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4">
        <f t="shared" si="8"/>
        <v>2019</v>
      </c>
      <c r="E43" s="192" t="s">
        <v>23</v>
      </c>
      <c r="F43" s="195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131276.07587880219</v>
      </c>
      <c r="G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2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5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4">
        <f t="shared" si="9"/>
        <v>91860.340866184866</v>
      </c>
      <c r="O43" s="195">
        <f t="shared" si="1"/>
        <v>0</v>
      </c>
      <c r="P43" s="205">
        <f t="shared" si="10"/>
        <v>0</v>
      </c>
      <c r="Q43" s="192">
        <f>IFERROR(VLOOKUP(A43,[1]Energiindhold!$A$2:$C$11,3,FALSE),IFERROR(VLOOKUP(A43,[1]Biogasudbytte!$A$2:$B$18,2,FALSE)*[1]Energiindhold!$C$10,0))*O43</f>
        <v>0</v>
      </c>
      <c r="R43" s="192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2">
        <f>IFERROR(VLOOKUP(A43,[1]Biogasudbytte!$A$2:$B$18,2,FALSE)*[1]Energiindhold!$C$10,0)*J43*IFERROR(VLOOKUP(A43,Biogasanlæg!$F$3:$G$8,2,FALSE),1)</f>
        <v>0</v>
      </c>
      <c r="T43" s="193">
        <f t="shared" si="11"/>
        <v>0</v>
      </c>
      <c r="U43" s="191">
        <f>O43*IFERROR(VLOOKUP(A43,[1]Tørstofindhold!A$2:B$24,2,FALSE),0)</f>
        <v>0</v>
      </c>
      <c r="V43" s="192">
        <f>IF(D43=År1,P43,SUM(O43,P43))*IFERROR(VLOOKUP(A43,[1]Tørstofindhold!A$2:B$24,2,FALSE),0)</f>
        <v>0</v>
      </c>
      <c r="W43" s="192">
        <f>J43*IFERROR(VLOOKUP(A43,[1]Tørstofindhold!A$2:B$24,2,FALSE),0)</f>
        <v>0</v>
      </c>
      <c r="X43" s="193">
        <f t="shared" si="12"/>
        <v>0</v>
      </c>
      <c r="Y43" s="171">
        <f t="shared" si="2"/>
        <v>0</v>
      </c>
      <c r="Z43" s="103">
        <f t="shared" si="3"/>
        <v>1</v>
      </c>
    </row>
    <row r="44" spans="1:26" x14ac:dyDescent="0.25">
      <c r="A44" s="194" t="s">
        <v>141</v>
      </c>
      <c r="B44" s="194" t="s">
        <v>232</v>
      </c>
      <c r="C44" s="194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4">
        <f t="shared" si="8"/>
        <v>2019</v>
      </c>
      <c r="E44" s="192" t="s">
        <v>23</v>
      </c>
      <c r="F44" s="195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3850196.5402414175</v>
      </c>
      <c r="G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2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5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4">
        <f t="shared" si="9"/>
        <v>2390013.9527756004</v>
      </c>
      <c r="O44" s="195">
        <f t="shared" si="1"/>
        <v>2390013.9527756004</v>
      </c>
      <c r="P44" s="205">
        <f t="shared" si="10"/>
        <v>1460182.5874658169</v>
      </c>
      <c r="Q44" s="192">
        <f>IFERROR(VLOOKUP(A44,[1]Energiindhold!$A$2:$C$11,3,FALSE),IFERROR(VLOOKUP(A44,[1]Biogasudbytte!$A$2:$B$18,2,FALSE)*[1]Energiindhold!$C$10,0))*O44</f>
        <v>1.1926408625745526</v>
      </c>
      <c r="R44" s="192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2">
        <f>IFERROR(VLOOKUP(A44,[1]Biogasudbytte!$A$2:$B$18,2,FALSE)*[1]Energiindhold!$C$10,0)*J44*IFERROR(VLOOKUP(A44,Biogasanlæg!$F$3:$G$8,2,FALSE),1)</f>
        <v>0.72864571297131742</v>
      </c>
      <c r="T44" s="193">
        <f t="shared" si="11"/>
        <v>0</v>
      </c>
      <c r="U44" s="191">
        <f>O44*IFERROR(VLOOKUP(A44,[1]Tørstofindhold!A$2:B$24,2,FALSE),0)</f>
        <v>143400.83716653602</v>
      </c>
      <c r="V44" s="192">
        <f>IF(D44=År1,P44,SUM(O44,P44))*IFERROR(VLOOKUP(A44,[1]Tørstofindhold!A$2:B$24,2,FALSE),0)</f>
        <v>87610.955247949008</v>
      </c>
      <c r="W44" s="192">
        <f>J44*IFERROR(VLOOKUP(A44,[1]Tørstofindhold!A$2:B$24,2,FALSE),0)</f>
        <v>87610.955247949008</v>
      </c>
      <c r="X44" s="193">
        <f t="shared" si="12"/>
        <v>0</v>
      </c>
      <c r="Y44" s="171">
        <f t="shared" si="2"/>
        <v>0</v>
      </c>
      <c r="Z44" s="103">
        <f t="shared" si="3"/>
        <v>1</v>
      </c>
    </row>
    <row r="45" spans="1:26" x14ac:dyDescent="0.25">
      <c r="A45" s="194" t="s">
        <v>136</v>
      </c>
      <c r="B45" s="194" t="s">
        <v>224</v>
      </c>
      <c r="C45" s="194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4">
        <f t="shared" si="8"/>
        <v>2019</v>
      </c>
      <c r="E45" s="192" t="s">
        <v>23</v>
      </c>
      <c r="F45" s="195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15352538.506892066</v>
      </c>
      <c r="G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2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5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4">
        <f t="shared" si="9"/>
        <v>0</v>
      </c>
      <c r="O45" s="195">
        <f t="shared" si="1"/>
        <v>0</v>
      </c>
      <c r="P45" s="205">
        <f t="shared" si="10"/>
        <v>2534442.072977222</v>
      </c>
      <c r="Q45" s="192">
        <f>IFERROR(VLOOKUP(A45,[1]Energiindhold!$A$2:$C$11,3,FALSE),IFERROR(VLOOKUP(A45,[1]Biogasudbytte!$A$2:$B$18,2,FALSE)*[1]Energiindhold!$C$10,0))*O45</f>
        <v>0</v>
      </c>
      <c r="R45" s="192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2">
        <f>IFERROR(VLOOKUP(A45,[1]Biogasudbytte!$A$2:$B$18,2,FALSE)*[1]Energiindhold!$C$10,0)*J45*IFERROR(VLOOKUP(A45,Biogasanlæg!$F$3:$G$8,2,FALSE),1)</f>
        <v>1.0918376450385874</v>
      </c>
      <c r="T45" s="193">
        <f t="shared" si="11"/>
        <v>0</v>
      </c>
      <c r="U45" s="191">
        <f>O45*IFERROR(VLOOKUP(A45,[1]Tørstofindhold!A$2:B$24,2,FALSE),0)</f>
        <v>0</v>
      </c>
      <c r="V45" s="192">
        <f>IF(D45=År1,P45,SUM(O45,P45))*IFERROR(VLOOKUP(A45,[1]Tørstofindhold!A$2:B$24,2,FALSE),0)</f>
        <v>126722.10364886111</v>
      </c>
      <c r="W45" s="192">
        <f>J45*IFERROR(VLOOKUP(A45,[1]Tørstofindhold!A$2:B$24,2,FALSE),0)</f>
        <v>126722.10364886111</v>
      </c>
      <c r="X45" s="193">
        <f t="shared" si="12"/>
        <v>0</v>
      </c>
      <c r="Y45" s="171">
        <f t="shared" si="2"/>
        <v>0</v>
      </c>
      <c r="Z45" s="103">
        <f t="shared" si="3"/>
        <v>0</v>
      </c>
    </row>
    <row r="46" spans="1:26" x14ac:dyDescent="0.25">
      <c r="A46" s="194" t="s">
        <v>13</v>
      </c>
      <c r="B46" s="194"/>
      <c r="C46" s="194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4">
        <f t="shared" si="8"/>
        <v>2019</v>
      </c>
      <c r="E46" s="192" t="s">
        <v>23</v>
      </c>
      <c r="F46" s="195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1394376.9846055224</v>
      </c>
      <c r="G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2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5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4">
        <f t="shared" si="9"/>
        <v>1276456.3476501952</v>
      </c>
      <c r="O46" s="195">
        <f t="shared" si="1"/>
        <v>0</v>
      </c>
      <c r="P46" s="205">
        <f t="shared" si="10"/>
        <v>0</v>
      </c>
      <c r="Q46" s="192">
        <f>IFERROR(VLOOKUP(A46,[1]Energiindhold!$A$2:$C$11,3,FALSE),IFERROR(VLOOKUP(A46,[1]Biogasudbytte!$A$2:$B$18,2,FALSE)*[1]Energiindhold!$C$10,0))*O46</f>
        <v>0</v>
      </c>
      <c r="R46" s="192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2">
        <f>IFERROR(VLOOKUP(A46,[1]Biogasudbytte!$A$2:$B$18,2,FALSE)*[1]Energiindhold!$C$10,0)*J46*IFERROR(VLOOKUP(A46,Biogasanlæg!$F$3:$G$8,2,FALSE),1)</f>
        <v>0</v>
      </c>
      <c r="T46" s="193">
        <f t="shared" si="11"/>
        <v>0</v>
      </c>
      <c r="U46" s="191">
        <f>O46*IFERROR(VLOOKUP(A46,[1]Tørstofindhold!A$2:B$24,2,FALSE),0)</f>
        <v>0</v>
      </c>
      <c r="V46" s="192">
        <f>IF(D46=År1,P46,SUM(O46,P46))*IFERROR(VLOOKUP(A46,[1]Tørstofindhold!A$2:B$24,2,FALSE),0)</f>
        <v>0</v>
      </c>
      <c r="W46" s="192">
        <f>J46*IFERROR(VLOOKUP(A46,[1]Tørstofindhold!A$2:B$24,2,FALSE),0)</f>
        <v>0</v>
      </c>
      <c r="X46" s="193">
        <f t="shared" si="12"/>
        <v>0</v>
      </c>
      <c r="Y46" s="171">
        <f t="shared" si="2"/>
        <v>0</v>
      </c>
      <c r="Z46" s="103">
        <f t="shared" si="3"/>
        <v>1</v>
      </c>
    </row>
    <row r="47" spans="1:26" x14ac:dyDescent="0.25">
      <c r="A47" s="194" t="s">
        <v>100</v>
      </c>
      <c r="B47" s="194" t="s">
        <v>228</v>
      </c>
      <c r="C47" s="194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4">
        <f t="shared" si="8"/>
        <v>2019</v>
      </c>
      <c r="E47" s="192" t="s">
        <v>23</v>
      </c>
      <c r="F47" s="195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76.5</v>
      </c>
      <c r="G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2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5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4">
        <f t="shared" si="9"/>
        <v>76.5</v>
      </c>
      <c r="O47" s="195">
        <f t="shared" si="1"/>
        <v>76.5</v>
      </c>
      <c r="P47" s="205">
        <f t="shared" si="10"/>
        <v>0</v>
      </c>
      <c r="Q47" s="192">
        <f>IFERROR(VLOOKUP(A47,[1]Energiindhold!$A$2:$C$11,3,FALSE),IFERROR(VLOOKUP(A47,[1]Biogasudbytte!$A$2:$B$18,2,FALSE)*[1]Energiindhold!$C$10,0))*O47</f>
        <v>6.8658750000000004E-5</v>
      </c>
      <c r="R47" s="192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2">
        <f>IFERROR(VLOOKUP(A47,[1]Biogasudbytte!$A$2:$B$18,2,FALSE)*[1]Energiindhold!$C$10,0)*J47*IFERROR(VLOOKUP(A47,Biogasanlæg!$F$3:$G$8,2,FALSE),1)</f>
        <v>0</v>
      </c>
      <c r="T47" s="193">
        <f t="shared" si="11"/>
        <v>0</v>
      </c>
      <c r="U47" s="191">
        <f>O47*IFERROR(VLOOKUP(A47,[1]Tørstofindhold!A$2:B$24,2,FALSE),0)</f>
        <v>11.475</v>
      </c>
      <c r="V47" s="192">
        <f>IF(D47=År1,P47,SUM(O47,P47))*IFERROR(VLOOKUP(A47,[1]Tørstofindhold!A$2:B$24,2,FALSE),0)</f>
        <v>0</v>
      </c>
      <c r="W47" s="192">
        <f>J47*IFERROR(VLOOKUP(A47,[1]Tørstofindhold!A$2:B$24,2,FALSE),0)</f>
        <v>0</v>
      </c>
      <c r="X47" s="193">
        <f t="shared" si="12"/>
        <v>0</v>
      </c>
      <c r="Y47" s="171">
        <f t="shared" si="2"/>
        <v>0</v>
      </c>
      <c r="Z47" s="103">
        <f t="shared" si="3"/>
        <v>1</v>
      </c>
    </row>
    <row r="48" spans="1:26" x14ac:dyDescent="0.25">
      <c r="A48" s="194" t="s">
        <v>105</v>
      </c>
      <c r="B48" s="194"/>
      <c r="C48" s="194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4">
        <f t="shared" si="8"/>
        <v>2019</v>
      </c>
      <c r="E48" s="192" t="s">
        <v>23</v>
      </c>
      <c r="F48" s="195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2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5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4">
        <f t="shared" si="9"/>
        <v>0</v>
      </c>
      <c r="O48" s="195">
        <f t="shared" si="1"/>
        <v>0</v>
      </c>
      <c r="P48" s="205">
        <f t="shared" si="10"/>
        <v>0</v>
      </c>
      <c r="Q48" s="192">
        <f>IFERROR(VLOOKUP(A48,[1]Energiindhold!$A$2:$C$11,3,FALSE),IFERROR(VLOOKUP(A48,[1]Biogasudbytte!$A$2:$B$18,2,FALSE)*[1]Energiindhold!$C$10,0))*O48</f>
        <v>0</v>
      </c>
      <c r="R48" s="192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2">
        <f>IFERROR(VLOOKUP(A48,[1]Biogasudbytte!$A$2:$B$18,2,FALSE)*[1]Energiindhold!$C$10,0)*J48*IFERROR(VLOOKUP(A48,Biogasanlæg!$F$3:$G$8,2,FALSE),1)</f>
        <v>0</v>
      </c>
      <c r="T48" s="193">
        <f t="shared" si="11"/>
        <v>0</v>
      </c>
      <c r="U48" s="191">
        <f>O48*IFERROR(VLOOKUP(A48,[1]Tørstofindhold!A$2:B$24,2,FALSE),0)</f>
        <v>0</v>
      </c>
      <c r="V48" s="192">
        <f>IF(D48=År1,P48,SUM(O48,P48))*IFERROR(VLOOKUP(A48,[1]Tørstofindhold!A$2:B$24,2,FALSE),0)</f>
        <v>0</v>
      </c>
      <c r="W48" s="192">
        <f>J48*IFERROR(VLOOKUP(A48,[1]Tørstofindhold!A$2:B$24,2,FALSE),0)</f>
        <v>0</v>
      </c>
      <c r="X48" s="193">
        <f t="shared" si="12"/>
        <v>0</v>
      </c>
      <c r="Y48" s="171">
        <f t="shared" si="2"/>
        <v>0</v>
      </c>
      <c r="Z48" s="103">
        <f t="shared" si="3"/>
        <v>0</v>
      </c>
    </row>
    <row r="49" spans="1:26" x14ac:dyDescent="0.25">
      <c r="A49" s="194" t="s">
        <v>120</v>
      </c>
      <c r="B49" s="194" t="s">
        <v>227</v>
      </c>
      <c r="C49" s="194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4">
        <f t="shared" si="8"/>
        <v>2019</v>
      </c>
      <c r="E49" s="192" t="s">
        <v>23</v>
      </c>
      <c r="F49" s="195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2328635.6388303456</v>
      </c>
      <c r="G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2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5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4">
        <f t="shared" si="9"/>
        <v>0</v>
      </c>
      <c r="O49" s="195">
        <f t="shared" si="1"/>
        <v>0</v>
      </c>
      <c r="P49" s="205">
        <f t="shared" si="10"/>
        <v>2328635.6388303456</v>
      </c>
      <c r="Q49" s="192">
        <f>IFERROR(VLOOKUP(A49,[1]Energiindhold!$A$2:$C$11,3,FALSE),IFERROR(VLOOKUP(A49,[1]Biogasudbytte!$A$2:$B$18,2,FALSE)*[1]Energiindhold!$C$10,0))*O49</f>
        <v>0</v>
      </c>
      <c r="R49" s="192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2">
        <f>IFERROR(VLOOKUP(A49,[1]Biogasudbytte!$A$2:$B$18,2,FALSE)*[1]Energiindhold!$C$10,0)*J49*IFERROR(VLOOKUP(A49,Biogasanlæg!$F$3:$G$8,2,FALSE),1)</f>
        <v>0</v>
      </c>
      <c r="T49" s="193">
        <f t="shared" si="11"/>
        <v>33.750241076188566</v>
      </c>
      <c r="U49" s="191">
        <f>O49*IFERROR(VLOOKUP(A49,[1]Tørstofindhold!A$2:B$24,2,FALSE),0)</f>
        <v>0</v>
      </c>
      <c r="V49" s="192">
        <f>IF(D49=År1,P49,SUM(O49,P49))*IFERROR(VLOOKUP(A49,[1]Tørstofindhold!A$2:B$24,2,FALSE),0)</f>
        <v>1151704.3763715085</v>
      </c>
      <c r="W49" s="192">
        <f>J49*IFERROR(VLOOKUP(A49,[1]Tørstofindhold!A$2:B$24,2,FALSE),0)</f>
        <v>0</v>
      </c>
      <c r="X49" s="193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x14ac:dyDescent="0.25">
      <c r="A50" s="194" t="s">
        <v>119</v>
      </c>
      <c r="B50" s="194"/>
      <c r="C50" s="194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4">
        <f t="shared" si="8"/>
        <v>2019</v>
      </c>
      <c r="E50" s="192" t="s">
        <v>23</v>
      </c>
      <c r="F50" s="195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640280.13059892249</v>
      </c>
      <c r="G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2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5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0</v>
      </c>
      <c r="N50" s="204">
        <f t="shared" si="9"/>
        <v>640280.13059892249</v>
      </c>
      <c r="O50" s="195">
        <f t="shared" si="1"/>
        <v>0</v>
      </c>
      <c r="P50" s="205">
        <f t="shared" si="10"/>
        <v>0</v>
      </c>
      <c r="Q50" s="192">
        <f>IFERROR(VLOOKUP(A50,[1]Energiindhold!$A$2:$C$11,3,FALSE),IFERROR(VLOOKUP(A50,[1]Biogasudbytte!$A$2:$B$18,2,FALSE)*[1]Energiindhold!$C$10,0))*O50</f>
        <v>0</v>
      </c>
      <c r="R50" s="192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2">
        <f>IFERROR(VLOOKUP(A50,[1]Biogasudbytte!$A$2:$B$18,2,FALSE)*[1]Energiindhold!$C$10,0)*J50*IFERROR(VLOOKUP(A50,Biogasanlæg!$F$3:$G$8,2,FALSE),1)</f>
        <v>0</v>
      </c>
      <c r="T50" s="193">
        <f t="shared" si="11"/>
        <v>0</v>
      </c>
      <c r="U50" s="191">
        <f>O50*IFERROR(VLOOKUP(A50,[1]Tørstofindhold!A$2:B$24,2,FALSE),0)</f>
        <v>0</v>
      </c>
      <c r="V50" s="192">
        <f>IF(D50=År1,P50,SUM(O50,P50))*IFERROR(VLOOKUP(A50,[1]Tørstofindhold!A$2:B$24,2,FALSE),0)</f>
        <v>0</v>
      </c>
      <c r="W50" s="192">
        <f>J50*IFERROR(VLOOKUP(A50,[1]Tørstofindhold!A$2:B$24,2,FALSE),0)</f>
        <v>0</v>
      </c>
      <c r="X50" s="193">
        <f t="shared" si="12"/>
        <v>0</v>
      </c>
      <c r="Y50" s="171">
        <f t="shared" si="2"/>
        <v>0</v>
      </c>
      <c r="Z50" s="103">
        <f t="shared" si="3"/>
        <v>1</v>
      </c>
    </row>
    <row r="51" spans="1:26" x14ac:dyDescent="0.25">
      <c r="A51" s="194" t="str">
        <f t="shared" ref="A51:A82" si="17">A3</f>
        <v>Æg</v>
      </c>
      <c r="B51" s="194" t="str">
        <f t="shared" ref="B51:B82" si="18">IF(B3&lt;&gt;"",B3,"")</f>
        <v/>
      </c>
      <c r="C51" s="194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4">
        <f t="shared" ref="D51:D98" si="19">År2</f>
        <v>2030</v>
      </c>
      <c r="E51" s="192" t="s">
        <v>23</v>
      </c>
      <c r="F51" s="195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171033.55988230981</v>
      </c>
      <c r="G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2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5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4">
        <f t="shared" si="9"/>
        <v>138453.77532930995</v>
      </c>
      <c r="O51" s="195">
        <f t="shared" si="1"/>
        <v>0</v>
      </c>
      <c r="P51" s="205">
        <f t="shared" si="10"/>
        <v>0</v>
      </c>
      <c r="Q51" s="192">
        <f>IFERROR(VLOOKUP(A51,[1]Energiindhold!$A$2:$C$11,3,FALSE),IFERROR(VLOOKUP(A51,[1]Biogasudbytte!$A$2:$B$18,2,FALSE)*[1]Energiindhold!$C$10,0))*O51</f>
        <v>0</v>
      </c>
      <c r="R51" s="192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2">
        <f>IFERROR(VLOOKUP(A51,[1]Biogasudbytte!$A$2:$B$18,2,FALSE)*[1]Energiindhold!$C$10,0)*J51*IFERROR(VLOOKUP(A51,Biogasanlæg!$F$3:$G$8,2,FALSE),1)</f>
        <v>0</v>
      </c>
      <c r="T51" s="193">
        <f t="shared" si="11"/>
        <v>0</v>
      </c>
      <c r="U51" s="191">
        <f>O51*IFERROR(VLOOKUP(A51,[1]Tørstofindhold!A$2:B$24,2,FALSE),0)</f>
        <v>0</v>
      </c>
      <c r="V51" s="192">
        <f>IF(D51=År1,P51,SUM(O51,P51))*IFERROR(VLOOKUP(A51,[1]Tørstofindhold!A$2:B$24,2,FALSE),0)</f>
        <v>0</v>
      </c>
      <c r="W51" s="192">
        <f>J51*IFERROR(VLOOKUP(A51,[1]Tørstofindhold!A$2:B$24,2,FALSE),0)</f>
        <v>0</v>
      </c>
      <c r="X51" s="193">
        <f t="shared" si="12"/>
        <v>0</v>
      </c>
      <c r="Y51" s="171">
        <f t="shared" si="2"/>
        <v>0</v>
      </c>
      <c r="Z51" s="103">
        <f t="shared" si="3"/>
        <v>1</v>
      </c>
    </row>
    <row r="52" spans="1:26" x14ac:dyDescent="0.25">
      <c r="A52" s="194" t="str">
        <f t="shared" si="17"/>
        <v>Bælgsæd</v>
      </c>
      <c r="B52" s="194" t="str">
        <f t="shared" si="18"/>
        <v/>
      </c>
      <c r="C52" s="194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4">
        <f t="shared" si="19"/>
        <v>2030</v>
      </c>
      <c r="E52" s="192" t="s">
        <v>23</v>
      </c>
      <c r="F52" s="195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224570.40950584275</v>
      </c>
      <c r="G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51598.780380153592</v>
      </c>
      <c r="H52" s="192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5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4">
        <f t="shared" si="9"/>
        <v>172971.62912568916</v>
      </c>
      <c r="O52" s="195">
        <f t="shared" si="1"/>
        <v>0</v>
      </c>
      <c r="P52" s="205">
        <f t="shared" si="10"/>
        <v>0</v>
      </c>
      <c r="Q52" s="192">
        <f>IFERROR(VLOOKUP(A52,[1]Energiindhold!$A$2:$C$11,3,FALSE),IFERROR(VLOOKUP(A52,[1]Biogasudbytte!$A$2:$B$18,2,FALSE)*[1]Energiindhold!$C$10,0))*O52</f>
        <v>0</v>
      </c>
      <c r="R52" s="192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2">
        <f>IFERROR(VLOOKUP(A52,[1]Biogasudbytte!$A$2:$B$18,2,FALSE)*[1]Energiindhold!$C$10,0)*J52*IFERROR(VLOOKUP(A52,Biogasanlæg!$F$3:$G$8,2,FALSE),1)</f>
        <v>0</v>
      </c>
      <c r="T52" s="193">
        <f t="shared" si="11"/>
        <v>0</v>
      </c>
      <c r="U52" s="191">
        <f>O52*IFERROR(VLOOKUP(A52,[1]Tørstofindhold!A$2:B$24,2,FALSE),0)</f>
        <v>0</v>
      </c>
      <c r="V52" s="192">
        <f>IF(D52=År1,P52,SUM(O52,P52))*IFERROR(VLOOKUP(A52,[1]Tørstofindhold!A$2:B$24,2,FALSE),0)</f>
        <v>0</v>
      </c>
      <c r="W52" s="192">
        <f>J52*IFERROR(VLOOKUP(A52,[1]Tørstofindhold!A$2:B$24,2,FALSE),0)</f>
        <v>0</v>
      </c>
      <c r="X52" s="193">
        <f t="shared" si="12"/>
        <v>0</v>
      </c>
      <c r="Y52" s="171">
        <f t="shared" si="2"/>
        <v>0</v>
      </c>
      <c r="Z52" s="103">
        <f t="shared" si="3"/>
        <v>1</v>
      </c>
    </row>
    <row r="53" spans="1:26" x14ac:dyDescent="0.25">
      <c r="A53" s="194" t="str">
        <f t="shared" si="17"/>
        <v>Bioaffald</v>
      </c>
      <c r="B53" s="194" t="str">
        <f t="shared" si="18"/>
        <v>Bionedbrydeligt affald</v>
      </c>
      <c r="C53" s="194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4">
        <f t="shared" si="19"/>
        <v>2030</v>
      </c>
      <c r="E53" s="192" t="s">
        <v>23</v>
      </c>
      <c r="F53" s="195">
        <f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0</v>
      </c>
      <c r="G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2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5" t="e">
        <f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#REF!</v>
      </c>
      <c r="K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5" t="e">
        <f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#REF!</v>
      </c>
      <c r="M53" s="157" t="e">
        <f>SUMIFS('Forbrug af biomasse'!E:E,'Forbrug af biomasse'!C:C,'Resultat-Produktion &amp; forbrug'!$A53,'Forbrug af biomasse'!D:D,'Resultat-Produktion &amp; forbrug'!$D53,'Forbrug af biomasse'!G:G,1,'Forbrug af biomasse'!B:B,$E53)</f>
        <v>#REF!</v>
      </c>
      <c r="N53" s="204" t="e">
        <f t="shared" si="9"/>
        <v>#REF!</v>
      </c>
      <c r="O53" s="195" t="e">
        <f t="shared" si="1"/>
        <v>#REF!</v>
      </c>
      <c r="P53" s="205" t="e">
        <f t="shared" si="10"/>
        <v>#REF!</v>
      </c>
      <c r="Q53" s="192" t="e">
        <f>IFERROR(VLOOKUP(A53,[1]Energiindhold!$A$2:$C$11,3,FALSE),IFERROR(VLOOKUP(A53,[1]Biogasudbytte!$A$2:$B$18,2,FALSE)*[1]Energiindhold!$C$10,0))*O53</f>
        <v>#REF!</v>
      </c>
      <c r="R53" s="192" t="e">
        <f>IF(A53&lt;&gt;"Biogas",IFERROR(VLOOKUP(A53,[1]Biogasudbytte!$A$2:$B$18,2,FALSE)*[1]Energiindhold!$C$10,0)*J53*IFERROR(VLOOKUP(A53,Biogasanlæg!$F$3:$G$8,2,FALSE),1)+IFERROR(VLOOKUP(A53,[1]Energiindhold!$A$2:$C$11,3,FALSE),0)*L53+IF(D53&lt;&gt;År1,Q53,0),0)</f>
        <v>#REF!</v>
      </c>
      <c r="S53" s="192" t="e">
        <f>IFERROR(VLOOKUP(A53,[1]Biogasudbytte!$A$2:$B$18,2,FALSE)*[1]Energiindhold!$C$10,0)*J53*IFERROR(VLOOKUP(A53,Biogasanlæg!$F$3:$G$8,2,FALSE),1)</f>
        <v>#REF!</v>
      </c>
      <c r="T53" s="193" t="e">
        <f t="shared" si="11"/>
        <v>#REF!</v>
      </c>
      <c r="U53" s="191" t="e">
        <f>O53*IFERROR(VLOOKUP(A53,[1]Tørstofindhold!A$2:B$24,2,FALSE),0)</f>
        <v>#REF!</v>
      </c>
      <c r="V53" s="192" t="e">
        <f>IF(D53=År1,P53,SUM(O53,P53))*IFERROR(VLOOKUP(A53,[1]Tørstofindhold!A$2:B$24,2,FALSE),0)</f>
        <v>#REF!</v>
      </c>
      <c r="W53" s="192" t="e">
        <f>J53*IFERROR(VLOOKUP(A53,[1]Tørstofindhold!A$2:B$24,2,FALSE),0)</f>
        <v>#REF!</v>
      </c>
      <c r="X53" s="193" t="e">
        <f t="shared" si="12"/>
        <v>#REF!</v>
      </c>
      <c r="Y53" s="171" t="e">
        <f t="shared" si="2"/>
        <v>#REF!</v>
      </c>
      <c r="Z53" s="103" t="e">
        <f t="shared" si="3"/>
        <v>#REF!</v>
      </c>
    </row>
    <row r="54" spans="1:26" x14ac:dyDescent="0.25">
      <c r="A54" s="194" t="str">
        <f t="shared" si="17"/>
        <v>Biogas</v>
      </c>
      <c r="B54" s="194" t="str">
        <f t="shared" si="18"/>
        <v/>
      </c>
      <c r="C54" s="194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4">
        <f t="shared" si="19"/>
        <v>2030</v>
      </c>
      <c r="E54" s="192" t="s">
        <v>23</v>
      </c>
      <c r="F54" s="195">
        <f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487143655.95163488</v>
      </c>
      <c r="G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2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5">
        <f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487143655.95163488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4">
        <f t="shared" si="9"/>
        <v>0</v>
      </c>
      <c r="O54" s="195">
        <f t="shared" si="1"/>
        <v>0</v>
      </c>
      <c r="P54" s="205">
        <f t="shared" si="10"/>
        <v>487143655.95163488</v>
      </c>
      <c r="Q54" s="192">
        <f>IFERROR(VLOOKUP(A54,[1]Energiindhold!$A$2:$C$11,3,FALSE),IFERROR(VLOOKUP(A54,[1]Biogasudbytte!$A$2:$B$18,2,FALSE)*[1]Energiindhold!$C$10,0))*O54</f>
        <v>0</v>
      </c>
      <c r="R54" s="192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2">
        <f>IFERROR(VLOOKUP(A54,[1]Biogasudbytte!$A$2:$B$18,2,FALSE)*[1]Energiindhold!$C$10,0)*J54*IFERROR(VLOOKUP(A54,Biogasanlæg!$F$3:$G$8,2,FALSE),1)</f>
        <v>0</v>
      </c>
      <c r="T54" s="193">
        <f t="shared" si="11"/>
        <v>0</v>
      </c>
      <c r="U54" s="191">
        <f>O54*IFERROR(VLOOKUP(A54,[1]Tørstofindhold!A$2:B$24,2,FALSE),0)</f>
        <v>0</v>
      </c>
      <c r="V54" s="192">
        <f>IF(D54=År1,P54,SUM(O54,P54))*IFERROR(VLOOKUP(A54,[1]Tørstofindhold!A$2:B$24,2,FALSE),0)</f>
        <v>0</v>
      </c>
      <c r="W54" s="192">
        <f>J54*IFERROR(VLOOKUP(A54,[1]Tørstofindhold!A$2:B$24,2,FALSE),0)</f>
        <v>0</v>
      </c>
      <c r="X54" s="193">
        <f t="shared" si="12"/>
        <v>0</v>
      </c>
      <c r="Y54" s="171">
        <f t="shared" si="2"/>
        <v>0</v>
      </c>
      <c r="Z54" s="103">
        <f t="shared" si="3"/>
        <v>0</v>
      </c>
    </row>
    <row r="55" spans="1:26" x14ac:dyDescent="0.25">
      <c r="A55" s="194" t="str">
        <f t="shared" si="17"/>
        <v>Biogasgylle</v>
      </c>
      <c r="B55" s="194" t="str">
        <f t="shared" si="18"/>
        <v/>
      </c>
      <c r="C55" s="194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4">
        <f t="shared" si="19"/>
        <v>2030</v>
      </c>
      <c r="E55" s="192" t="s">
        <v>23</v>
      </c>
      <c r="F55" s="195">
        <f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0</v>
      </c>
      <c r="G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2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5" t="e">
        <f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#REF!</v>
      </c>
      <c r="L55" s="195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4" t="e">
        <f t="shared" si="9"/>
        <v>#REF!</v>
      </c>
      <c r="O55" s="195">
        <f t="shared" si="1"/>
        <v>0</v>
      </c>
      <c r="P55" s="205">
        <f t="shared" si="10"/>
        <v>0</v>
      </c>
      <c r="Q55" s="192">
        <f>IFERROR(VLOOKUP(A55,[1]Energiindhold!$A$2:$C$11,3,FALSE),IFERROR(VLOOKUP(A55,[1]Biogasudbytte!$A$2:$B$18,2,FALSE)*[1]Energiindhold!$C$10,0))*O55</f>
        <v>0</v>
      </c>
      <c r="R55" s="192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2">
        <f>IFERROR(VLOOKUP(A55,[1]Biogasudbytte!$A$2:$B$18,2,FALSE)*[1]Energiindhold!$C$10,0)*J55*IFERROR(VLOOKUP(A55,Biogasanlæg!$F$3:$G$8,2,FALSE),1)</f>
        <v>0</v>
      </c>
      <c r="T55" s="193">
        <f t="shared" si="11"/>
        <v>0</v>
      </c>
      <c r="U55" s="191">
        <f>O55*IFERROR(VLOOKUP(A55,[1]Tørstofindhold!A$2:B$24,2,FALSE),0)</f>
        <v>0</v>
      </c>
      <c r="V55" s="192">
        <f>IF(D55=År1,P55,SUM(O55,P55))*IFERROR(VLOOKUP(A55,[1]Tørstofindhold!A$2:B$24,2,FALSE),0)</f>
        <v>0</v>
      </c>
      <c r="W55" s="192">
        <f>J55*IFERROR(VLOOKUP(A55,[1]Tørstofindhold!A$2:B$24,2,FALSE),0)</f>
        <v>0</v>
      </c>
      <c r="X55" s="193">
        <f t="shared" si="12"/>
        <v>0</v>
      </c>
      <c r="Y55" s="171" t="e">
        <f t="shared" si="2"/>
        <v>#REF!</v>
      </c>
      <c r="Z55" s="103" t="e">
        <f t="shared" si="3"/>
        <v>#REF!</v>
      </c>
    </row>
    <row r="56" spans="1:26" x14ac:dyDescent="0.25">
      <c r="A56" s="194" t="str">
        <f t="shared" si="17"/>
        <v>Brun saft</v>
      </c>
      <c r="B56" s="194" t="str">
        <f t="shared" si="18"/>
        <v>Bionedbrydeligt affald</v>
      </c>
      <c r="C56" s="194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4">
        <f t="shared" si="19"/>
        <v>2030</v>
      </c>
      <c r="E56" s="192" t="s">
        <v>23</v>
      </c>
      <c r="F56" s="195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0</v>
      </c>
      <c r="G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2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5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4">
        <f t="shared" si="9"/>
        <v>0</v>
      </c>
      <c r="O56" s="195">
        <f t="shared" si="1"/>
        <v>0</v>
      </c>
      <c r="P56" s="205">
        <f t="shared" si="10"/>
        <v>0</v>
      </c>
      <c r="Q56" s="192">
        <f>IFERROR(VLOOKUP(A56,[1]Energiindhold!$A$2:$C$11,3,FALSE),IFERROR(VLOOKUP(A56,[1]Biogasudbytte!$A$2:$B$18,2,FALSE)*[1]Energiindhold!$C$10,0))*O56</f>
        <v>0</v>
      </c>
      <c r="R56" s="192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2">
        <f>IFERROR(VLOOKUP(A56,[1]Biogasudbytte!$A$2:$B$18,2,FALSE)*[1]Energiindhold!$C$10,0)*J56*IFERROR(VLOOKUP(A56,Biogasanlæg!$F$3:$G$8,2,FALSE),1)</f>
        <v>0</v>
      </c>
      <c r="T56" s="193">
        <f t="shared" si="11"/>
        <v>0</v>
      </c>
      <c r="U56" s="191">
        <f>O56*IFERROR(VLOOKUP(A56,[1]Tørstofindhold!A$2:B$24,2,FALSE),0)</f>
        <v>0</v>
      </c>
      <c r="V56" s="192">
        <f>IF(D56=År1,P56,SUM(O56,P56))*IFERROR(VLOOKUP(A56,[1]Tørstofindhold!A$2:B$24,2,FALSE),0)</f>
        <v>0</v>
      </c>
      <c r="W56" s="192">
        <f>J56*IFERROR(VLOOKUP(A56,[1]Tørstofindhold!A$2:B$24,2,FALSE),0)</f>
        <v>0</v>
      </c>
      <c r="X56" s="193">
        <f t="shared" si="12"/>
        <v>0</v>
      </c>
      <c r="Y56" s="171">
        <f t="shared" si="2"/>
        <v>0</v>
      </c>
      <c r="Z56" s="103">
        <f t="shared" si="3"/>
        <v>0</v>
      </c>
    </row>
    <row r="57" spans="1:26" x14ac:dyDescent="0.25">
      <c r="A57" s="194" t="str">
        <f t="shared" si="17"/>
        <v>Dybstrøelse</v>
      </c>
      <c r="B57" s="194" t="str">
        <f t="shared" si="18"/>
        <v>Husdyrgødning</v>
      </c>
      <c r="C57" s="194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4">
        <f t="shared" si="19"/>
        <v>2030</v>
      </c>
      <c r="E57" s="192" t="s">
        <v>23</v>
      </c>
      <c r="F57" s="195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2122340.654767077</v>
      </c>
      <c r="G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2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1061170.3273835385</v>
      </c>
      <c r="K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401728.76679519669</v>
      </c>
      <c r="L57" s="195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4">
        <f t="shared" si="9"/>
        <v>659441.56058834167</v>
      </c>
      <c r="O57" s="195">
        <f t="shared" si="1"/>
        <v>659441.56058834167</v>
      </c>
      <c r="P57" s="205">
        <f t="shared" si="10"/>
        <v>1061170.3273835385</v>
      </c>
      <c r="Q57" s="192">
        <f>IFERROR(VLOOKUP(A57,[1]Energiindhold!$A$2:$C$11,3,FALSE),IFERROR(VLOOKUP(A57,[1]Biogasudbytte!$A$2:$B$18,2,FALSE)*[1]Energiindhold!$C$10,0))*O57</f>
        <v>1.420437121507288</v>
      </c>
      <c r="R57" s="192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3.7061980066914297</v>
      </c>
      <c r="S57" s="192">
        <f>IFERROR(VLOOKUP(A57,[1]Biogasudbytte!$A$2:$B$18,2,FALSE)*[1]Energiindhold!$C$10,0)*J57*IFERROR(VLOOKUP(A57,Biogasanlæg!$F$3:$G$8,2,FALSE),1)</f>
        <v>2.2857608851841418</v>
      </c>
      <c r="T57" s="193">
        <f t="shared" si="11"/>
        <v>1.420437121507288</v>
      </c>
      <c r="U57" s="191">
        <f>O57*IFERROR(VLOOKUP(A57,[1]Tørstofindhold!A$2:B$24,2,FALSE),0)</f>
        <v>197832.4681765025</v>
      </c>
      <c r="V57" s="192">
        <f>IF(D57=År1,P57,SUM(O57,P57))*IFERROR(VLOOKUP(A57,[1]Tørstofindhold!A$2:B$24,2,FALSE),0)</f>
        <v>516183.56639156403</v>
      </c>
      <c r="W57" s="192">
        <f>J57*IFERROR(VLOOKUP(A57,[1]Tørstofindhold!A$2:B$24,2,FALSE),0)</f>
        <v>318351.09821506153</v>
      </c>
      <c r="X57" s="193">
        <f t="shared" si="12"/>
        <v>197832.4681765025</v>
      </c>
      <c r="Y57" s="171">
        <f t="shared" si="2"/>
        <v>0</v>
      </c>
      <c r="Z57" s="103">
        <f t="shared" si="3"/>
        <v>1</v>
      </c>
    </row>
    <row r="58" spans="1:26" x14ac:dyDescent="0.25">
      <c r="A58" s="194" t="str">
        <f t="shared" si="17"/>
        <v>Fiberfraktion</v>
      </c>
      <c r="B58" s="194" t="str">
        <f t="shared" si="18"/>
        <v/>
      </c>
      <c r="C58" s="194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4">
        <f t="shared" si="19"/>
        <v>2030</v>
      </c>
      <c r="E58" s="192" t="s">
        <v>23</v>
      </c>
      <c r="F58" s="195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0</v>
      </c>
      <c r="G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2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5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4">
        <f t="shared" si="9"/>
        <v>0</v>
      </c>
      <c r="O58" s="195">
        <f t="shared" si="1"/>
        <v>0</v>
      </c>
      <c r="P58" s="205">
        <f t="shared" si="10"/>
        <v>0</v>
      </c>
      <c r="Q58" s="192">
        <f>IFERROR(VLOOKUP(A58,[1]Energiindhold!$A$2:$C$11,3,FALSE),IFERROR(VLOOKUP(A58,[1]Biogasudbytte!$A$2:$B$18,2,FALSE)*[1]Energiindhold!$C$10,0))*O58</f>
        <v>0</v>
      </c>
      <c r="R58" s="192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2">
        <f>IFERROR(VLOOKUP(A58,[1]Biogasudbytte!$A$2:$B$18,2,FALSE)*[1]Energiindhold!$C$10,0)*J58*IFERROR(VLOOKUP(A58,Biogasanlæg!$F$3:$G$8,2,FALSE),1)</f>
        <v>0</v>
      </c>
      <c r="T58" s="193">
        <f t="shared" si="11"/>
        <v>0</v>
      </c>
      <c r="U58" s="191">
        <f>O58*IFERROR(VLOOKUP(A58,[1]Tørstofindhold!A$2:B$24,2,FALSE),0)</f>
        <v>0</v>
      </c>
      <c r="V58" s="192">
        <f>IF(D58=År1,P58,SUM(O58,P58))*IFERROR(VLOOKUP(A58,[1]Tørstofindhold!A$2:B$24,2,FALSE),0)</f>
        <v>0</v>
      </c>
      <c r="W58" s="192">
        <f>J58*IFERROR(VLOOKUP(A58,[1]Tørstofindhold!A$2:B$24,2,FALSE),0)</f>
        <v>0</v>
      </c>
      <c r="X58" s="193">
        <f t="shared" si="12"/>
        <v>0</v>
      </c>
      <c r="Y58" s="171">
        <f t="shared" si="2"/>
        <v>0</v>
      </c>
      <c r="Z58" s="103">
        <f t="shared" si="3"/>
        <v>0</v>
      </c>
    </row>
    <row r="59" spans="1:26" x14ac:dyDescent="0.25">
      <c r="A59" s="194" t="str">
        <f t="shared" si="17"/>
        <v>Fjerkrægylle</v>
      </c>
      <c r="B59" s="194" t="str">
        <f t="shared" si="18"/>
        <v>Husdyrgødning</v>
      </c>
      <c r="C59" s="194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4">
        <f t="shared" si="19"/>
        <v>2030</v>
      </c>
      <c r="E59" s="192" t="s">
        <v>23</v>
      </c>
      <c r="F59" s="195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6674.1809084363849</v>
      </c>
      <c r="G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2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6006.7628175927466</v>
      </c>
      <c r="K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505.33084021018328</v>
      </c>
      <c r="L59" s="195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4">
        <f t="shared" si="9"/>
        <v>162.08725063345537</v>
      </c>
      <c r="O59" s="195">
        <f t="shared" si="1"/>
        <v>162.08725063345537</v>
      </c>
      <c r="P59" s="205">
        <f t="shared" si="10"/>
        <v>6006.7628175927466</v>
      </c>
      <c r="Q59" s="192">
        <f>IFERROR(VLOOKUP(A59,[1]Energiindhold!$A$2:$C$11,3,FALSE),IFERROR(VLOOKUP(A59,[1]Biogasudbytte!$A$2:$B$18,2,FALSE)*[1]Energiindhold!$C$10,0))*O59</f>
        <v>7.6228013100407724E-5</v>
      </c>
      <c r="R59" s="192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2.9011484985861005E-3</v>
      </c>
      <c r="S59" s="192">
        <f>IFERROR(VLOOKUP(A59,[1]Biogasudbytte!$A$2:$B$18,2,FALSE)*[1]Energiindhold!$C$10,0)*J59*IFERROR(VLOOKUP(A59,Biogasanlæg!$F$3:$G$8,2,FALSE),1)</f>
        <v>2.8249204854856927E-3</v>
      </c>
      <c r="T59" s="193">
        <f t="shared" si="11"/>
        <v>7.6228013100407711E-5</v>
      </c>
      <c r="U59" s="191">
        <f>O59*IFERROR(VLOOKUP(A59,[1]Tørstofindhold!A$2:B$24,2,FALSE),0)</f>
        <v>10.211496789907688</v>
      </c>
      <c r="V59" s="192">
        <f>IF(D59=År1,P59,SUM(O59,P59))*IFERROR(VLOOKUP(A59,[1]Tørstofindhold!A$2:B$24,2,FALSE),0)</f>
        <v>388.63755429825073</v>
      </c>
      <c r="W59" s="192">
        <f>J59*IFERROR(VLOOKUP(A59,[1]Tørstofindhold!A$2:B$24,2,FALSE),0)</f>
        <v>378.42605750834304</v>
      </c>
      <c r="X59" s="193">
        <f t="shared" si="12"/>
        <v>10.211496789907699</v>
      </c>
      <c r="Y59" s="171">
        <f t="shared" si="2"/>
        <v>0</v>
      </c>
      <c r="Z59" s="103">
        <f t="shared" si="3"/>
        <v>1</v>
      </c>
    </row>
    <row r="60" spans="1:26" x14ac:dyDescent="0.25">
      <c r="A60" s="194" t="str">
        <f t="shared" si="17"/>
        <v>Fjerkrækød</v>
      </c>
      <c r="B60" s="194" t="str">
        <f t="shared" si="18"/>
        <v/>
      </c>
      <c r="C60" s="194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4">
        <f t="shared" si="19"/>
        <v>2030</v>
      </c>
      <c r="E60" s="192" t="s">
        <v>23</v>
      </c>
      <c r="F60" s="195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145303.11165081069</v>
      </c>
      <c r="G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2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5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4">
        <f t="shared" si="9"/>
        <v>110008.34505172751</v>
      </c>
      <c r="O60" s="195">
        <f t="shared" si="1"/>
        <v>0</v>
      </c>
      <c r="P60" s="205">
        <f t="shared" si="10"/>
        <v>0</v>
      </c>
      <c r="Q60" s="192">
        <f>IFERROR(VLOOKUP(A60,[1]Energiindhold!$A$2:$C$11,3,FALSE),IFERROR(VLOOKUP(A60,[1]Biogasudbytte!$A$2:$B$18,2,FALSE)*[1]Energiindhold!$C$10,0))*O60</f>
        <v>0</v>
      </c>
      <c r="R60" s="192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2">
        <f>IFERROR(VLOOKUP(A60,[1]Biogasudbytte!$A$2:$B$18,2,FALSE)*[1]Energiindhold!$C$10,0)*J60*IFERROR(VLOOKUP(A60,Biogasanlæg!$F$3:$G$8,2,FALSE),1)</f>
        <v>0</v>
      </c>
      <c r="T60" s="193">
        <f t="shared" si="11"/>
        <v>0</v>
      </c>
      <c r="U60" s="191">
        <f>O60*IFERROR(VLOOKUP(A60,[1]Tørstofindhold!A$2:B$24,2,FALSE),0)</f>
        <v>0</v>
      </c>
      <c r="V60" s="192">
        <f>IF(D60=År1,P60,SUM(O60,P60))*IFERROR(VLOOKUP(A60,[1]Tørstofindhold!A$2:B$24,2,FALSE),0)</f>
        <v>0</v>
      </c>
      <c r="W60" s="192">
        <f>J60*IFERROR(VLOOKUP(A60,[1]Tørstofindhold!A$2:B$24,2,FALSE),0)</f>
        <v>0</v>
      </c>
      <c r="X60" s="193">
        <f t="shared" si="12"/>
        <v>0</v>
      </c>
      <c r="Y60" s="171">
        <f t="shared" si="2"/>
        <v>0</v>
      </c>
      <c r="Z60" s="103">
        <f t="shared" si="3"/>
        <v>1</v>
      </c>
    </row>
    <row r="61" spans="1:26" x14ac:dyDescent="0.25">
      <c r="A61" s="194" t="str">
        <f t="shared" si="17"/>
        <v>Frø</v>
      </c>
      <c r="B61" s="194" t="str">
        <f t="shared" si="18"/>
        <v/>
      </c>
      <c r="C61" s="194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4">
        <f t="shared" si="19"/>
        <v>2030</v>
      </c>
      <c r="E61" s="192" t="s">
        <v>23</v>
      </c>
      <c r="F61" s="195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1120053.9852881476</v>
      </c>
      <c r="G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2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5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4">
        <f t="shared" si="9"/>
        <v>1120053.9852881476</v>
      </c>
      <c r="O61" s="195">
        <f t="shared" si="1"/>
        <v>0</v>
      </c>
      <c r="P61" s="205">
        <f t="shared" si="10"/>
        <v>0</v>
      </c>
      <c r="Q61" s="192">
        <f>IFERROR(VLOOKUP(A61,[1]Energiindhold!$A$2:$C$11,3,FALSE),IFERROR(VLOOKUP(A61,[1]Biogasudbytte!$A$2:$B$18,2,FALSE)*[1]Energiindhold!$C$10,0))*O61</f>
        <v>0</v>
      </c>
      <c r="R61" s="192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2">
        <f>IFERROR(VLOOKUP(A61,[1]Biogasudbytte!$A$2:$B$18,2,FALSE)*[1]Energiindhold!$C$10,0)*J61*IFERROR(VLOOKUP(A61,Biogasanlæg!$F$3:$G$8,2,FALSE),1)</f>
        <v>0</v>
      </c>
      <c r="T61" s="193">
        <f t="shared" si="11"/>
        <v>0</v>
      </c>
      <c r="U61" s="191">
        <f>O61*IFERROR(VLOOKUP(A61,[1]Tørstofindhold!A$2:B$24,2,FALSE),0)</f>
        <v>0</v>
      </c>
      <c r="V61" s="192">
        <f>IF(D61=År1,P61,SUM(O61,P61))*IFERROR(VLOOKUP(A61,[1]Tørstofindhold!A$2:B$24,2,FALSE),0)</f>
        <v>0</v>
      </c>
      <c r="W61" s="192">
        <f>J61*IFERROR(VLOOKUP(A61,[1]Tørstofindhold!A$2:B$24,2,FALSE),0)</f>
        <v>0</v>
      </c>
      <c r="X61" s="193">
        <f t="shared" si="12"/>
        <v>0</v>
      </c>
      <c r="Y61" s="171">
        <f t="shared" si="2"/>
        <v>0</v>
      </c>
      <c r="Z61" s="103">
        <f t="shared" si="3"/>
        <v>1</v>
      </c>
    </row>
    <row r="62" spans="1:26" x14ac:dyDescent="0.25">
      <c r="A62" s="194" t="str">
        <f t="shared" si="17"/>
        <v>Frugt</v>
      </c>
      <c r="B62" s="194" t="str">
        <f t="shared" si="18"/>
        <v/>
      </c>
      <c r="C62" s="194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4">
        <f t="shared" si="19"/>
        <v>2030</v>
      </c>
      <c r="E62" s="192" t="s">
        <v>23</v>
      </c>
      <c r="F62" s="195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32105.259581147304</v>
      </c>
      <c r="G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2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5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4">
        <f t="shared" si="9"/>
        <v>-225818.0347967683</v>
      </c>
      <c r="O62" s="195">
        <f t="shared" si="1"/>
        <v>0</v>
      </c>
      <c r="P62" s="205">
        <f t="shared" si="10"/>
        <v>0</v>
      </c>
      <c r="Q62" s="192">
        <f>IFERROR(VLOOKUP(A62,[1]Energiindhold!$A$2:$C$11,3,FALSE),IFERROR(VLOOKUP(A62,[1]Biogasudbytte!$A$2:$B$18,2,FALSE)*[1]Energiindhold!$C$10,0))*O62</f>
        <v>0</v>
      </c>
      <c r="R62" s="192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2">
        <f>IFERROR(VLOOKUP(A62,[1]Biogasudbytte!$A$2:$B$18,2,FALSE)*[1]Energiindhold!$C$10,0)*J62*IFERROR(VLOOKUP(A62,Biogasanlæg!$F$3:$G$8,2,FALSE),1)</f>
        <v>0</v>
      </c>
      <c r="T62" s="193">
        <f t="shared" si="11"/>
        <v>0</v>
      </c>
      <c r="U62" s="191">
        <f>O62*IFERROR(VLOOKUP(A62,[1]Tørstofindhold!A$2:B$24,2,FALSE),0)</f>
        <v>0</v>
      </c>
      <c r="V62" s="192">
        <f>IF(D62=År1,P62,SUM(O62,P62))*IFERROR(VLOOKUP(A62,[1]Tørstofindhold!A$2:B$24,2,FALSE),0)</f>
        <v>0</v>
      </c>
      <c r="W62" s="192">
        <f>J62*IFERROR(VLOOKUP(A62,[1]Tørstofindhold!A$2:B$24,2,FALSE),0)</f>
        <v>0</v>
      </c>
      <c r="X62" s="193">
        <f t="shared" si="12"/>
        <v>0</v>
      </c>
      <c r="Y62" s="171">
        <f t="shared" si="2"/>
        <v>1</v>
      </c>
      <c r="Z62" s="103">
        <f t="shared" si="3"/>
        <v>0</v>
      </c>
    </row>
    <row r="63" spans="1:26" x14ac:dyDescent="0.25">
      <c r="A63" s="194" t="str">
        <f t="shared" si="17"/>
        <v>Glycerin</v>
      </c>
      <c r="B63" s="194" t="str">
        <f t="shared" si="18"/>
        <v>Glycerin</v>
      </c>
      <c r="C63" s="194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4">
        <f t="shared" si="19"/>
        <v>2030</v>
      </c>
      <c r="E63" s="192" t="s">
        <v>23</v>
      </c>
      <c r="F63" s="195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2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5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4">
        <f t="shared" si="9"/>
        <v>-114193.60000000001</v>
      </c>
      <c r="O63" s="195">
        <f t="shared" si="1"/>
        <v>0</v>
      </c>
      <c r="P63" s="205">
        <f t="shared" si="10"/>
        <v>114193.60000000001</v>
      </c>
      <c r="Q63" s="192">
        <f>IFERROR(VLOOKUP(A63,[1]Energiindhold!$A$2:$C$11,3,FALSE),IFERROR(VLOOKUP(A63,[1]Biogasudbytte!$A$2:$B$18,2,FALSE)*[1]Energiindhold!$C$10,0))*O63</f>
        <v>0</v>
      </c>
      <c r="R63" s="192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2">
        <f>IFERROR(VLOOKUP(A63,[1]Biogasudbytte!$A$2:$B$18,2,FALSE)*[1]Energiindhold!$C$10,0)*J63*IFERROR(VLOOKUP(A63,Biogasanlæg!$F$3:$G$8,2,FALSE),1)</f>
        <v>1.7355855896064003</v>
      </c>
      <c r="T63" s="193">
        <f t="shared" si="11"/>
        <v>0</v>
      </c>
      <c r="U63" s="191">
        <f>O63*IFERROR(VLOOKUP(A63,[1]Tørstofindhold!A$2:B$24,2,FALSE),0)</f>
        <v>0</v>
      </c>
      <c r="V63" s="192">
        <f>IF(D63=År1,P63,SUM(O63,P63))*IFERROR(VLOOKUP(A63,[1]Tørstofindhold!A$2:B$24,2,FALSE),0)</f>
        <v>102774.24</v>
      </c>
      <c r="W63" s="192">
        <f>J63*IFERROR(VLOOKUP(A63,[1]Tørstofindhold!A$2:B$24,2,FALSE),0)</f>
        <v>102774.24</v>
      </c>
      <c r="X63" s="193">
        <f t="shared" si="12"/>
        <v>0</v>
      </c>
      <c r="Y63" s="171">
        <f t="shared" si="2"/>
        <v>1</v>
      </c>
      <c r="Z63" s="103">
        <f t="shared" si="3"/>
        <v>0</v>
      </c>
    </row>
    <row r="64" spans="1:26" x14ac:dyDescent="0.25">
      <c r="A64" s="194" t="str">
        <f t="shared" si="17"/>
        <v>Græs</v>
      </c>
      <c r="B64" s="194" t="str">
        <f t="shared" si="18"/>
        <v>Græs og urter</v>
      </c>
      <c r="C64" s="194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4">
        <f t="shared" si="19"/>
        <v>2030</v>
      </c>
      <c r="E64" s="192" t="s">
        <v>23</v>
      </c>
      <c r="F64" s="195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28408153.283469509</v>
      </c>
      <c r="G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9790151.9274066389</v>
      </c>
      <c r="H64" s="192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67006.096493213583</v>
      </c>
      <c r="K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5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4">
        <f t="shared" si="9"/>
        <v>18550995.259569656</v>
      </c>
      <c r="O64" s="195">
        <f t="shared" si="1"/>
        <v>18550995.259569656</v>
      </c>
      <c r="P64" s="205">
        <f t="shared" si="10"/>
        <v>67006.096493213583</v>
      </c>
      <c r="Q64" s="192">
        <f>IFERROR(VLOOKUP(A64,[1]Energiindhold!$A$2:$C$11,3,FALSE),IFERROR(VLOOKUP(A64,[1]Biogasudbytte!$A$2:$B$18,2,FALSE)*[1]Energiindhold!$C$10,0))*O64</f>
        <v>34.131512403200723</v>
      </c>
      <c r="R64" s="192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34.254795244986177</v>
      </c>
      <c r="S64" s="192">
        <f>IFERROR(VLOOKUP(A64,[1]Biogasudbytte!$A$2:$B$18,2,FALSE)*[1]Energiindhold!$C$10,0)*J64*IFERROR(VLOOKUP(A64,Biogasanlæg!$F$3:$G$8,2,FALSE),1)</f>
        <v>0.12328284178545135</v>
      </c>
      <c r="T64" s="193">
        <f t="shared" si="11"/>
        <v>34.131512403200723</v>
      </c>
      <c r="U64" s="191">
        <f>O64*IFERROR(VLOOKUP(A64,[1]Tørstofindhold!A$2:B$24,2,FALSE),0)</f>
        <v>5194278.6726795044</v>
      </c>
      <c r="V64" s="192">
        <f>IF(D64=År1,P64,SUM(O64,P64))*IFERROR(VLOOKUP(A64,[1]Tørstofindhold!A$2:B$24,2,FALSE),0)</f>
        <v>5213040.3796976041</v>
      </c>
      <c r="W64" s="192">
        <f>J64*IFERROR(VLOOKUP(A64,[1]Tørstofindhold!A$2:B$24,2,FALSE),0)</f>
        <v>18761.707018099805</v>
      </c>
      <c r="X64" s="193">
        <f t="shared" si="12"/>
        <v>5194278.6726795044</v>
      </c>
      <c r="Y64" s="171">
        <f t="shared" si="2"/>
        <v>0</v>
      </c>
      <c r="Z64" s="103">
        <f t="shared" si="3"/>
        <v>1</v>
      </c>
    </row>
    <row r="65" spans="1:26" x14ac:dyDescent="0.25">
      <c r="A65" s="194" t="str">
        <f t="shared" si="17"/>
        <v>Græsprotein</v>
      </c>
      <c r="B65" s="194" t="str">
        <f t="shared" si="18"/>
        <v/>
      </c>
      <c r="C65" s="194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4">
        <f t="shared" si="19"/>
        <v>2030</v>
      </c>
      <c r="E65" s="192" t="s">
        <v>23</v>
      </c>
      <c r="F65" s="195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0</v>
      </c>
      <c r="G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2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5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4">
        <f t="shared" si="9"/>
        <v>0</v>
      </c>
      <c r="O65" s="195">
        <f t="shared" si="1"/>
        <v>0</v>
      </c>
      <c r="P65" s="205">
        <f t="shared" si="10"/>
        <v>0</v>
      </c>
      <c r="Q65" s="192">
        <f>IFERROR(VLOOKUP(A65,[1]Energiindhold!$A$2:$C$11,3,FALSE),IFERROR(VLOOKUP(A65,[1]Biogasudbytte!$A$2:$B$18,2,FALSE)*[1]Energiindhold!$C$10,0))*O65</f>
        <v>0</v>
      </c>
      <c r="R65" s="192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2">
        <f>IFERROR(VLOOKUP(A65,[1]Biogasudbytte!$A$2:$B$18,2,FALSE)*[1]Energiindhold!$C$10,0)*J65*IFERROR(VLOOKUP(A65,Biogasanlæg!$F$3:$G$8,2,FALSE),1)</f>
        <v>0</v>
      </c>
      <c r="T65" s="193">
        <f t="shared" si="11"/>
        <v>0</v>
      </c>
      <c r="U65" s="191">
        <f>O65*IFERROR(VLOOKUP(A65,[1]Tørstofindhold!A$2:B$24,2,FALSE),0)</f>
        <v>0</v>
      </c>
      <c r="V65" s="192">
        <f>IF(D65=År1,P65,SUM(O65,P65))*IFERROR(VLOOKUP(A65,[1]Tørstofindhold!A$2:B$24,2,FALSE),0)</f>
        <v>0</v>
      </c>
      <c r="W65" s="192">
        <f>J65*IFERROR(VLOOKUP(A65,[1]Tørstofindhold!A$2:B$24,2,FALSE),0)</f>
        <v>0</v>
      </c>
      <c r="X65" s="193">
        <f t="shared" si="12"/>
        <v>0</v>
      </c>
      <c r="Y65" s="171">
        <f t="shared" si="2"/>
        <v>0</v>
      </c>
      <c r="Z65" s="103">
        <f t="shared" si="3"/>
        <v>0</v>
      </c>
    </row>
    <row r="66" spans="1:26" x14ac:dyDescent="0.25">
      <c r="A66" s="194" t="str">
        <f t="shared" si="17"/>
        <v>Grøntsager</v>
      </c>
      <c r="B66" s="194" t="str">
        <f t="shared" si="18"/>
        <v/>
      </c>
      <c r="C66" s="194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4">
        <f t="shared" si="19"/>
        <v>2030</v>
      </c>
      <c r="E66" s="192" t="s">
        <v>23</v>
      </c>
      <c r="F66" s="195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217805.88377635827</v>
      </c>
      <c r="G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2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5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4">
        <f t="shared" si="9"/>
        <v>-52334.829808932322</v>
      </c>
      <c r="O66" s="195">
        <f t="shared" si="1"/>
        <v>0</v>
      </c>
      <c r="P66" s="205">
        <f t="shared" si="10"/>
        <v>0</v>
      </c>
      <c r="Q66" s="192">
        <f>IFERROR(VLOOKUP(A66,[1]Energiindhold!$A$2:$C$11,3,FALSE),IFERROR(VLOOKUP(A66,[1]Biogasudbytte!$A$2:$B$18,2,FALSE)*[1]Energiindhold!$C$10,0))*O66</f>
        <v>0</v>
      </c>
      <c r="R66" s="192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2">
        <f>IFERROR(VLOOKUP(A66,[1]Biogasudbytte!$A$2:$B$18,2,FALSE)*[1]Energiindhold!$C$10,0)*J66*IFERROR(VLOOKUP(A66,Biogasanlæg!$F$3:$G$8,2,FALSE),1)</f>
        <v>0</v>
      </c>
      <c r="T66" s="193">
        <f t="shared" si="11"/>
        <v>0</v>
      </c>
      <c r="U66" s="191">
        <f>O66*IFERROR(VLOOKUP(A66,[1]Tørstofindhold!A$2:B$24,2,FALSE),0)</f>
        <v>0</v>
      </c>
      <c r="V66" s="192">
        <f>IF(D66=År1,P66,SUM(O66,P66))*IFERROR(VLOOKUP(A66,[1]Tørstofindhold!A$2:B$24,2,FALSE),0)</f>
        <v>0</v>
      </c>
      <c r="W66" s="192">
        <f>J66*IFERROR(VLOOKUP(A66,[1]Tørstofindhold!A$2:B$24,2,FALSE),0)</f>
        <v>0</v>
      </c>
      <c r="X66" s="193">
        <f t="shared" si="12"/>
        <v>0</v>
      </c>
      <c r="Y66" s="171">
        <f t="shared" si="2"/>
        <v>1</v>
      </c>
      <c r="Z66" s="103">
        <f t="shared" si="3"/>
        <v>0</v>
      </c>
    </row>
    <row r="67" spans="1:26" x14ac:dyDescent="0.25">
      <c r="A67" s="194" t="str">
        <f t="shared" si="17"/>
        <v>Halm</v>
      </c>
      <c r="B67" s="194" t="str">
        <f t="shared" si="18"/>
        <v>Halm og strå</v>
      </c>
      <c r="C67" s="194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4">
        <f t="shared" si="19"/>
        <v>2030</v>
      </c>
      <c r="E67" s="192" t="s">
        <v>23</v>
      </c>
      <c r="F67" s="195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2966243.8763621217</v>
      </c>
      <c r="G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618468.71483434096</v>
      </c>
      <c r="H67" s="192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581579.9632190367</v>
      </c>
      <c r="I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56757.88331613881</v>
      </c>
      <c r="K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5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1709437.3149926052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4">
        <f t="shared" si="9"/>
        <v>0</v>
      </c>
      <c r="O67" s="195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5">
        <f t="shared" si="10"/>
        <v>1766195.198308744</v>
      </c>
      <c r="Q67" s="192">
        <f>IFERROR(VLOOKUP(A67,[1]Energiindhold!$A$2:$C$11,3,FALSE),IFERROR(VLOOKUP(A67,[1]Biogasudbytte!$A$2:$B$18,2,FALSE)*[1]Energiindhold!$C$10,0))*O67</f>
        <v>0</v>
      </c>
      <c r="R67" s="192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17.99565288322793</v>
      </c>
      <c r="S67" s="192">
        <f>IFERROR(VLOOKUP(A67,[1]Biogasudbytte!$A$2:$B$18,2,FALSE)*[1]Energiindhold!$C$10,0)*J67*IFERROR(VLOOKUP(A67,Biogasanlæg!$F$3:$G$8,2,FALSE),1)</f>
        <v>0.32723984657453098</v>
      </c>
      <c r="T67" s="193">
        <f t="shared" si="11"/>
        <v>17.668413036653398</v>
      </c>
      <c r="U67" s="191">
        <f>O67*IFERROR(VLOOKUP(A67,[1]Tørstofindhold!A$2:B$24,2,FALSE),0)</f>
        <v>0</v>
      </c>
      <c r="V67" s="192">
        <f>IF(D67=År1,P67,SUM(O67,P67))*IFERROR(VLOOKUP(A67,[1]Tørstofindhold!A$2:B$24,2,FALSE),0)</f>
        <v>1501265.9185624323</v>
      </c>
      <c r="W67" s="192">
        <f>J67*IFERROR(VLOOKUP(A67,[1]Tørstofindhold!A$2:B$24,2,FALSE),0)</f>
        <v>48244.200818717989</v>
      </c>
      <c r="X67" s="193">
        <f t="shared" si="12"/>
        <v>1453021.7177437143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4" t="str">
        <f t="shared" si="17"/>
        <v>Have/parkaffald</v>
      </c>
      <c r="B68" s="194" t="str">
        <f t="shared" si="18"/>
        <v>Bionedbrydeligt affald</v>
      </c>
      <c r="C68" s="194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4">
        <f t="shared" si="19"/>
        <v>2030</v>
      </c>
      <c r="E68" s="192" t="s">
        <v>23</v>
      </c>
      <c r="F68" s="195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526734.10986839118</v>
      </c>
      <c r="G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2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5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4">
        <f t="shared" si="9"/>
        <v>0</v>
      </c>
      <c r="O68" s="195">
        <f t="shared" si="20"/>
        <v>0</v>
      </c>
      <c r="P68" s="205">
        <f t="shared" si="10"/>
        <v>526734.10986839118</v>
      </c>
      <c r="Q68" s="192">
        <f>IFERROR(VLOOKUP(A68,[1]Energiindhold!$A$2:$C$11,3,FALSE),IFERROR(VLOOKUP(A68,[1]Biogasudbytte!$A$2:$B$18,2,FALSE)*[1]Energiindhold!$C$10,0))*O68</f>
        <v>0</v>
      </c>
      <c r="R68" s="192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2">
        <f>IFERROR(VLOOKUP(A68,[1]Biogasudbytte!$A$2:$B$18,2,FALSE)*[1]Energiindhold!$C$10,0)*J68*IFERROR(VLOOKUP(A68,Biogasanlæg!$F$3:$G$8,2,FALSE),1)</f>
        <v>7.0985968194887394E-5</v>
      </c>
      <c r="T68" s="193">
        <f t="shared" si="11"/>
        <v>9.4026271924825835</v>
      </c>
      <c r="U68" s="191">
        <f>O68*IFERROR(VLOOKUP(A68,[1]Tørstofindhold!A$2:B$24,2,FALSE),0)</f>
        <v>0</v>
      </c>
      <c r="V68" s="192">
        <f>IF(D68=År1,P68,SUM(O68,P68))*IFERROR(VLOOKUP(A68,[1]Tørstofindhold!A$2:B$24,2,FALSE),0)</f>
        <v>158020.23296051734</v>
      </c>
      <c r="W68" s="192">
        <f>J68*IFERROR(VLOOKUP(A68,[1]Tørstofindhold!A$2:B$24,2,FALSE),0)</f>
        <v>12.541173484288761</v>
      </c>
      <c r="X68" s="193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x14ac:dyDescent="0.25">
      <c r="A69" s="194" t="str">
        <f t="shared" si="17"/>
        <v>Import af foder</v>
      </c>
      <c r="B69" s="194" t="str">
        <f t="shared" si="18"/>
        <v/>
      </c>
      <c r="C69" s="194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4">
        <f t="shared" si="19"/>
        <v>2030</v>
      </c>
      <c r="E69" s="192" t="s">
        <v>23</v>
      </c>
      <c r="F69" s="195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3862742.0312364982</v>
      </c>
      <c r="H69" s="192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5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4">
        <f t="shared" si="9"/>
        <v>-3862742.0312364982</v>
      </c>
      <c r="O69" s="195">
        <f t="shared" si="20"/>
        <v>0</v>
      </c>
      <c r="P69" s="205">
        <f t="shared" si="10"/>
        <v>0</v>
      </c>
      <c r="Q69" s="192">
        <f>IFERROR(VLOOKUP(A69,[1]Energiindhold!$A$2:$C$11,3,FALSE),IFERROR(VLOOKUP(A69,[1]Biogasudbytte!$A$2:$B$18,2,FALSE)*[1]Energiindhold!$C$10,0))*O69</f>
        <v>0</v>
      </c>
      <c r="R69" s="192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2">
        <f>IFERROR(VLOOKUP(A69,[1]Biogasudbytte!$A$2:$B$18,2,FALSE)*[1]Energiindhold!$C$10,0)*J69*IFERROR(VLOOKUP(A69,Biogasanlæg!$F$3:$G$8,2,FALSE),1)</f>
        <v>0</v>
      </c>
      <c r="T69" s="193">
        <f t="shared" si="11"/>
        <v>0</v>
      </c>
      <c r="U69" s="191">
        <f>O69*IFERROR(VLOOKUP(A69,[1]Tørstofindhold!A$2:B$24,2,FALSE),0)</f>
        <v>0</v>
      </c>
      <c r="V69" s="192">
        <f>IF(D69=År1,P69,SUM(O69,P69))*IFERROR(VLOOKUP(A69,[1]Tørstofindhold!A$2:B$24,2,FALSE),0)</f>
        <v>0</v>
      </c>
      <c r="W69" s="192">
        <f>J69*IFERROR(VLOOKUP(A69,[1]Tørstofindhold!A$2:B$24,2,FALSE),0)</f>
        <v>0</v>
      </c>
      <c r="X69" s="193">
        <f t="shared" si="12"/>
        <v>0</v>
      </c>
      <c r="Y69" s="171">
        <f t="shared" si="21"/>
        <v>1</v>
      </c>
      <c r="Z69" s="103">
        <f t="shared" si="22"/>
        <v>0</v>
      </c>
    </row>
    <row r="70" spans="1:26" x14ac:dyDescent="0.25">
      <c r="A70" s="194" t="str">
        <f t="shared" si="17"/>
        <v>Industriaffald</v>
      </c>
      <c r="B70" s="194" t="str">
        <f t="shared" si="18"/>
        <v>Bionedbrydeligt affald</v>
      </c>
      <c r="C70" s="194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4">
        <f t="shared" si="19"/>
        <v>2030</v>
      </c>
      <c r="E70" s="192" t="s">
        <v>23</v>
      </c>
      <c r="F70" s="195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456500.14494289405</v>
      </c>
      <c r="G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2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508461.98144503916</v>
      </c>
      <c r="K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5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4">
        <f t="shared" si="9"/>
        <v>-51961.836502145103</v>
      </c>
      <c r="O70" s="195">
        <f t="shared" si="20"/>
        <v>0</v>
      </c>
      <c r="P70" s="205">
        <f t="shared" si="10"/>
        <v>508461.98144503916</v>
      </c>
      <c r="Q70" s="192">
        <f>IFERROR(VLOOKUP(A70,[1]Energiindhold!$A$2:$C$11,3,FALSE),IFERROR(VLOOKUP(A70,[1]Biogasudbytte!$A$2:$B$18,2,FALSE)*[1]Energiindhold!$C$10,0))*O70</f>
        <v>0</v>
      </c>
      <c r="R70" s="192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1.8727470858101014</v>
      </c>
      <c r="S70" s="192">
        <f>IFERROR(VLOOKUP(A70,[1]Biogasudbytte!$A$2:$B$18,2,FALSE)*[1]Energiindhold!$C$10,0)*J70*IFERROR(VLOOKUP(A70,Biogasanlæg!$F$3:$G$8,2,FALSE),1)</f>
        <v>1.8727470858101014</v>
      </c>
      <c r="T70" s="193">
        <f t="shared" si="11"/>
        <v>0</v>
      </c>
      <c r="U70" s="191">
        <f>O70*IFERROR(VLOOKUP(A70,[1]Tørstofindhold!A$2:B$24,2,FALSE),0)</f>
        <v>0</v>
      </c>
      <c r="V70" s="192">
        <f>IF(D70=År1,P70,SUM(O70,P70))*IFERROR(VLOOKUP(A70,[1]Tørstofindhold!A$2:B$24,2,FALSE),0)</f>
        <v>213554.03220691642</v>
      </c>
      <c r="W70" s="192">
        <f>J70*IFERROR(VLOOKUP(A70,[1]Tørstofindhold!A$2:B$24,2,FALSE),0)</f>
        <v>213554.03220691642</v>
      </c>
      <c r="X70" s="193">
        <f t="shared" si="12"/>
        <v>0</v>
      </c>
      <c r="Y70" s="171">
        <f t="shared" si="21"/>
        <v>1</v>
      </c>
      <c r="Z70" s="103">
        <f t="shared" si="22"/>
        <v>0</v>
      </c>
    </row>
    <row r="71" spans="1:26" x14ac:dyDescent="0.25">
      <c r="A71" s="194" t="str">
        <f t="shared" si="17"/>
        <v>Juletræer</v>
      </c>
      <c r="B71" s="194" t="str">
        <f t="shared" si="18"/>
        <v/>
      </c>
      <c r="C71" s="194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4">
        <f t="shared" si="19"/>
        <v>2030</v>
      </c>
      <c r="E71" s="192" t="s">
        <v>23</v>
      </c>
      <c r="F71" s="195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713505.92728443746</v>
      </c>
      <c r="G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2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5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4">
        <f t="shared" si="9"/>
        <v>713505.92728443746</v>
      </c>
      <c r="O71" s="195">
        <f t="shared" si="20"/>
        <v>0</v>
      </c>
      <c r="P71" s="205">
        <f t="shared" si="10"/>
        <v>0</v>
      </c>
      <c r="Q71" s="192">
        <f>IFERROR(VLOOKUP(A71,[1]Energiindhold!$A$2:$C$11,3,FALSE),IFERROR(VLOOKUP(A71,[1]Biogasudbytte!$A$2:$B$18,2,FALSE)*[1]Energiindhold!$C$10,0))*O71</f>
        <v>0</v>
      </c>
      <c r="R71" s="192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2">
        <f>IFERROR(VLOOKUP(A71,[1]Biogasudbytte!$A$2:$B$18,2,FALSE)*[1]Energiindhold!$C$10,0)*J71*IFERROR(VLOOKUP(A71,Biogasanlæg!$F$3:$G$8,2,FALSE),1)</f>
        <v>0</v>
      </c>
      <c r="T71" s="193">
        <f t="shared" si="11"/>
        <v>0</v>
      </c>
      <c r="U71" s="191">
        <f>O71*IFERROR(VLOOKUP(A71,[1]Tørstofindhold!A$2:B$24,2,FALSE),0)</f>
        <v>0</v>
      </c>
      <c r="V71" s="192">
        <f>IF(D71=År1,P71,SUM(O71,P71))*IFERROR(VLOOKUP(A71,[1]Tørstofindhold!A$2:B$24,2,FALSE),0)</f>
        <v>0</v>
      </c>
      <c r="W71" s="192">
        <f>J71*IFERROR(VLOOKUP(A71,[1]Tørstofindhold!A$2:B$24,2,FALSE),0)</f>
        <v>0</v>
      </c>
      <c r="X71" s="193">
        <f t="shared" si="12"/>
        <v>0</v>
      </c>
      <c r="Y71" s="171">
        <f t="shared" si="21"/>
        <v>0</v>
      </c>
      <c r="Z71" s="103">
        <f t="shared" si="22"/>
        <v>1</v>
      </c>
    </row>
    <row r="72" spans="1:26" x14ac:dyDescent="0.25">
      <c r="A72" s="194" t="str">
        <f t="shared" si="17"/>
        <v>Kartofler</v>
      </c>
      <c r="B72" s="194" t="str">
        <f t="shared" si="18"/>
        <v/>
      </c>
      <c r="C72" s="194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4">
        <f t="shared" si="19"/>
        <v>2030</v>
      </c>
      <c r="E72" s="192" t="s">
        <v>23</v>
      </c>
      <c r="F72" s="195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1778992.2257450195</v>
      </c>
      <c r="G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2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5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4">
        <f t="shared" si="9"/>
        <v>1655460.5426482284</v>
      </c>
      <c r="O72" s="195">
        <f t="shared" si="20"/>
        <v>0</v>
      </c>
      <c r="P72" s="205">
        <f t="shared" si="10"/>
        <v>0</v>
      </c>
      <c r="Q72" s="192">
        <f>IFERROR(VLOOKUP(A72,[1]Energiindhold!$A$2:$C$11,3,FALSE),IFERROR(VLOOKUP(A72,[1]Biogasudbytte!$A$2:$B$18,2,FALSE)*[1]Energiindhold!$C$10,0))*O72</f>
        <v>0</v>
      </c>
      <c r="R72" s="192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2">
        <f>IFERROR(VLOOKUP(A72,[1]Biogasudbytte!$A$2:$B$18,2,FALSE)*[1]Energiindhold!$C$10,0)*J72*IFERROR(VLOOKUP(A72,Biogasanlæg!$F$3:$G$8,2,FALSE),1)</f>
        <v>0</v>
      </c>
      <c r="T72" s="193">
        <f t="shared" si="11"/>
        <v>0</v>
      </c>
      <c r="U72" s="191">
        <f>O72*IFERROR(VLOOKUP(A72,[1]Tørstofindhold!A$2:B$24,2,FALSE),0)</f>
        <v>0</v>
      </c>
      <c r="V72" s="192">
        <f>IF(D72=År1,P72,SUM(O72,P72))*IFERROR(VLOOKUP(A72,[1]Tørstofindhold!A$2:B$24,2,FALSE),0)</f>
        <v>0</v>
      </c>
      <c r="W72" s="192">
        <f>J72*IFERROR(VLOOKUP(A72,[1]Tørstofindhold!A$2:B$24,2,FALSE),0)</f>
        <v>0</v>
      </c>
      <c r="X72" s="193">
        <f t="shared" si="12"/>
        <v>0</v>
      </c>
      <c r="Y72" s="171">
        <f t="shared" si="21"/>
        <v>0</v>
      </c>
      <c r="Z72" s="103">
        <f t="shared" si="22"/>
        <v>1</v>
      </c>
    </row>
    <row r="73" spans="1:26" x14ac:dyDescent="0.25">
      <c r="A73" s="194" t="str">
        <f t="shared" si="17"/>
        <v>Korn</v>
      </c>
      <c r="B73" s="194" t="str">
        <f t="shared" si="18"/>
        <v>Halm og strå</v>
      </c>
      <c r="C73" s="194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4">
        <f t="shared" si="19"/>
        <v>2030</v>
      </c>
      <c r="E73" s="192" t="s">
        <v>23</v>
      </c>
      <c r="F73" s="195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5381619.5037339376</v>
      </c>
      <c r="G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4703372.1615964994</v>
      </c>
      <c r="H73" s="192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2914.9101192356643</v>
      </c>
      <c r="K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5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4">
        <f t="shared" si="9"/>
        <v>379399.3889951203</v>
      </c>
      <c r="O73" s="195">
        <f t="shared" si="20"/>
        <v>379399.3889951203</v>
      </c>
      <c r="P73" s="205">
        <f t="shared" si="10"/>
        <v>2914.9101192356643</v>
      </c>
      <c r="Q73" s="192">
        <f>IFERROR(VLOOKUP(A73,[1]Energiindhold!$A$2:$C$11,3,FALSE),IFERROR(VLOOKUP(A73,[1]Biogasudbytte!$A$2:$B$18,2,FALSE)*[1]Energiindhold!$C$10,0))*O73</f>
        <v>1.2993897913938279</v>
      </c>
      <c r="R73" s="192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1.3093729504647933</v>
      </c>
      <c r="S73" s="192">
        <f>IFERROR(VLOOKUP(A73,[1]Biogasudbytte!$A$2:$B$18,2,FALSE)*[1]Energiindhold!$C$10,0)*J73*IFERROR(VLOOKUP(A73,Biogasanlæg!$F$3:$G$8,2,FALSE),1)</f>
        <v>9.9831590709654593E-3</v>
      </c>
      <c r="T73" s="193">
        <f t="shared" si="11"/>
        <v>1.2993897913938279</v>
      </c>
      <c r="U73" s="191">
        <f>O73*IFERROR(VLOOKUP(A73,[1]Tørstofindhold!A$2:B$24,2,FALSE),0)</f>
        <v>117613.81058848729</v>
      </c>
      <c r="V73" s="192">
        <f>IF(D73=År1,P73,SUM(O73,P73))*IFERROR(VLOOKUP(A73,[1]Tørstofindhold!A$2:B$24,2,FALSE),0)</f>
        <v>118517.43272545036</v>
      </c>
      <c r="W73" s="192">
        <f>J73*IFERROR(VLOOKUP(A73,[1]Tørstofindhold!A$2:B$24,2,FALSE),0)</f>
        <v>903.62213696305594</v>
      </c>
      <c r="X73" s="193">
        <f t="shared" si="12"/>
        <v>117613.81058848731</v>
      </c>
      <c r="Y73" s="171">
        <f t="shared" si="21"/>
        <v>0</v>
      </c>
      <c r="Z73" s="103">
        <f t="shared" si="22"/>
        <v>1</v>
      </c>
    </row>
    <row r="74" spans="1:26" x14ac:dyDescent="0.25">
      <c r="A74" s="194" t="str">
        <f t="shared" si="17"/>
        <v>Kunstgødning</v>
      </c>
      <c r="B74" s="194" t="str">
        <f t="shared" si="18"/>
        <v/>
      </c>
      <c r="C74" s="194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4">
        <f t="shared" si="19"/>
        <v>2030</v>
      </c>
      <c r="E74" s="192" t="s">
        <v>23</v>
      </c>
      <c r="F74" s="195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2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5" t="e">
        <f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#REF!</v>
      </c>
      <c r="L74" s="195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4" t="e">
        <f t="shared" si="9"/>
        <v>#REF!</v>
      </c>
      <c r="O74" s="195">
        <f t="shared" si="20"/>
        <v>0</v>
      </c>
      <c r="P74" s="205">
        <f t="shared" si="10"/>
        <v>0</v>
      </c>
      <c r="Q74" s="192">
        <f>IFERROR(VLOOKUP(A74,[1]Energiindhold!$A$2:$C$11,3,FALSE),IFERROR(VLOOKUP(A74,[1]Biogasudbytte!$A$2:$B$18,2,FALSE)*[1]Energiindhold!$C$10,0))*O74</f>
        <v>0</v>
      </c>
      <c r="R74" s="192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2">
        <f>IFERROR(VLOOKUP(A74,[1]Biogasudbytte!$A$2:$B$18,2,FALSE)*[1]Energiindhold!$C$10,0)*J74*IFERROR(VLOOKUP(A74,Biogasanlæg!$F$3:$G$8,2,FALSE),1)</f>
        <v>0</v>
      </c>
      <c r="T74" s="193">
        <f t="shared" si="11"/>
        <v>0</v>
      </c>
      <c r="U74" s="191">
        <f>O74*IFERROR(VLOOKUP(A74,[1]Tørstofindhold!A$2:B$24,2,FALSE),0)</f>
        <v>0</v>
      </c>
      <c r="V74" s="192">
        <f>IF(D74=År1,P74,SUM(O74,P74))*IFERROR(VLOOKUP(A74,[1]Tørstofindhold!A$2:B$24,2,FALSE),0)</f>
        <v>0</v>
      </c>
      <c r="W74" s="192">
        <f>J74*IFERROR(VLOOKUP(A74,[1]Tørstofindhold!A$2:B$24,2,FALSE),0)</f>
        <v>0</v>
      </c>
      <c r="X74" s="193">
        <f t="shared" si="12"/>
        <v>0</v>
      </c>
      <c r="Y74" s="171" t="e">
        <f t="shared" si="21"/>
        <v>#REF!</v>
      </c>
      <c r="Z74" s="103" t="e">
        <f t="shared" si="22"/>
        <v>#REF!</v>
      </c>
    </row>
    <row r="75" spans="1:26" x14ac:dyDescent="0.25">
      <c r="A75" s="194" t="str">
        <f t="shared" si="17"/>
        <v>Kvæggylle</v>
      </c>
      <c r="B75" s="194" t="str">
        <f t="shared" si="18"/>
        <v>Husdyrgødning</v>
      </c>
      <c r="C75" s="194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4">
        <f t="shared" si="19"/>
        <v>2030</v>
      </c>
      <c r="E75" s="192" t="s">
        <v>23</v>
      </c>
      <c r="F75" s="195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10386797.369068628</v>
      </c>
      <c r="G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2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9348117.6321617663</v>
      </c>
      <c r="K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688125.32570079644</v>
      </c>
      <c r="L75" s="195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4">
        <f t="shared" si="9"/>
        <v>350554.41120606475</v>
      </c>
      <c r="O75" s="195">
        <f t="shared" si="20"/>
        <v>350554.41120606475</v>
      </c>
      <c r="P75" s="205">
        <f t="shared" si="10"/>
        <v>9348117.6321617663</v>
      </c>
      <c r="Q75" s="192">
        <f>IFERROR(VLOOKUP(A75,[1]Energiindhold!$A$2:$C$11,3,FALSE),IFERROR(VLOOKUP(A75,[1]Biogasudbytte!$A$2:$B$18,2,FALSE)*[1]Energiindhold!$C$10,0))*O75</f>
        <v>0.17744713740839793</v>
      </c>
      <c r="R75" s="192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4.9093708016323632</v>
      </c>
      <c r="S75" s="192">
        <f>IFERROR(VLOOKUP(A75,[1]Biogasudbytte!$A$2:$B$18,2,FALSE)*[1]Energiindhold!$C$10,0)*J75*IFERROR(VLOOKUP(A75,Biogasanlæg!$F$3:$G$8,2,FALSE),1)</f>
        <v>4.7319236642239648</v>
      </c>
      <c r="T75" s="193">
        <f t="shared" si="11"/>
        <v>0.17744713740839835</v>
      </c>
      <c r="U75" s="191">
        <f>O75*IFERROR(VLOOKUP(A75,[1]Tørstofindhold!A$2:B$24,2,FALSE),0)</f>
        <v>26642.135251660919</v>
      </c>
      <c r="V75" s="192">
        <f>IF(D75=År1,P75,SUM(O75,P75))*IFERROR(VLOOKUP(A75,[1]Tørstofindhold!A$2:B$24,2,FALSE),0)</f>
        <v>737099.07529595518</v>
      </c>
      <c r="W75" s="192">
        <f>J75*IFERROR(VLOOKUP(A75,[1]Tørstofindhold!A$2:B$24,2,FALSE),0)</f>
        <v>710456.94004429423</v>
      </c>
      <c r="X75" s="193">
        <f t="shared" si="12"/>
        <v>26642.135251660948</v>
      </c>
      <c r="Y75" s="171">
        <f t="shared" si="21"/>
        <v>0</v>
      </c>
      <c r="Z75" s="103">
        <f t="shared" si="22"/>
        <v>1</v>
      </c>
    </row>
    <row r="76" spans="1:26" x14ac:dyDescent="0.25">
      <c r="A76" s="194" t="str">
        <f t="shared" si="17"/>
        <v>Mælk til foder</v>
      </c>
      <c r="B76" s="194" t="str">
        <f t="shared" si="18"/>
        <v/>
      </c>
      <c r="C76" s="194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4">
        <f t="shared" si="19"/>
        <v>2030</v>
      </c>
      <c r="E76" s="192" t="s">
        <v>23</v>
      </c>
      <c r="F76" s="195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1296795.0922933305</v>
      </c>
      <c r="G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1212571.3389336092</v>
      </c>
      <c r="H76" s="192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5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4">
        <f t="shared" si="9"/>
        <v>84223.753359721275</v>
      </c>
      <c r="O76" s="195">
        <f t="shared" si="20"/>
        <v>0</v>
      </c>
      <c r="P76" s="205">
        <f t="shared" si="10"/>
        <v>0</v>
      </c>
      <c r="Q76" s="192">
        <f>IFERROR(VLOOKUP(A76,[1]Energiindhold!$A$2:$C$11,3,FALSE),IFERROR(VLOOKUP(A76,[1]Biogasudbytte!$A$2:$B$18,2,FALSE)*[1]Energiindhold!$C$10,0))*O76</f>
        <v>0</v>
      </c>
      <c r="R76" s="192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2">
        <f>IFERROR(VLOOKUP(A76,[1]Biogasudbytte!$A$2:$B$18,2,FALSE)*[1]Energiindhold!$C$10,0)*J76*IFERROR(VLOOKUP(A76,Biogasanlæg!$F$3:$G$8,2,FALSE),1)</f>
        <v>0</v>
      </c>
      <c r="T76" s="193">
        <f t="shared" si="11"/>
        <v>0</v>
      </c>
      <c r="U76" s="191">
        <f>O76*IFERROR(VLOOKUP(A76,[1]Tørstofindhold!A$2:B$24,2,FALSE),0)</f>
        <v>0</v>
      </c>
      <c r="V76" s="192">
        <f>IF(D76=År1,P76,SUM(O76,P76))*IFERROR(VLOOKUP(A76,[1]Tørstofindhold!A$2:B$24,2,FALSE),0)</f>
        <v>0</v>
      </c>
      <c r="W76" s="192">
        <f>J76*IFERROR(VLOOKUP(A76,[1]Tørstofindhold!A$2:B$24,2,FALSE),0)</f>
        <v>0</v>
      </c>
      <c r="X76" s="193">
        <f t="shared" si="12"/>
        <v>0</v>
      </c>
      <c r="Y76" s="171">
        <f t="shared" si="21"/>
        <v>0</v>
      </c>
      <c r="Z76" s="103">
        <f t="shared" si="22"/>
        <v>1</v>
      </c>
    </row>
    <row r="77" spans="1:26" x14ac:dyDescent="0.25">
      <c r="A77" s="194" t="str">
        <f t="shared" si="17"/>
        <v>Majs</v>
      </c>
      <c r="B77" s="194" t="str">
        <f t="shared" si="18"/>
        <v>Græs og urter</v>
      </c>
      <c r="C77" s="194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4">
        <f t="shared" si="19"/>
        <v>2030</v>
      </c>
      <c r="E77" s="192" t="s">
        <v>23</v>
      </c>
      <c r="F77" s="195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5903489.3992296383</v>
      </c>
      <c r="G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4525643.0291759707</v>
      </c>
      <c r="H77" s="192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255215.75389295255</v>
      </c>
      <c r="K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5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4">
        <f t="shared" si="9"/>
        <v>1122630.616160715</v>
      </c>
      <c r="O77" s="195">
        <f t="shared" si="20"/>
        <v>1122630.616160715</v>
      </c>
      <c r="P77" s="205">
        <f t="shared" si="10"/>
        <v>255215.75389295255</v>
      </c>
      <c r="Q77" s="192">
        <f>IFERROR(VLOOKUP(A77,[1]Energiindhold!$A$2:$C$11,3,FALSE),IFERROR(VLOOKUP(A77,[1]Biogasudbytte!$A$2:$B$18,2,FALSE)*[1]Energiindhold!$C$10,0))*O77</f>
        <v>4.0302439120169673</v>
      </c>
      <c r="R77" s="192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4.9464684684926672</v>
      </c>
      <c r="S77" s="192">
        <f>IFERROR(VLOOKUP(A77,[1]Biogasudbytte!$A$2:$B$18,2,FALSE)*[1]Energiindhold!$C$10,0)*J77*IFERROR(VLOOKUP(A77,Biogasanlæg!$F$3:$G$8,2,FALSE),1)</f>
        <v>0.91622455647569978</v>
      </c>
      <c r="T77" s="193">
        <f t="shared" si="11"/>
        <v>4.0302439120169673</v>
      </c>
      <c r="U77" s="191">
        <f>O77*IFERROR(VLOOKUP(A77,[1]Tørstofindhold!A$2:B$24,2,FALSE),0)</f>
        <v>336789.1848482145</v>
      </c>
      <c r="V77" s="192">
        <f>IF(D77=År1,P77,SUM(O77,P77))*IFERROR(VLOOKUP(A77,[1]Tørstofindhold!A$2:B$24,2,FALSE),0)</f>
        <v>413353.91101610026</v>
      </c>
      <c r="W77" s="192">
        <f>J77*IFERROR(VLOOKUP(A77,[1]Tørstofindhold!A$2:B$24,2,FALSE),0)</f>
        <v>76564.726167885761</v>
      </c>
      <c r="X77" s="193">
        <f t="shared" si="12"/>
        <v>336789.1848482145</v>
      </c>
      <c r="Y77" s="171">
        <f t="shared" si="21"/>
        <v>0</v>
      </c>
      <c r="Z77" s="103">
        <f t="shared" si="22"/>
        <v>1</v>
      </c>
    </row>
    <row r="78" spans="1:26" x14ac:dyDescent="0.25">
      <c r="A78" s="194" t="str">
        <f t="shared" si="17"/>
        <v>Mejeriprodukter</v>
      </c>
      <c r="B78" s="194" t="str">
        <f t="shared" si="18"/>
        <v/>
      </c>
      <c r="C78" s="194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4">
        <f t="shared" si="19"/>
        <v>2030</v>
      </c>
      <c r="E78" s="192" t="s">
        <v>23</v>
      </c>
      <c r="F78" s="195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2502141.5052936058</v>
      </c>
      <c r="G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2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5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4">
        <f t="shared" si="9"/>
        <v>2029734.6292751078</v>
      </c>
      <c r="O78" s="195">
        <f t="shared" si="20"/>
        <v>0</v>
      </c>
      <c r="P78" s="205">
        <f t="shared" si="10"/>
        <v>0</v>
      </c>
      <c r="Q78" s="192">
        <f>IFERROR(VLOOKUP(A78,[1]Energiindhold!$A$2:$C$11,3,FALSE),IFERROR(VLOOKUP(A78,[1]Biogasudbytte!$A$2:$B$18,2,FALSE)*[1]Energiindhold!$C$10,0))*O78</f>
        <v>0</v>
      </c>
      <c r="R78" s="192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2">
        <f>IFERROR(VLOOKUP(A78,[1]Biogasudbytte!$A$2:$B$18,2,FALSE)*[1]Energiindhold!$C$10,0)*J78*IFERROR(VLOOKUP(A78,Biogasanlæg!$F$3:$G$8,2,FALSE),1)</f>
        <v>0</v>
      </c>
      <c r="T78" s="193">
        <f t="shared" si="11"/>
        <v>0</v>
      </c>
      <c r="U78" s="191">
        <f>O78*IFERROR(VLOOKUP(A78,[1]Tørstofindhold!A$2:B$24,2,FALSE),0)</f>
        <v>0</v>
      </c>
      <c r="V78" s="192">
        <f>IF(D78=År1,P78,SUM(O78,P78))*IFERROR(VLOOKUP(A78,[1]Tørstofindhold!A$2:B$24,2,FALSE),0)</f>
        <v>0</v>
      </c>
      <c r="W78" s="192">
        <f>J78*IFERROR(VLOOKUP(A78,[1]Tørstofindhold!A$2:B$24,2,FALSE),0)</f>
        <v>0</v>
      </c>
      <c r="X78" s="193">
        <f t="shared" si="12"/>
        <v>0</v>
      </c>
      <c r="Y78" s="171">
        <f t="shared" si="21"/>
        <v>0</v>
      </c>
      <c r="Z78" s="103">
        <f t="shared" si="22"/>
        <v>1</v>
      </c>
    </row>
    <row r="79" spans="1:26" x14ac:dyDescent="0.25">
      <c r="A79" s="194" t="str">
        <f t="shared" si="17"/>
        <v>Muslinger</v>
      </c>
      <c r="B79" s="194" t="str">
        <f t="shared" si="18"/>
        <v>Havbiomasse</v>
      </c>
      <c r="C79" s="194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4">
        <f t="shared" si="19"/>
        <v>2030</v>
      </c>
      <c r="E79" s="192" t="s">
        <v>23</v>
      </c>
      <c r="F79" s="195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144989.33878430488</v>
      </c>
      <c r="G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2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5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4">
        <f t="shared" si="9"/>
        <v>144989.33878430488</v>
      </c>
      <c r="O79" s="195">
        <f t="shared" si="20"/>
        <v>144989.33878430488</v>
      </c>
      <c r="P79" s="205">
        <f t="shared" si="10"/>
        <v>0</v>
      </c>
      <c r="Q79" s="192">
        <f>IFERROR(VLOOKUP(A79,[1]Energiindhold!$A$2:$C$11,3,FALSE),IFERROR(VLOOKUP(A79,[1]Biogasudbytte!$A$2:$B$18,2,FALSE)*[1]Energiindhold!$C$10,0))*O79</f>
        <v>0.13012793155891364</v>
      </c>
      <c r="R79" s="192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2">
        <f>IFERROR(VLOOKUP(A79,[1]Biogasudbytte!$A$2:$B$18,2,FALSE)*[1]Energiindhold!$C$10,0)*J79*IFERROR(VLOOKUP(A79,Biogasanlæg!$F$3:$G$8,2,FALSE),1)</f>
        <v>0</v>
      </c>
      <c r="T79" s="193">
        <f t="shared" si="11"/>
        <v>0.13012793155891364</v>
      </c>
      <c r="U79" s="191">
        <f>O79*IFERROR(VLOOKUP(A79,[1]Tørstofindhold!A$2:B$24,2,FALSE),0)</f>
        <v>21748.400817645732</v>
      </c>
      <c r="V79" s="192">
        <f>IF(D79=År1,P79,SUM(O79,P79))*IFERROR(VLOOKUP(A79,[1]Tørstofindhold!A$2:B$24,2,FALSE),0)</f>
        <v>21748.400817645732</v>
      </c>
      <c r="W79" s="192">
        <f>J79*IFERROR(VLOOKUP(A79,[1]Tørstofindhold!A$2:B$24,2,FALSE),0)</f>
        <v>0</v>
      </c>
      <c r="X79" s="193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x14ac:dyDescent="0.25">
      <c r="A80" s="194" t="str">
        <f t="shared" si="17"/>
        <v>Oksekød</v>
      </c>
      <c r="B80" s="194" t="str">
        <f t="shared" si="18"/>
        <v/>
      </c>
      <c r="C80" s="194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4">
        <f t="shared" si="19"/>
        <v>2030</v>
      </c>
      <c r="E80" s="192" t="s">
        <v>23</v>
      </c>
      <c r="F80" s="195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84934.510833187902</v>
      </c>
      <c r="G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2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5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4">
        <f t="shared" si="9"/>
        <v>24906.257794285637</v>
      </c>
      <c r="O80" s="195">
        <f t="shared" si="20"/>
        <v>0</v>
      </c>
      <c r="P80" s="205">
        <f t="shared" si="10"/>
        <v>0</v>
      </c>
      <c r="Q80" s="192">
        <f>IFERROR(VLOOKUP(A80,[1]Energiindhold!$A$2:$C$11,3,FALSE),IFERROR(VLOOKUP(A80,[1]Biogasudbytte!$A$2:$B$18,2,FALSE)*[1]Energiindhold!$C$10,0))*O80</f>
        <v>0</v>
      </c>
      <c r="R80" s="192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2">
        <f>IFERROR(VLOOKUP(A80,[1]Biogasudbytte!$A$2:$B$18,2,FALSE)*[1]Energiindhold!$C$10,0)*J80*IFERROR(VLOOKUP(A80,Biogasanlæg!$F$3:$G$8,2,FALSE),1)</f>
        <v>0</v>
      </c>
      <c r="T80" s="193">
        <f t="shared" si="11"/>
        <v>0</v>
      </c>
      <c r="U80" s="191">
        <f>O80*IFERROR(VLOOKUP(A80,[1]Tørstofindhold!A$2:B$24,2,FALSE),0)</f>
        <v>0</v>
      </c>
      <c r="V80" s="192">
        <f>IF(D80=År1,P80,SUM(O80,P80))*IFERROR(VLOOKUP(A80,[1]Tørstofindhold!A$2:B$24,2,FALSE),0)</f>
        <v>0</v>
      </c>
      <c r="W80" s="192">
        <f>J80*IFERROR(VLOOKUP(A80,[1]Tørstofindhold!A$2:B$24,2,FALSE),0)</f>
        <v>0</v>
      </c>
      <c r="X80" s="193">
        <f t="shared" si="12"/>
        <v>0</v>
      </c>
      <c r="Y80" s="171">
        <f t="shared" si="21"/>
        <v>1</v>
      </c>
      <c r="Z80" s="103">
        <f t="shared" si="22"/>
        <v>0</v>
      </c>
    </row>
    <row r="81" spans="1:26" x14ac:dyDescent="0.25">
      <c r="A81" s="194" t="str">
        <f t="shared" si="17"/>
        <v>Øvrige</v>
      </c>
      <c r="B81" s="194" t="str">
        <f t="shared" si="18"/>
        <v/>
      </c>
      <c r="C81" s="194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4">
        <f t="shared" si="19"/>
        <v>2030</v>
      </c>
      <c r="E81" s="192" t="s">
        <v>23</v>
      </c>
      <c r="F81" s="195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1025729.6203575714</v>
      </c>
      <c r="G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2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5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4">
        <f t="shared" si="9"/>
        <v>1025729.6203575714</v>
      </c>
      <c r="O81" s="195">
        <f t="shared" si="20"/>
        <v>0</v>
      </c>
      <c r="P81" s="205">
        <f t="shared" si="10"/>
        <v>0</v>
      </c>
      <c r="Q81" s="192">
        <f>IFERROR(VLOOKUP(A81,[1]Energiindhold!$A$2:$C$11,3,FALSE),IFERROR(VLOOKUP(A81,[1]Biogasudbytte!$A$2:$B$18,2,FALSE)*[1]Energiindhold!$C$10,0))*O81</f>
        <v>0</v>
      </c>
      <c r="R81" s="192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2">
        <f>IFERROR(VLOOKUP(A81,[1]Biogasudbytte!$A$2:$B$18,2,FALSE)*[1]Energiindhold!$C$10,0)*J81*IFERROR(VLOOKUP(A81,Biogasanlæg!$F$3:$G$8,2,FALSE),1)</f>
        <v>0</v>
      </c>
      <c r="T81" s="193">
        <f t="shared" si="11"/>
        <v>0</v>
      </c>
      <c r="U81" s="191">
        <f>O81*IFERROR(VLOOKUP(A81,[1]Tørstofindhold!A$2:B$24,2,FALSE),0)</f>
        <v>0</v>
      </c>
      <c r="V81" s="192">
        <f>IF(D81=År1,P81,SUM(O81,P81))*IFERROR(VLOOKUP(A81,[1]Tørstofindhold!A$2:B$24,2,FALSE),0)</f>
        <v>0</v>
      </c>
      <c r="W81" s="192">
        <f>J81*IFERROR(VLOOKUP(A81,[1]Tørstofindhold!A$2:B$24,2,FALSE),0)</f>
        <v>0</v>
      </c>
      <c r="X81" s="193">
        <f t="shared" si="12"/>
        <v>0</v>
      </c>
      <c r="Y81" s="171">
        <f t="shared" si="21"/>
        <v>0</v>
      </c>
      <c r="Z81" s="103">
        <f t="shared" si="22"/>
        <v>1</v>
      </c>
    </row>
    <row r="82" spans="1:26" x14ac:dyDescent="0.25">
      <c r="A82" s="194" t="str">
        <f t="shared" si="17"/>
        <v>Pil &amp; poppel</v>
      </c>
      <c r="B82" s="194" t="str">
        <f t="shared" si="18"/>
        <v>Vedmasse</v>
      </c>
      <c r="C82" s="194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4">
        <f t="shared" si="19"/>
        <v>2030</v>
      </c>
      <c r="E82" s="192" t="s">
        <v>23</v>
      </c>
      <c r="F82" s="195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154484.73733408173</v>
      </c>
      <c r="G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2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5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154484.73733408173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4">
        <f t="shared" ref="N82:N149" si="23">F82-SUM(G82:M82)</f>
        <v>0</v>
      </c>
      <c r="O82" s="195">
        <f t="shared" si="20"/>
        <v>0</v>
      </c>
      <c r="P82" s="205">
        <f t="shared" ref="P82:P149" si="24">SUM(J82,L82)</f>
        <v>154484.73733408173</v>
      </c>
      <c r="Q82" s="192">
        <f>IFERROR(VLOOKUP(A82,[1]Energiindhold!$A$2:$C$11,3,FALSE),IFERROR(VLOOKUP(A82,[1]Biogasudbytte!$A$2:$B$18,2,FALSE)*[1]Energiindhold!$C$10,0))*O82</f>
        <v>0</v>
      </c>
      <c r="R82" s="192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2.8425191669471035</v>
      </c>
      <c r="S82" s="192">
        <f>IFERROR(VLOOKUP(A82,[1]Biogasudbytte!$A$2:$B$18,2,FALSE)*[1]Energiindhold!$C$10,0)*J82*IFERROR(VLOOKUP(A82,Biogasanlæg!$F$3:$G$8,2,FALSE),1)</f>
        <v>0</v>
      </c>
      <c r="T82" s="193">
        <f t="shared" ref="T82:T149" si="25">R82-S82</f>
        <v>2.8425191669471035</v>
      </c>
      <c r="U82" s="191">
        <f>O82*IFERROR(VLOOKUP(A82,[1]Tørstofindhold!A$2:B$24,2,FALSE),0)</f>
        <v>0</v>
      </c>
      <c r="V82" s="192">
        <f>IF(D82=År1,P82,SUM(O82,P82))*IFERROR(VLOOKUP(A82,[1]Tørstofindhold!A$2:B$24,2,FALSE),0)</f>
        <v>64111.165993643925</v>
      </c>
      <c r="W82" s="192">
        <f>J82*IFERROR(VLOOKUP(A82,[1]Tørstofindhold!A$2:B$24,2,FALSE),0)</f>
        <v>0</v>
      </c>
      <c r="X82" s="193">
        <f t="shared" ref="X82:X149" si="26">V82-W82</f>
        <v>64111.165993643925</v>
      </c>
      <c r="Y82" s="171">
        <f t="shared" si="21"/>
        <v>0</v>
      </c>
      <c r="Z82" s="103">
        <f t="shared" si="22"/>
        <v>0</v>
      </c>
    </row>
    <row r="83" spans="1:26" x14ac:dyDescent="0.25">
      <c r="A83" s="194" t="str">
        <f t="shared" ref="A83:A84" si="27">A35</f>
        <v>Pyrolysegas</v>
      </c>
      <c r="B83" s="194" t="str">
        <f t="shared" ref="B83:B84" si="28">IF(B35&lt;&gt;"",B35,"")</f>
        <v>Pyrolyseprodukter</v>
      </c>
      <c r="C83" s="194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4">
        <f t="shared" si="19"/>
        <v>2030</v>
      </c>
      <c r="E83" s="192" t="s">
        <v>23</v>
      </c>
      <c r="F83" s="195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0</v>
      </c>
      <c r="G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2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5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4">
        <f t="shared" ref="N83:N84" si="29">F83-SUM(G83:M83)</f>
        <v>0</v>
      </c>
      <c r="O83" s="195">
        <f t="shared" si="20"/>
        <v>0</v>
      </c>
      <c r="P83" s="205">
        <f t="shared" ref="P83:P84" si="30">SUM(J83,L83)</f>
        <v>0</v>
      </c>
      <c r="Q83" s="192">
        <f>IFERROR(VLOOKUP(A83,[1]Energiindhold!$A$2:$C$11,3,FALSE),IFERROR(VLOOKUP(A83,[1]Biogasudbytte!$A$2:$B$18,2,FALSE)*[1]Energiindhold!$C$10,0))*O83</f>
        <v>0</v>
      </c>
      <c r="R83" s="192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2">
        <f>IFERROR(VLOOKUP(A83,[1]Biogasudbytte!$A$2:$B$18,2,FALSE)*[1]Energiindhold!$C$10,0)*J83*IFERROR(VLOOKUP(A83,Biogasanlæg!$F$3:$G$8,2,FALSE),1)</f>
        <v>0</v>
      </c>
      <c r="T83" s="193">
        <f t="shared" ref="T83:T84" si="31">R83-S83</f>
        <v>0</v>
      </c>
      <c r="U83" s="191">
        <f>O83*IFERROR(VLOOKUP(A83,[1]Tørstofindhold!A$2:B$24,2,FALSE),0)</f>
        <v>0</v>
      </c>
      <c r="V83" s="192">
        <f>IF(D83=År1,P83,SUM(O83,P83))*IFERROR(VLOOKUP(A83,[1]Tørstofindhold!A$2:B$24,2,FALSE),0)</f>
        <v>0</v>
      </c>
      <c r="W83" s="192">
        <f>J83*IFERROR(VLOOKUP(A83,[1]Tørstofindhold!A$2:B$24,2,FALSE),0)</f>
        <v>0</v>
      </c>
      <c r="X83" s="193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x14ac:dyDescent="0.25">
      <c r="A84" s="194" t="str">
        <f t="shared" si="27"/>
        <v>Pyrolyseolie</v>
      </c>
      <c r="B84" s="194" t="str">
        <f t="shared" si="28"/>
        <v>Pyrolyseprodukter</v>
      </c>
      <c r="C84" s="194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4">
        <f t="shared" si="19"/>
        <v>2030</v>
      </c>
      <c r="E84" s="192" t="s">
        <v>23</v>
      </c>
      <c r="F84" s="195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0</v>
      </c>
      <c r="G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2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5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4">
        <f t="shared" si="29"/>
        <v>0</v>
      </c>
      <c r="O84" s="195">
        <f t="shared" si="20"/>
        <v>0</v>
      </c>
      <c r="P84" s="205">
        <f t="shared" si="30"/>
        <v>0</v>
      </c>
      <c r="Q84" s="192">
        <f>IFERROR(VLOOKUP(A84,[1]Energiindhold!$A$2:$C$11,3,FALSE),IFERROR(VLOOKUP(A84,[1]Biogasudbytte!$A$2:$B$18,2,FALSE)*[1]Energiindhold!$C$10,0))*O84</f>
        <v>0</v>
      </c>
      <c r="R84" s="192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2">
        <f>IFERROR(VLOOKUP(A84,[1]Biogasudbytte!$A$2:$B$18,2,FALSE)*[1]Energiindhold!$C$10,0)*J84*IFERROR(VLOOKUP(A84,Biogasanlæg!$F$3:$G$8,2,FALSE),1)</f>
        <v>0</v>
      </c>
      <c r="T84" s="193">
        <f t="shared" si="31"/>
        <v>0</v>
      </c>
      <c r="U84" s="191">
        <f>O84*IFERROR(VLOOKUP(A84,[1]Tørstofindhold!A$2:B$24,2,FALSE),0)</f>
        <v>0</v>
      </c>
      <c r="V84" s="192">
        <f>IF(D84=År1,P84,SUM(O84,P84))*IFERROR(VLOOKUP(A84,[1]Tørstofindhold!A$2:B$24,2,FALSE),0)</f>
        <v>0</v>
      </c>
      <c r="W84" s="192">
        <f>J84*IFERROR(VLOOKUP(A84,[1]Tørstofindhold!A$2:B$24,2,FALSE),0)</f>
        <v>0</v>
      </c>
      <c r="X84" s="193">
        <f t="shared" si="32"/>
        <v>0</v>
      </c>
      <c r="Y84" s="171">
        <f t="shared" si="21"/>
        <v>0</v>
      </c>
      <c r="Z84" s="103">
        <f t="shared" si="22"/>
        <v>0</v>
      </c>
    </row>
    <row r="85" spans="1:26" x14ac:dyDescent="0.25">
      <c r="A85" s="194" t="str">
        <f t="shared" ref="A85:A130" si="33">A37</f>
        <v>Råmælk</v>
      </c>
      <c r="B85" s="194" t="str">
        <f t="shared" ref="B85:B130" si="34">IF(B37&lt;&gt;"",B37,"")</f>
        <v/>
      </c>
      <c r="C85" s="194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4">
        <f t="shared" si="19"/>
        <v>2030</v>
      </c>
      <c r="E85" s="192" t="s">
        <v>23</v>
      </c>
      <c r="F85" s="195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3896345.2282942934</v>
      </c>
      <c r="G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2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5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4">
        <f t="shared" si="23"/>
        <v>3896345.2282942934</v>
      </c>
      <c r="O85" s="195">
        <f t="shared" si="20"/>
        <v>0</v>
      </c>
      <c r="P85" s="205">
        <f t="shared" si="24"/>
        <v>0</v>
      </c>
      <c r="Q85" s="192">
        <f>IFERROR(VLOOKUP(A85,[1]Energiindhold!$A$2:$C$11,3,FALSE),IFERROR(VLOOKUP(A85,[1]Biogasudbytte!$A$2:$B$18,2,FALSE)*[1]Energiindhold!$C$10,0))*O85</f>
        <v>0</v>
      </c>
      <c r="R85" s="192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2">
        <f>IFERROR(VLOOKUP(A85,[1]Biogasudbytte!$A$2:$B$18,2,FALSE)*[1]Energiindhold!$C$10,0)*J85*IFERROR(VLOOKUP(A85,Biogasanlæg!$F$3:$G$8,2,FALSE),1)</f>
        <v>0</v>
      </c>
      <c r="T85" s="193">
        <f t="shared" si="25"/>
        <v>0</v>
      </c>
      <c r="U85" s="191">
        <f>O85*IFERROR(VLOOKUP(A85,[1]Tørstofindhold!A$2:B$24,2,FALSE),0)</f>
        <v>0</v>
      </c>
      <c r="V85" s="192">
        <f>IF(D85=År1,P85,SUM(O85,P85))*IFERROR(VLOOKUP(A85,[1]Tørstofindhold!A$2:B$24,2,FALSE),0)</f>
        <v>0</v>
      </c>
      <c r="W85" s="192">
        <f>J85*IFERROR(VLOOKUP(A85,[1]Tørstofindhold!A$2:B$24,2,FALSE),0)</f>
        <v>0</v>
      </c>
      <c r="X85" s="193">
        <f t="shared" si="26"/>
        <v>0</v>
      </c>
      <c r="Y85" s="171">
        <f t="shared" si="21"/>
        <v>0</v>
      </c>
      <c r="Z85" s="103">
        <f t="shared" si="22"/>
        <v>1</v>
      </c>
    </row>
    <row r="86" spans="1:26" x14ac:dyDescent="0.25">
      <c r="A86" s="194" t="str">
        <f t="shared" si="33"/>
        <v>Raps</v>
      </c>
      <c r="B86" s="194" t="str">
        <f t="shared" si="34"/>
        <v/>
      </c>
      <c r="C86" s="194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4">
        <f t="shared" si="19"/>
        <v>2030</v>
      </c>
      <c r="E86" s="192" t="s">
        <v>23</v>
      </c>
      <c r="F86" s="195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370490.27594297461</v>
      </c>
      <c r="G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2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5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370490.27594297461</v>
      </c>
      <c r="N86" s="204">
        <f t="shared" si="23"/>
        <v>0</v>
      </c>
      <c r="O86" s="195">
        <f t="shared" si="20"/>
        <v>0</v>
      </c>
      <c r="P86" s="205">
        <f t="shared" si="24"/>
        <v>0</v>
      </c>
      <c r="Q86" s="192">
        <f>IFERROR(VLOOKUP(A86,[1]Energiindhold!$A$2:$C$11,3,FALSE),IFERROR(VLOOKUP(A86,[1]Biogasudbytte!$A$2:$B$18,2,FALSE)*[1]Energiindhold!$C$10,0))*O86</f>
        <v>0</v>
      </c>
      <c r="R86" s="192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2">
        <f>IFERROR(VLOOKUP(A86,[1]Biogasudbytte!$A$2:$B$18,2,FALSE)*[1]Energiindhold!$C$10,0)*J86*IFERROR(VLOOKUP(A86,Biogasanlæg!$F$3:$G$8,2,FALSE),1)</f>
        <v>0</v>
      </c>
      <c r="T86" s="193">
        <f t="shared" si="25"/>
        <v>0</v>
      </c>
      <c r="U86" s="191">
        <f>O86*IFERROR(VLOOKUP(A86,[1]Tørstofindhold!A$2:B$24,2,FALSE),0)</f>
        <v>0</v>
      </c>
      <c r="V86" s="192">
        <f>IF(D86=År1,P86,SUM(O86,P86))*IFERROR(VLOOKUP(A86,[1]Tørstofindhold!A$2:B$24,2,FALSE),0)</f>
        <v>0</v>
      </c>
      <c r="W86" s="192">
        <f>J86*IFERROR(VLOOKUP(A86,[1]Tørstofindhold!A$2:B$24,2,FALSE),0)</f>
        <v>0</v>
      </c>
      <c r="X86" s="193">
        <f t="shared" si="26"/>
        <v>0</v>
      </c>
      <c r="Y86" s="171">
        <f t="shared" si="21"/>
        <v>0</v>
      </c>
      <c r="Z86" s="103">
        <f t="shared" si="22"/>
        <v>0</v>
      </c>
    </row>
    <row r="87" spans="1:26" x14ac:dyDescent="0.25">
      <c r="A87" s="194" t="str">
        <f t="shared" si="33"/>
        <v>Rapskage</v>
      </c>
      <c r="B87" s="194" t="str">
        <f t="shared" si="34"/>
        <v/>
      </c>
      <c r="C87" s="194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4">
        <f t="shared" si="19"/>
        <v>2030</v>
      </c>
      <c r="E87" s="192" t="s">
        <v>23</v>
      </c>
      <c r="F87" s="195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185245.1379714873</v>
      </c>
      <c r="G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171279.2848730098</v>
      </c>
      <c r="H87" s="192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5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4">
        <f t="shared" si="23"/>
        <v>13965.853098477499</v>
      </c>
      <c r="O87" s="195">
        <f t="shared" si="20"/>
        <v>0</v>
      </c>
      <c r="P87" s="205">
        <f t="shared" si="24"/>
        <v>0</v>
      </c>
      <c r="Q87" s="192">
        <f>IFERROR(VLOOKUP(A87,[1]Energiindhold!$A$2:$C$11,3,FALSE),IFERROR(VLOOKUP(A87,[1]Biogasudbytte!$A$2:$B$18,2,FALSE)*[1]Energiindhold!$C$10,0))*O87</f>
        <v>0</v>
      </c>
      <c r="R87" s="192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2">
        <f>IFERROR(VLOOKUP(A87,[1]Biogasudbytte!$A$2:$B$18,2,FALSE)*[1]Energiindhold!$C$10,0)*J87*IFERROR(VLOOKUP(A87,Biogasanlæg!$F$3:$G$8,2,FALSE),1)</f>
        <v>0</v>
      </c>
      <c r="T87" s="193">
        <f t="shared" si="25"/>
        <v>0</v>
      </c>
      <c r="U87" s="191">
        <f>O87*IFERROR(VLOOKUP(A87,[1]Tørstofindhold!A$2:B$24,2,FALSE),0)</f>
        <v>0</v>
      </c>
      <c r="V87" s="192">
        <f>IF(D87=År1,P87,SUM(O87,P87))*IFERROR(VLOOKUP(A87,[1]Tørstofindhold!A$2:B$24,2,FALSE),0)</f>
        <v>0</v>
      </c>
      <c r="W87" s="192">
        <f>J87*IFERROR(VLOOKUP(A87,[1]Tørstofindhold!A$2:B$24,2,FALSE),0)</f>
        <v>0</v>
      </c>
      <c r="X87" s="193">
        <f t="shared" si="26"/>
        <v>0</v>
      </c>
      <c r="Y87" s="171">
        <f t="shared" si="21"/>
        <v>0</v>
      </c>
      <c r="Z87" s="103">
        <f t="shared" si="22"/>
        <v>1</v>
      </c>
    </row>
    <row r="88" spans="1:26" x14ac:dyDescent="0.25">
      <c r="A88" s="194" t="str">
        <f t="shared" si="33"/>
        <v>Rapsolie</v>
      </c>
      <c r="B88" s="194" t="str">
        <f t="shared" si="34"/>
        <v>Rapsolie</v>
      </c>
      <c r="C88" s="194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4">
        <f t="shared" si="19"/>
        <v>2030</v>
      </c>
      <c r="E88" s="192" t="s">
        <v>23</v>
      </c>
      <c r="F88" s="195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118556.88830175188</v>
      </c>
      <c r="G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2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5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118556.88830175188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4">
        <f t="shared" si="23"/>
        <v>0</v>
      </c>
      <c r="O88" s="195">
        <f t="shared" si="20"/>
        <v>0</v>
      </c>
      <c r="P88" s="205">
        <f t="shared" si="24"/>
        <v>118556.88830175188</v>
      </c>
      <c r="Q88" s="192">
        <f>IFERROR(VLOOKUP(A88,[1]Energiindhold!$A$2:$C$11,3,FALSE),IFERROR(VLOOKUP(A88,[1]Biogasudbytte!$A$2:$B$18,2,FALSE)*[1]Energiindhold!$C$10,0))*O88</f>
        <v>0</v>
      </c>
      <c r="R88" s="192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4.1494910905613152</v>
      </c>
      <c r="S88" s="192">
        <f>IFERROR(VLOOKUP(A88,[1]Biogasudbytte!$A$2:$B$18,2,FALSE)*[1]Energiindhold!$C$10,0)*J88*IFERROR(VLOOKUP(A88,Biogasanlæg!$F$3:$G$8,2,FALSE),1)</f>
        <v>0</v>
      </c>
      <c r="T88" s="193">
        <f t="shared" si="25"/>
        <v>4.1494910905613152</v>
      </c>
      <c r="U88" s="191">
        <f>O88*IFERROR(VLOOKUP(A88,[1]Tørstofindhold!A$2:B$24,2,FALSE),0)</f>
        <v>0</v>
      </c>
      <c r="V88" s="192">
        <f>IF(D88=År1,P88,SUM(O88,P88))*IFERROR(VLOOKUP(A88,[1]Tørstofindhold!A$2:B$24,2,FALSE),0)</f>
        <v>0</v>
      </c>
      <c r="W88" s="192">
        <f>J88*IFERROR(VLOOKUP(A88,[1]Tørstofindhold!A$2:B$24,2,FALSE),0)</f>
        <v>0</v>
      </c>
      <c r="X88" s="193">
        <f t="shared" si="26"/>
        <v>0</v>
      </c>
      <c r="Y88" s="171">
        <f t="shared" si="21"/>
        <v>0</v>
      </c>
      <c r="Z88" s="103">
        <f t="shared" si="22"/>
        <v>0</v>
      </c>
    </row>
    <row r="89" spans="1:26" x14ac:dyDescent="0.25">
      <c r="A89" s="194" t="str">
        <f t="shared" si="33"/>
        <v>Roer</v>
      </c>
      <c r="B89" s="194" t="str">
        <f t="shared" si="34"/>
        <v>Græs og urter</v>
      </c>
      <c r="C89" s="194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4">
        <f t="shared" si="19"/>
        <v>2030</v>
      </c>
      <c r="E89" s="192" t="s">
        <v>23</v>
      </c>
      <c r="F89" s="195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4923583.0761439931</v>
      </c>
      <c r="G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672934.09412450308</v>
      </c>
      <c r="H89" s="192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21927.581361856195</v>
      </c>
      <c r="K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5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4">
        <f t="shared" si="23"/>
        <v>4228721.4006576333</v>
      </c>
      <c r="O89" s="195">
        <f t="shared" si="20"/>
        <v>4228721.4006576333</v>
      </c>
      <c r="P89" s="205">
        <f t="shared" si="24"/>
        <v>21927.581361856195</v>
      </c>
      <c r="Q89" s="192">
        <f>IFERROR(VLOOKUP(A89,[1]Energiindhold!$A$2:$C$11,3,FALSE),IFERROR(VLOOKUP(A89,[1]Biogasudbytte!$A$2:$B$18,2,FALSE)*[1]Energiindhold!$C$10,0))*O89</f>
        <v>11.476919030240843</v>
      </c>
      <c r="R89" s="192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11.536431363160176</v>
      </c>
      <c r="S89" s="192">
        <f>IFERROR(VLOOKUP(A89,[1]Biogasudbytte!$A$2:$B$18,2,FALSE)*[1]Energiindhold!$C$10,0)*J89*IFERROR(VLOOKUP(A89,Biogasanlæg!$F$3:$G$8,2,FALSE),1)</f>
        <v>5.9512332919332188E-2</v>
      </c>
      <c r="T89" s="193">
        <f t="shared" si="25"/>
        <v>11.476919030240843</v>
      </c>
      <c r="U89" s="191">
        <f>O89*IFERROR(VLOOKUP(A89,[1]Tørstofindhold!A$2:B$24,2,FALSE),0)</f>
        <v>845744.28013152676</v>
      </c>
      <c r="V89" s="192">
        <f>IF(D89=År1,P89,SUM(O89,P89))*IFERROR(VLOOKUP(A89,[1]Tørstofindhold!A$2:B$24,2,FALSE),0)</f>
        <v>850129.79640389793</v>
      </c>
      <c r="W89" s="192">
        <f>J89*IFERROR(VLOOKUP(A89,[1]Tørstofindhold!A$2:B$24,2,FALSE),0)</f>
        <v>4385.5162723712392</v>
      </c>
      <c r="X89" s="193">
        <f t="shared" si="26"/>
        <v>845744.28013152664</v>
      </c>
      <c r="Y89" s="171">
        <f t="shared" si="21"/>
        <v>0</v>
      </c>
      <c r="Z89" s="103">
        <f t="shared" si="22"/>
        <v>1</v>
      </c>
    </row>
    <row r="90" spans="1:26" x14ac:dyDescent="0.25">
      <c r="A90" s="194" t="str">
        <f t="shared" si="33"/>
        <v>Slagteriaffald til andet</v>
      </c>
      <c r="B90" s="194" t="str">
        <f t="shared" si="34"/>
        <v/>
      </c>
      <c r="C90" s="194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4">
        <f t="shared" si="19"/>
        <v>2030</v>
      </c>
      <c r="E90" s="192" t="s">
        <v>23</v>
      </c>
      <c r="F90" s="195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152898.46172507474</v>
      </c>
      <c r="G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2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5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4">
        <f t="shared" si="23"/>
        <v>152898.46172507474</v>
      </c>
      <c r="O90" s="195">
        <f t="shared" si="20"/>
        <v>0</v>
      </c>
      <c r="P90" s="205">
        <f t="shared" si="24"/>
        <v>0</v>
      </c>
      <c r="Q90" s="192">
        <f>IFERROR(VLOOKUP(A90,[1]Energiindhold!$A$2:$C$11,3,FALSE),IFERROR(VLOOKUP(A90,[1]Biogasudbytte!$A$2:$B$18,2,FALSE)*[1]Energiindhold!$C$10,0))*O90</f>
        <v>0</v>
      </c>
      <c r="R90" s="192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2">
        <f>IFERROR(VLOOKUP(A90,[1]Biogasudbytte!$A$2:$B$18,2,FALSE)*[1]Energiindhold!$C$10,0)*J90*IFERROR(VLOOKUP(A90,Biogasanlæg!$F$3:$G$8,2,FALSE),1)</f>
        <v>0</v>
      </c>
      <c r="T90" s="193">
        <f t="shared" si="25"/>
        <v>0</v>
      </c>
      <c r="U90" s="191">
        <f>O90*IFERROR(VLOOKUP(A90,[1]Tørstofindhold!A$2:B$24,2,FALSE),0)</f>
        <v>0</v>
      </c>
      <c r="V90" s="192">
        <f>IF(D90=År1,P90,SUM(O90,P90))*IFERROR(VLOOKUP(A90,[1]Tørstofindhold!A$2:B$24,2,FALSE),0)</f>
        <v>0</v>
      </c>
      <c r="W90" s="192">
        <f>J90*IFERROR(VLOOKUP(A90,[1]Tørstofindhold!A$2:B$24,2,FALSE),0)</f>
        <v>0</v>
      </c>
      <c r="X90" s="193">
        <f t="shared" si="26"/>
        <v>0</v>
      </c>
      <c r="Y90" s="171">
        <f t="shared" si="21"/>
        <v>0</v>
      </c>
      <c r="Z90" s="103">
        <f t="shared" si="22"/>
        <v>1</v>
      </c>
    </row>
    <row r="91" spans="1:26" x14ac:dyDescent="0.25">
      <c r="A91" s="194" t="str">
        <f t="shared" si="33"/>
        <v>Slagteriaffald til foder</v>
      </c>
      <c r="B91" s="194" t="str">
        <f t="shared" si="34"/>
        <v/>
      </c>
      <c r="C91" s="194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4">
        <f t="shared" si="19"/>
        <v>2030</v>
      </c>
      <c r="E91" s="192" t="s">
        <v>23</v>
      </c>
      <c r="F91" s="195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103754.66217102103</v>
      </c>
      <c r="G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31532.588010093863</v>
      </c>
      <c r="H91" s="192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5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4">
        <f t="shared" si="23"/>
        <v>72222.074160927164</v>
      </c>
      <c r="O91" s="195">
        <f t="shared" si="20"/>
        <v>0</v>
      </c>
      <c r="P91" s="205">
        <f t="shared" si="24"/>
        <v>0</v>
      </c>
      <c r="Q91" s="192">
        <f>IFERROR(VLOOKUP(A91,[1]Energiindhold!$A$2:$C$11,3,FALSE),IFERROR(VLOOKUP(A91,[1]Biogasudbytte!$A$2:$B$18,2,FALSE)*[1]Energiindhold!$C$10,0))*O91</f>
        <v>0</v>
      </c>
      <c r="R91" s="192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2">
        <f>IFERROR(VLOOKUP(A91,[1]Biogasudbytte!$A$2:$B$18,2,FALSE)*[1]Energiindhold!$C$10,0)*J91*IFERROR(VLOOKUP(A91,Biogasanlæg!$F$3:$G$8,2,FALSE),1)</f>
        <v>0</v>
      </c>
      <c r="T91" s="193">
        <f t="shared" si="25"/>
        <v>0</v>
      </c>
      <c r="U91" s="191">
        <f>O91*IFERROR(VLOOKUP(A91,[1]Tørstofindhold!A$2:B$24,2,FALSE),0)</f>
        <v>0</v>
      </c>
      <c r="V91" s="192">
        <f>IF(D91=År1,P91,SUM(O91,P91))*IFERROR(VLOOKUP(A91,[1]Tørstofindhold!A$2:B$24,2,FALSE),0)</f>
        <v>0</v>
      </c>
      <c r="W91" s="192">
        <f>J91*IFERROR(VLOOKUP(A91,[1]Tørstofindhold!A$2:B$24,2,FALSE),0)</f>
        <v>0</v>
      </c>
      <c r="X91" s="193">
        <f t="shared" si="26"/>
        <v>0</v>
      </c>
      <c r="Y91" s="171">
        <f t="shared" si="21"/>
        <v>0</v>
      </c>
      <c r="Z91" s="103">
        <f t="shared" si="22"/>
        <v>1</v>
      </c>
    </row>
    <row r="92" spans="1:26" x14ac:dyDescent="0.25">
      <c r="A92" s="194" t="str">
        <f t="shared" si="33"/>
        <v>Spildevandsslam</v>
      </c>
      <c r="B92" s="194" t="str">
        <f t="shared" si="34"/>
        <v>Bionedbrydeligt affald</v>
      </c>
      <c r="C92" s="194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4">
        <f t="shared" si="19"/>
        <v>2030</v>
      </c>
      <c r="E92" s="192" t="s">
        <v>23</v>
      </c>
      <c r="F92" s="195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3949558.8398278607</v>
      </c>
      <c r="G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2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1497865.6247316466</v>
      </c>
      <c r="K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5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4">
        <f t="shared" si="23"/>
        <v>2451693.2150962139</v>
      </c>
      <c r="O92" s="195">
        <f t="shared" si="20"/>
        <v>2451693.2150962139</v>
      </c>
      <c r="P92" s="205">
        <f t="shared" si="24"/>
        <v>1497865.6247316466</v>
      </c>
      <c r="Q92" s="192">
        <f>IFERROR(VLOOKUP(A92,[1]Energiindhold!$A$2:$C$11,3,FALSE),IFERROR(VLOOKUP(A92,[1]Biogasudbytte!$A$2:$B$18,2,FALSE)*[1]Energiindhold!$C$10,0))*O92</f>
        <v>1.2234194312651618</v>
      </c>
      <c r="R92" s="192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1.9708693566625008</v>
      </c>
      <c r="S92" s="192">
        <f>IFERROR(VLOOKUP(A92,[1]Biogasudbytte!$A$2:$B$18,2,FALSE)*[1]Energiindhold!$C$10,0)*J92*IFERROR(VLOOKUP(A92,Biogasanlæg!$F$3:$G$8,2,FALSE),1)</f>
        <v>0.74744992539733912</v>
      </c>
      <c r="T92" s="193">
        <f t="shared" si="25"/>
        <v>1.2234194312651616</v>
      </c>
      <c r="U92" s="191">
        <f>O92*IFERROR(VLOOKUP(A92,[1]Tørstofindhold!A$2:B$24,2,FALSE),0)</f>
        <v>147101.59290577282</v>
      </c>
      <c r="V92" s="192">
        <f>IF(D92=År1,P92,SUM(O92,P92))*IFERROR(VLOOKUP(A92,[1]Tørstofindhold!A$2:B$24,2,FALSE),0)</f>
        <v>236973.53038967162</v>
      </c>
      <c r="W92" s="192">
        <f>J92*IFERROR(VLOOKUP(A92,[1]Tørstofindhold!A$2:B$24,2,FALSE),0)</f>
        <v>89871.937483898801</v>
      </c>
      <c r="X92" s="193">
        <f t="shared" si="26"/>
        <v>147101.59290577282</v>
      </c>
      <c r="Y92" s="171">
        <f t="shared" si="21"/>
        <v>0</v>
      </c>
      <c r="Z92" s="103">
        <f t="shared" si="22"/>
        <v>1</v>
      </c>
    </row>
    <row r="93" spans="1:26" x14ac:dyDescent="0.25">
      <c r="A93" s="194" t="str">
        <f t="shared" si="33"/>
        <v>Svinegylle</v>
      </c>
      <c r="B93" s="194" t="str">
        <f t="shared" si="34"/>
        <v>Husdyrgødning</v>
      </c>
      <c r="C93" s="194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4">
        <f t="shared" si="19"/>
        <v>2030</v>
      </c>
      <c r="E93" s="192" t="s">
        <v>23</v>
      </c>
      <c r="F93" s="195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12059866.540704856</v>
      </c>
      <c r="G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2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10853879.88663437</v>
      </c>
      <c r="K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1205986.6540704854</v>
      </c>
      <c r="L93" s="195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4">
        <f t="shared" si="23"/>
        <v>0</v>
      </c>
      <c r="O93" s="195">
        <f t="shared" si="20"/>
        <v>0</v>
      </c>
      <c r="P93" s="205">
        <f t="shared" si="24"/>
        <v>10853879.88663437</v>
      </c>
      <c r="Q93" s="192">
        <f>IFERROR(VLOOKUP(A93,[1]Energiindhold!$A$2:$C$11,3,FALSE),IFERROR(VLOOKUP(A93,[1]Biogasudbytte!$A$2:$B$18,2,FALSE)*[1]Energiindhold!$C$10,0))*O93</f>
        <v>0</v>
      </c>
      <c r="R93" s="192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4.6758514551620873</v>
      </c>
      <c r="S93" s="192">
        <f>IFERROR(VLOOKUP(A93,[1]Biogasudbytte!$A$2:$B$18,2,FALSE)*[1]Energiindhold!$C$10,0)*J93*IFERROR(VLOOKUP(A93,Biogasanlæg!$F$3:$G$8,2,FALSE),1)</f>
        <v>4.6758514551620873</v>
      </c>
      <c r="T93" s="193">
        <f t="shared" si="25"/>
        <v>0</v>
      </c>
      <c r="U93" s="191">
        <f>O93*IFERROR(VLOOKUP(A93,[1]Tørstofindhold!A$2:B$24,2,FALSE),0)</f>
        <v>0</v>
      </c>
      <c r="V93" s="192">
        <f>IF(D93=År1,P93,SUM(O93,P93))*IFERROR(VLOOKUP(A93,[1]Tørstofindhold!A$2:B$24,2,FALSE),0)</f>
        <v>542693.99433171854</v>
      </c>
      <c r="W93" s="192">
        <f>J93*IFERROR(VLOOKUP(A93,[1]Tørstofindhold!A$2:B$24,2,FALSE),0)</f>
        <v>542693.99433171854</v>
      </c>
      <c r="X93" s="193">
        <f t="shared" si="26"/>
        <v>0</v>
      </c>
      <c r="Y93" s="171">
        <f t="shared" si="21"/>
        <v>0</v>
      </c>
      <c r="Z93" s="103">
        <f t="shared" si="22"/>
        <v>0</v>
      </c>
    </row>
    <row r="94" spans="1:26" x14ac:dyDescent="0.25">
      <c r="A94" s="194" t="str">
        <f t="shared" si="33"/>
        <v>Svinekød</v>
      </c>
      <c r="B94" s="194" t="str">
        <f t="shared" si="34"/>
        <v/>
      </c>
      <c r="C94" s="194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4">
        <f t="shared" si="19"/>
        <v>2030</v>
      </c>
      <c r="E94" s="192" t="s">
        <v>23</v>
      </c>
      <c r="F94" s="195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1102410.4206254377</v>
      </c>
      <c r="G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2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5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4">
        <f t="shared" si="23"/>
        <v>980534.87657675741</v>
      </c>
      <c r="O94" s="195">
        <f t="shared" si="20"/>
        <v>0</v>
      </c>
      <c r="P94" s="205">
        <f t="shared" si="24"/>
        <v>0</v>
      </c>
      <c r="Q94" s="192">
        <f>IFERROR(VLOOKUP(A94,[1]Energiindhold!$A$2:$C$11,3,FALSE),IFERROR(VLOOKUP(A94,[1]Biogasudbytte!$A$2:$B$18,2,FALSE)*[1]Energiindhold!$C$10,0))*O94</f>
        <v>0</v>
      </c>
      <c r="R94" s="192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2">
        <f>IFERROR(VLOOKUP(A94,[1]Biogasudbytte!$A$2:$B$18,2,FALSE)*[1]Energiindhold!$C$10,0)*J94*IFERROR(VLOOKUP(A94,Biogasanlæg!$F$3:$G$8,2,FALSE),1)</f>
        <v>0</v>
      </c>
      <c r="T94" s="193">
        <f t="shared" si="25"/>
        <v>0</v>
      </c>
      <c r="U94" s="191">
        <f>O94*IFERROR(VLOOKUP(A94,[1]Tørstofindhold!A$2:B$24,2,FALSE),0)</f>
        <v>0</v>
      </c>
      <c r="V94" s="192">
        <f>IF(D94=År1,P94,SUM(O94,P94))*IFERROR(VLOOKUP(A94,[1]Tørstofindhold!A$2:B$24,2,FALSE),0)</f>
        <v>0</v>
      </c>
      <c r="W94" s="192">
        <f>J94*IFERROR(VLOOKUP(A94,[1]Tørstofindhold!A$2:B$24,2,FALSE),0)</f>
        <v>0</v>
      </c>
      <c r="X94" s="193">
        <f t="shared" si="26"/>
        <v>0</v>
      </c>
      <c r="Y94" s="171">
        <f t="shared" si="21"/>
        <v>0</v>
      </c>
      <c r="Z94" s="103">
        <f t="shared" si="22"/>
        <v>1</v>
      </c>
    </row>
    <row r="95" spans="1:26" x14ac:dyDescent="0.25">
      <c r="A95" s="194" t="str">
        <f t="shared" si="33"/>
        <v>Tang</v>
      </c>
      <c r="B95" s="194" t="str">
        <f t="shared" si="34"/>
        <v>Havbiomasse</v>
      </c>
      <c r="C95" s="194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4">
        <f t="shared" si="19"/>
        <v>2030</v>
      </c>
      <c r="E95" s="192" t="s">
        <v>23</v>
      </c>
      <c r="F95" s="195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10800</v>
      </c>
      <c r="G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2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5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4">
        <f t="shared" si="23"/>
        <v>10800</v>
      </c>
      <c r="O95" s="195">
        <f t="shared" si="20"/>
        <v>10800</v>
      </c>
      <c r="P95" s="205">
        <f t="shared" si="24"/>
        <v>0</v>
      </c>
      <c r="Q95" s="192">
        <f>IFERROR(VLOOKUP(A95,[1]Energiindhold!$A$2:$C$11,3,FALSE),IFERROR(VLOOKUP(A95,[1]Biogasudbytte!$A$2:$B$18,2,FALSE)*[1]Energiindhold!$C$10,0))*O95</f>
        <v>9.6930000000000002E-3</v>
      </c>
      <c r="R95" s="192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2">
        <f>IFERROR(VLOOKUP(A95,[1]Biogasudbytte!$A$2:$B$18,2,FALSE)*[1]Energiindhold!$C$10,0)*J95*IFERROR(VLOOKUP(A95,Biogasanlæg!$F$3:$G$8,2,FALSE),1)</f>
        <v>0</v>
      </c>
      <c r="T95" s="193">
        <f t="shared" si="25"/>
        <v>9.6930000000000002E-3</v>
      </c>
      <c r="U95" s="191">
        <f>O95*IFERROR(VLOOKUP(A95,[1]Tørstofindhold!A$2:B$24,2,FALSE),0)</f>
        <v>1620</v>
      </c>
      <c r="V95" s="192">
        <f>IF(D95=År1,P95,SUM(O95,P95))*IFERROR(VLOOKUP(A95,[1]Tørstofindhold!A$2:B$24,2,FALSE),0)</f>
        <v>1620</v>
      </c>
      <c r="W95" s="192">
        <f>J95*IFERROR(VLOOKUP(A95,[1]Tørstofindhold!A$2:B$24,2,FALSE),0)</f>
        <v>0</v>
      </c>
      <c r="X95" s="193">
        <f t="shared" si="26"/>
        <v>1620</v>
      </c>
      <c r="Y95" s="171">
        <f t="shared" si="21"/>
        <v>0</v>
      </c>
      <c r="Z95" s="103">
        <f t="shared" si="22"/>
        <v>1</v>
      </c>
    </row>
    <row r="96" spans="1:26" x14ac:dyDescent="0.25">
      <c r="A96" s="194" t="str">
        <f t="shared" si="33"/>
        <v>Total til biogas</v>
      </c>
      <c r="B96" s="194" t="str">
        <f t="shared" si="34"/>
        <v/>
      </c>
      <c r="C96" s="194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4">
        <f t="shared" si="19"/>
        <v>2030</v>
      </c>
      <c r="E96" s="192" t="s">
        <v>23</v>
      </c>
      <c r="F96" s="195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2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5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4">
        <f t="shared" si="23"/>
        <v>0</v>
      </c>
      <c r="O96" s="195">
        <f t="shared" si="20"/>
        <v>0</v>
      </c>
      <c r="P96" s="205">
        <f t="shared" si="24"/>
        <v>0</v>
      </c>
      <c r="Q96" s="192">
        <f>IFERROR(VLOOKUP(A96,[1]Energiindhold!$A$2:$C$11,3,FALSE),IFERROR(VLOOKUP(A96,[1]Biogasudbytte!$A$2:$B$18,2,FALSE)*[1]Energiindhold!$C$10,0))*O96</f>
        <v>0</v>
      </c>
      <c r="R96" s="192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2">
        <f>IFERROR(VLOOKUP(A96,[1]Biogasudbytte!$A$2:$B$18,2,FALSE)*[1]Energiindhold!$C$10,0)*J96*IFERROR(VLOOKUP(A96,Biogasanlæg!$F$3:$G$8,2,FALSE),1)</f>
        <v>0</v>
      </c>
      <c r="T96" s="193">
        <f t="shared" si="25"/>
        <v>0</v>
      </c>
      <c r="U96" s="191">
        <f>O96*IFERROR(VLOOKUP(A96,[1]Tørstofindhold!A$2:B$24,2,FALSE),0)</f>
        <v>0</v>
      </c>
      <c r="V96" s="192">
        <f>IF(D96=År1,P96,SUM(O96,P96))*IFERROR(VLOOKUP(A96,[1]Tørstofindhold!A$2:B$24,2,FALSE),0)</f>
        <v>0</v>
      </c>
      <c r="W96" s="192">
        <f>J96*IFERROR(VLOOKUP(A96,[1]Tørstofindhold!A$2:B$24,2,FALSE),0)</f>
        <v>0</v>
      </c>
      <c r="X96" s="193">
        <f t="shared" si="26"/>
        <v>0</v>
      </c>
      <c r="Y96" s="171">
        <f t="shared" si="21"/>
        <v>0</v>
      </c>
      <c r="Z96" s="103">
        <f t="shared" si="22"/>
        <v>0</v>
      </c>
    </row>
    <row r="97" spans="1:26" x14ac:dyDescent="0.25">
      <c r="A97" s="194" t="str">
        <f t="shared" si="33"/>
        <v>Træ til energi</v>
      </c>
      <c r="B97" s="194" t="str">
        <f t="shared" si="34"/>
        <v>Vedmasse</v>
      </c>
      <c r="C97" s="194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4">
        <f t="shared" si="19"/>
        <v>2030</v>
      </c>
      <c r="E97" s="192" t="s">
        <v>23</v>
      </c>
      <c r="F97" s="195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2216341.6308326661</v>
      </c>
      <c r="G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2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5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2216341.6308326661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4">
        <f t="shared" si="23"/>
        <v>0</v>
      </c>
      <c r="O97" s="195">
        <f t="shared" si="20"/>
        <v>0</v>
      </c>
      <c r="P97" s="205">
        <f t="shared" si="24"/>
        <v>2216341.6308326661</v>
      </c>
      <c r="Q97" s="192">
        <f>IFERROR(VLOOKUP(A97,[1]Energiindhold!$A$2:$C$11,3,FALSE),IFERROR(VLOOKUP(A97,[1]Biogasudbytte!$A$2:$B$18,2,FALSE)*[1]Energiindhold!$C$10,0))*O97</f>
        <v>0</v>
      </c>
      <c r="R97" s="192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32.122700134129985</v>
      </c>
      <c r="S97" s="192">
        <f>IFERROR(VLOOKUP(A97,[1]Biogasudbytte!$A$2:$B$18,2,FALSE)*[1]Energiindhold!$C$10,0)*J97*IFERROR(VLOOKUP(A97,Biogasanlæg!$F$3:$G$8,2,FALSE),1)</f>
        <v>0</v>
      </c>
      <c r="T97" s="193">
        <f t="shared" si="25"/>
        <v>32.122700134129985</v>
      </c>
      <c r="U97" s="191">
        <f>O97*IFERROR(VLOOKUP(A97,[1]Tørstofindhold!A$2:B$24,2,FALSE),0)</f>
        <v>0</v>
      </c>
      <c r="V97" s="192">
        <f>IF(D97=År1,P97,SUM(O97,P97))*IFERROR(VLOOKUP(A97,[1]Tørstofindhold!A$2:B$24,2,FALSE),0)</f>
        <v>1096165.6315826562</v>
      </c>
      <c r="W97" s="192">
        <f>J97*IFERROR(VLOOKUP(A97,[1]Tørstofindhold!A$2:B$24,2,FALSE),0)</f>
        <v>0</v>
      </c>
      <c r="X97" s="193">
        <f t="shared" si="26"/>
        <v>1096165.6315826562</v>
      </c>
      <c r="Y97" s="171">
        <f t="shared" si="21"/>
        <v>0</v>
      </c>
      <c r="Z97" s="103">
        <f t="shared" si="22"/>
        <v>0</v>
      </c>
    </row>
    <row r="98" spans="1:26" x14ac:dyDescent="0.25">
      <c r="A98" s="194" t="str">
        <f t="shared" si="33"/>
        <v>Træmaterialer</v>
      </c>
      <c r="B98" s="194" t="str">
        <f t="shared" si="34"/>
        <v/>
      </c>
      <c r="C98" s="194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4">
        <f t="shared" si="19"/>
        <v>2030</v>
      </c>
      <c r="E98" s="192" t="s">
        <v>23</v>
      </c>
      <c r="F98" s="195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613803.17949896643</v>
      </c>
      <c r="G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2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5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0</v>
      </c>
      <c r="N98" s="204">
        <f t="shared" si="23"/>
        <v>613803.17949896643</v>
      </c>
      <c r="O98" s="195">
        <f t="shared" si="20"/>
        <v>0</v>
      </c>
      <c r="P98" s="205">
        <f t="shared" si="24"/>
        <v>0</v>
      </c>
      <c r="Q98" s="192">
        <f>IFERROR(VLOOKUP(A98,[1]Energiindhold!$A$2:$C$11,3,FALSE),IFERROR(VLOOKUP(A98,[1]Biogasudbytte!$A$2:$B$18,2,FALSE)*[1]Energiindhold!$C$10,0))*O98</f>
        <v>0</v>
      </c>
      <c r="R98" s="192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2">
        <f>IFERROR(VLOOKUP(A98,[1]Biogasudbytte!$A$2:$B$18,2,FALSE)*[1]Energiindhold!$C$10,0)*J98*IFERROR(VLOOKUP(A98,Biogasanlæg!$F$3:$G$8,2,FALSE),1)</f>
        <v>0</v>
      </c>
      <c r="T98" s="193">
        <f t="shared" si="25"/>
        <v>0</v>
      </c>
      <c r="U98" s="191">
        <f>O98*IFERROR(VLOOKUP(A98,[1]Tørstofindhold!A$2:B$24,2,FALSE),0)</f>
        <v>0</v>
      </c>
      <c r="V98" s="192">
        <f>IF(D98=År1,P98,SUM(O98,P98))*IFERROR(VLOOKUP(A98,[1]Tørstofindhold!A$2:B$24,2,FALSE),0)</f>
        <v>0</v>
      </c>
      <c r="W98" s="192">
        <f>J98*IFERROR(VLOOKUP(A98,[1]Tørstofindhold!A$2:B$24,2,FALSE),0)</f>
        <v>0</v>
      </c>
      <c r="X98" s="193">
        <f t="shared" si="26"/>
        <v>0</v>
      </c>
      <c r="Y98" s="171">
        <f t="shared" si="21"/>
        <v>0</v>
      </c>
      <c r="Z98" s="103">
        <f t="shared" si="22"/>
        <v>1</v>
      </c>
    </row>
    <row r="99" spans="1:26" x14ac:dyDescent="0.25">
      <c r="A99" s="194" t="str">
        <f t="shared" si="33"/>
        <v>Æg</v>
      </c>
      <c r="B99" s="194" t="str">
        <f t="shared" si="34"/>
        <v/>
      </c>
      <c r="C99" s="194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4">
        <f t="shared" ref="D99:D146" si="35">År3</f>
        <v>2050</v>
      </c>
      <c r="E99" s="192" t="s">
        <v>23</v>
      </c>
      <c r="F99" s="195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166578.5911943354</v>
      </c>
      <c r="G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2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5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4">
        <f t="shared" si="23"/>
        <v>132728.62230789059</v>
      </c>
      <c r="O99" s="195">
        <f t="shared" si="20"/>
        <v>0</v>
      </c>
      <c r="P99" s="205">
        <f t="shared" si="24"/>
        <v>0</v>
      </c>
      <c r="Q99" s="192">
        <f>IFERROR(VLOOKUP(A99,[1]Energiindhold!$A$2:$C$11,3,FALSE),IFERROR(VLOOKUP(A99,[1]Biogasudbytte!$A$2:$B$18,2,FALSE)*[1]Energiindhold!$C$10,0))*O99</f>
        <v>0</v>
      </c>
      <c r="R99" s="192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2">
        <f>IFERROR(VLOOKUP(A99,[1]Biogasudbytte!$A$2:$B$18,2,FALSE)*[1]Energiindhold!$C$10,0)*J99*IFERROR(VLOOKUP(A99,Biogasanlæg!$F$3:$G$8,2,FALSE),1)</f>
        <v>0</v>
      </c>
      <c r="T99" s="193">
        <f t="shared" si="25"/>
        <v>0</v>
      </c>
      <c r="U99" s="191">
        <f>O99*IFERROR(VLOOKUP(A99,[1]Tørstofindhold!A$2:B$24,2,FALSE),0)</f>
        <v>0</v>
      </c>
      <c r="V99" s="192">
        <f>IF(D99=År1,P99,SUM(O99,P99))*IFERROR(VLOOKUP(A99,[1]Tørstofindhold!A$2:B$24,2,FALSE),0)</f>
        <v>0</v>
      </c>
      <c r="W99" s="192">
        <f>J99*IFERROR(VLOOKUP(A99,[1]Tørstofindhold!A$2:B$24,2,FALSE),0)</f>
        <v>0</v>
      </c>
      <c r="X99" s="193">
        <f t="shared" si="26"/>
        <v>0</v>
      </c>
      <c r="Y99" s="171">
        <f t="shared" si="21"/>
        <v>0</v>
      </c>
      <c r="Z99" s="103">
        <f t="shared" si="22"/>
        <v>1</v>
      </c>
    </row>
    <row r="100" spans="1:26" x14ac:dyDescent="0.25">
      <c r="A100" s="194" t="str">
        <f t="shared" si="33"/>
        <v>Bælgsæd</v>
      </c>
      <c r="B100" s="194" t="str">
        <f t="shared" si="34"/>
        <v/>
      </c>
      <c r="C100" s="194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4">
        <f t="shared" si="35"/>
        <v>2050</v>
      </c>
      <c r="E100" s="192" t="s">
        <v>23</v>
      </c>
      <c r="F100" s="195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229440.63810667559</v>
      </c>
      <c r="G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51598.780380153592</v>
      </c>
      <c r="H100" s="192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5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4">
        <f t="shared" si="23"/>
        <v>177841.85772652199</v>
      </c>
      <c r="O100" s="195">
        <f t="shared" si="20"/>
        <v>0</v>
      </c>
      <c r="P100" s="205">
        <f t="shared" si="24"/>
        <v>0</v>
      </c>
      <c r="Q100" s="192">
        <f>IFERROR(VLOOKUP(A100,[1]Energiindhold!$A$2:$C$11,3,FALSE),IFERROR(VLOOKUP(A100,[1]Biogasudbytte!$A$2:$B$18,2,FALSE)*[1]Energiindhold!$C$10,0))*O100</f>
        <v>0</v>
      </c>
      <c r="R100" s="192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2">
        <f>IFERROR(VLOOKUP(A100,[1]Biogasudbytte!$A$2:$B$18,2,FALSE)*[1]Energiindhold!$C$10,0)*J100*IFERROR(VLOOKUP(A100,Biogasanlæg!$F$3:$G$8,2,FALSE),1)</f>
        <v>0</v>
      </c>
      <c r="T100" s="193">
        <f t="shared" si="25"/>
        <v>0</v>
      </c>
      <c r="U100" s="191">
        <f>O100*IFERROR(VLOOKUP(A100,[1]Tørstofindhold!A$2:B$24,2,FALSE),0)</f>
        <v>0</v>
      </c>
      <c r="V100" s="192">
        <f>IF(D100=År1,P100,SUM(O100,P100))*IFERROR(VLOOKUP(A100,[1]Tørstofindhold!A$2:B$24,2,FALSE),0)</f>
        <v>0</v>
      </c>
      <c r="W100" s="192">
        <f>J100*IFERROR(VLOOKUP(A100,[1]Tørstofindhold!A$2:B$24,2,FALSE),0)</f>
        <v>0</v>
      </c>
      <c r="X100" s="193">
        <f t="shared" si="26"/>
        <v>0</v>
      </c>
      <c r="Y100" s="171">
        <f t="shared" si="21"/>
        <v>0</v>
      </c>
      <c r="Z100" s="103">
        <f t="shared" si="22"/>
        <v>1</v>
      </c>
    </row>
    <row r="101" spans="1:26" x14ac:dyDescent="0.25">
      <c r="A101" s="194" t="str">
        <f t="shared" si="33"/>
        <v>Bioaffald</v>
      </c>
      <c r="B101" s="194" t="str">
        <f t="shared" si="34"/>
        <v>Bionedbrydeligt affald</v>
      </c>
      <c r="C101" s="194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4">
        <f t="shared" si="35"/>
        <v>2050</v>
      </c>
      <c r="E101" s="192" t="s">
        <v>23</v>
      </c>
      <c r="F101" s="195">
        <f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0</v>
      </c>
      <c r="G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2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5" t="e">
        <f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#REF!</v>
      </c>
      <c r="K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5" t="e">
        <f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#REF!</v>
      </c>
      <c r="M101" s="157" t="e">
        <f>SUMIFS('Forbrug af biomasse'!E:E,'Forbrug af biomasse'!C:C,'Resultat-Produktion &amp; forbrug'!$A101,'Forbrug af biomasse'!D:D,'Resultat-Produktion &amp; forbrug'!$D101,'Forbrug af biomasse'!G:G,1,'Forbrug af biomasse'!B:B,$E101)</f>
        <v>#REF!</v>
      </c>
      <c r="N101" s="204" t="e">
        <f t="shared" si="23"/>
        <v>#REF!</v>
      </c>
      <c r="O101" s="195" t="e">
        <f t="shared" si="20"/>
        <v>#REF!</v>
      </c>
      <c r="P101" s="205" t="e">
        <f t="shared" si="24"/>
        <v>#REF!</v>
      </c>
      <c r="Q101" s="192" t="e">
        <f>IFERROR(VLOOKUP(A101,[1]Energiindhold!$A$2:$C$11,3,FALSE),IFERROR(VLOOKUP(A101,[1]Biogasudbytte!$A$2:$B$18,2,FALSE)*[1]Energiindhold!$C$10,0))*O101</f>
        <v>#REF!</v>
      </c>
      <c r="R101" s="192" t="e">
        <f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#REF!</v>
      </c>
      <c r="S101" s="192" t="e">
        <f>IFERROR(VLOOKUP(A101,[1]Biogasudbytte!$A$2:$B$18,2,FALSE)*[1]Energiindhold!$C$10,0)*J101*IFERROR(VLOOKUP(A101,Biogasanlæg!$F$3:$G$8,2,FALSE),1)</f>
        <v>#REF!</v>
      </c>
      <c r="T101" s="193" t="e">
        <f t="shared" si="25"/>
        <v>#REF!</v>
      </c>
      <c r="U101" s="191" t="e">
        <f>O101*IFERROR(VLOOKUP(A101,[1]Tørstofindhold!A$2:B$24,2,FALSE),0)</f>
        <v>#REF!</v>
      </c>
      <c r="V101" s="192" t="e">
        <f>IF(D101=År1,P101,SUM(O101,P101))*IFERROR(VLOOKUP(A101,[1]Tørstofindhold!A$2:B$24,2,FALSE),0)</f>
        <v>#REF!</v>
      </c>
      <c r="W101" s="192" t="e">
        <f>J101*IFERROR(VLOOKUP(A101,[1]Tørstofindhold!A$2:B$24,2,FALSE),0)</f>
        <v>#REF!</v>
      </c>
      <c r="X101" s="193" t="e">
        <f t="shared" si="26"/>
        <v>#REF!</v>
      </c>
      <c r="Y101" s="171" t="e">
        <f t="shared" si="21"/>
        <v>#REF!</v>
      </c>
      <c r="Z101" s="103" t="e">
        <f t="shared" si="22"/>
        <v>#REF!</v>
      </c>
    </row>
    <row r="102" spans="1:26" x14ac:dyDescent="0.25">
      <c r="A102" s="194" t="str">
        <f t="shared" si="33"/>
        <v>Biogas</v>
      </c>
      <c r="B102" s="194" t="str">
        <f t="shared" si="34"/>
        <v/>
      </c>
      <c r="C102" s="194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4">
        <f t="shared" si="35"/>
        <v>2050</v>
      </c>
      <c r="E102" s="192" t="s">
        <v>23</v>
      </c>
      <c r="F102" s="195">
        <f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482316595.80799681</v>
      </c>
      <c r="G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2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5">
        <f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482316595.80799681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4">
        <f t="shared" si="23"/>
        <v>0</v>
      </c>
      <c r="O102" s="195">
        <f t="shared" si="20"/>
        <v>0</v>
      </c>
      <c r="P102" s="205">
        <f t="shared" si="24"/>
        <v>482316595.80799681</v>
      </c>
      <c r="Q102" s="192">
        <f>IFERROR(VLOOKUP(A102,[1]Energiindhold!$A$2:$C$11,3,FALSE),IFERROR(VLOOKUP(A102,[1]Biogasudbytte!$A$2:$B$18,2,FALSE)*[1]Energiindhold!$C$10,0))*O102</f>
        <v>0</v>
      </c>
      <c r="R102" s="192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2">
        <f>IFERROR(VLOOKUP(A102,[1]Biogasudbytte!$A$2:$B$18,2,FALSE)*[1]Energiindhold!$C$10,0)*J102*IFERROR(VLOOKUP(A102,Biogasanlæg!$F$3:$G$8,2,FALSE),1)</f>
        <v>0</v>
      </c>
      <c r="T102" s="193">
        <f t="shared" si="25"/>
        <v>0</v>
      </c>
      <c r="U102" s="191">
        <f>O102*IFERROR(VLOOKUP(A102,[1]Tørstofindhold!A$2:B$24,2,FALSE),0)</f>
        <v>0</v>
      </c>
      <c r="V102" s="192">
        <f>IF(D102=År1,P102,SUM(O102,P102))*IFERROR(VLOOKUP(A102,[1]Tørstofindhold!A$2:B$24,2,FALSE),0)</f>
        <v>0</v>
      </c>
      <c r="W102" s="192">
        <f>J102*IFERROR(VLOOKUP(A102,[1]Tørstofindhold!A$2:B$24,2,FALSE),0)</f>
        <v>0</v>
      </c>
      <c r="X102" s="193">
        <f t="shared" si="26"/>
        <v>0</v>
      </c>
      <c r="Y102" s="171">
        <f t="shared" si="21"/>
        <v>0</v>
      </c>
      <c r="Z102" s="103">
        <f t="shared" si="22"/>
        <v>0</v>
      </c>
    </row>
    <row r="103" spans="1:26" x14ac:dyDescent="0.25">
      <c r="A103" s="194" t="str">
        <f t="shared" si="33"/>
        <v>Biogasgylle</v>
      </c>
      <c r="B103" s="194" t="str">
        <f t="shared" si="34"/>
        <v/>
      </c>
      <c r="C103" s="194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4">
        <f t="shared" si="35"/>
        <v>2050</v>
      </c>
      <c r="E103" s="192" t="s">
        <v>23</v>
      </c>
      <c r="F103" s="195">
        <f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0</v>
      </c>
      <c r="G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2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5" t="e">
        <f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#REF!</v>
      </c>
      <c r="L103" s="195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4" t="e">
        <f t="shared" si="23"/>
        <v>#REF!</v>
      </c>
      <c r="O103" s="195">
        <f t="shared" si="20"/>
        <v>0</v>
      </c>
      <c r="P103" s="205">
        <f t="shared" si="24"/>
        <v>0</v>
      </c>
      <c r="Q103" s="192">
        <f>IFERROR(VLOOKUP(A103,[1]Energiindhold!$A$2:$C$11,3,FALSE),IFERROR(VLOOKUP(A103,[1]Biogasudbytte!$A$2:$B$18,2,FALSE)*[1]Energiindhold!$C$10,0))*O103</f>
        <v>0</v>
      </c>
      <c r="R103" s="192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2">
        <f>IFERROR(VLOOKUP(A103,[1]Biogasudbytte!$A$2:$B$18,2,FALSE)*[1]Energiindhold!$C$10,0)*J103*IFERROR(VLOOKUP(A103,Biogasanlæg!$F$3:$G$8,2,FALSE),1)</f>
        <v>0</v>
      </c>
      <c r="T103" s="193">
        <f t="shared" si="25"/>
        <v>0</v>
      </c>
      <c r="U103" s="191">
        <f>O103*IFERROR(VLOOKUP(A103,[1]Tørstofindhold!A$2:B$24,2,FALSE),0)</f>
        <v>0</v>
      </c>
      <c r="V103" s="192">
        <f>IF(D103=År1,P103,SUM(O103,P103))*IFERROR(VLOOKUP(A103,[1]Tørstofindhold!A$2:B$24,2,FALSE),0)</f>
        <v>0</v>
      </c>
      <c r="W103" s="192">
        <f>J103*IFERROR(VLOOKUP(A103,[1]Tørstofindhold!A$2:B$24,2,FALSE),0)</f>
        <v>0</v>
      </c>
      <c r="X103" s="193">
        <f t="shared" si="26"/>
        <v>0</v>
      </c>
      <c r="Y103" s="171" t="e">
        <f t="shared" si="21"/>
        <v>#REF!</v>
      </c>
      <c r="Z103" s="103" t="e">
        <f t="shared" si="22"/>
        <v>#REF!</v>
      </c>
    </row>
    <row r="104" spans="1:26" x14ac:dyDescent="0.25">
      <c r="A104" s="194" t="str">
        <f t="shared" si="33"/>
        <v>Brun saft</v>
      </c>
      <c r="B104" s="194" t="str">
        <f t="shared" si="34"/>
        <v>Bionedbrydeligt affald</v>
      </c>
      <c r="C104" s="194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4">
        <f t="shared" si="35"/>
        <v>2050</v>
      </c>
      <c r="E104" s="192" t="s">
        <v>23</v>
      </c>
      <c r="F104" s="195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0</v>
      </c>
      <c r="G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2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5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4">
        <f t="shared" si="23"/>
        <v>0</v>
      </c>
      <c r="O104" s="195">
        <f t="shared" si="20"/>
        <v>0</v>
      </c>
      <c r="P104" s="205">
        <f t="shared" si="24"/>
        <v>0</v>
      </c>
      <c r="Q104" s="192">
        <f>IFERROR(VLOOKUP(A104,[1]Energiindhold!$A$2:$C$11,3,FALSE),IFERROR(VLOOKUP(A104,[1]Biogasudbytte!$A$2:$B$18,2,FALSE)*[1]Energiindhold!$C$10,0))*O104</f>
        <v>0</v>
      </c>
      <c r="R104" s="192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2">
        <f>IFERROR(VLOOKUP(A104,[1]Biogasudbytte!$A$2:$B$18,2,FALSE)*[1]Energiindhold!$C$10,0)*J104*IFERROR(VLOOKUP(A104,Biogasanlæg!$F$3:$G$8,2,FALSE),1)</f>
        <v>0</v>
      </c>
      <c r="T104" s="193">
        <f t="shared" si="25"/>
        <v>0</v>
      </c>
      <c r="U104" s="191">
        <f>O104*IFERROR(VLOOKUP(A104,[1]Tørstofindhold!A$2:B$24,2,FALSE),0)</f>
        <v>0</v>
      </c>
      <c r="V104" s="192">
        <f>IF(D104=År1,P104,SUM(O104,P104))*IFERROR(VLOOKUP(A104,[1]Tørstofindhold!A$2:B$24,2,FALSE),0)</f>
        <v>0</v>
      </c>
      <c r="W104" s="192">
        <f>J104*IFERROR(VLOOKUP(A104,[1]Tørstofindhold!A$2:B$24,2,FALSE),0)</f>
        <v>0</v>
      </c>
      <c r="X104" s="193">
        <f t="shared" si="26"/>
        <v>0</v>
      </c>
      <c r="Y104" s="171">
        <f t="shared" si="21"/>
        <v>0</v>
      </c>
      <c r="Z104" s="103">
        <f t="shared" si="22"/>
        <v>0</v>
      </c>
    </row>
    <row r="105" spans="1:26" x14ac:dyDescent="0.25">
      <c r="A105" s="194" t="str">
        <f t="shared" si="33"/>
        <v>Dybstrøelse</v>
      </c>
      <c r="B105" s="194" t="str">
        <f t="shared" si="34"/>
        <v>Husdyrgødning</v>
      </c>
      <c r="C105" s="194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4">
        <f t="shared" si="35"/>
        <v>2050</v>
      </c>
      <c r="E105" s="192" t="s">
        <v>23</v>
      </c>
      <c r="F105" s="195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2222382.1821508599</v>
      </c>
      <c r="G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2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1111191.0910754299</v>
      </c>
      <c r="K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420665.19876426988</v>
      </c>
      <c r="L105" s="195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4">
        <f t="shared" si="23"/>
        <v>690525.89231115999</v>
      </c>
      <c r="O105" s="195">
        <f t="shared" si="20"/>
        <v>690525.89231115999</v>
      </c>
      <c r="P105" s="205">
        <f t="shared" si="24"/>
        <v>1111191.0910754299</v>
      </c>
      <c r="Q105" s="192">
        <f>IFERROR(VLOOKUP(A105,[1]Energiindhold!$A$2:$C$11,3,FALSE),IFERROR(VLOOKUP(A105,[1]Biogasudbytte!$A$2:$B$18,2,FALSE)*[1]Energiindhold!$C$10,0))*O105</f>
        <v>1.4873927720382387</v>
      </c>
      <c r="R105" s="192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3.8808983822147152</v>
      </c>
      <c r="S105" s="192">
        <f>IFERROR(VLOOKUP(A105,[1]Biogasudbytte!$A$2:$B$18,2,FALSE)*[1]Energiindhold!$C$10,0)*J105*IFERROR(VLOOKUP(A105,Biogasanlæg!$F$3:$G$8,2,FALSE),1)</f>
        <v>2.3935056101764762</v>
      </c>
      <c r="T105" s="193">
        <f t="shared" si="25"/>
        <v>1.4873927720382389</v>
      </c>
      <c r="U105" s="191">
        <f>O105*IFERROR(VLOOKUP(A105,[1]Tørstofindhold!A$2:B$24,2,FALSE),0)</f>
        <v>207157.767693348</v>
      </c>
      <c r="V105" s="192">
        <f>IF(D105=År1,P105,SUM(O105,P105))*IFERROR(VLOOKUP(A105,[1]Tørstofindhold!A$2:B$24,2,FALSE),0)</f>
        <v>540515.09501597693</v>
      </c>
      <c r="W105" s="192">
        <f>J105*IFERROR(VLOOKUP(A105,[1]Tørstofindhold!A$2:B$24,2,FALSE),0)</f>
        <v>333357.32732262899</v>
      </c>
      <c r="X105" s="193">
        <f t="shared" si="26"/>
        <v>207157.76769334794</v>
      </c>
      <c r="Y105" s="171">
        <f t="shared" si="21"/>
        <v>0</v>
      </c>
      <c r="Z105" s="103">
        <f t="shared" si="22"/>
        <v>1</v>
      </c>
    </row>
    <row r="106" spans="1:26" x14ac:dyDescent="0.25">
      <c r="A106" s="194" t="str">
        <f t="shared" si="33"/>
        <v>Fiberfraktion</v>
      </c>
      <c r="B106" s="194" t="str">
        <f t="shared" si="34"/>
        <v/>
      </c>
      <c r="C106" s="194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4">
        <f t="shared" si="35"/>
        <v>2050</v>
      </c>
      <c r="E106" s="192" t="s">
        <v>23</v>
      </c>
      <c r="F106" s="195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0</v>
      </c>
      <c r="G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2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5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4">
        <f t="shared" si="23"/>
        <v>0</v>
      </c>
      <c r="O106" s="195">
        <f t="shared" si="20"/>
        <v>0</v>
      </c>
      <c r="P106" s="205">
        <f t="shared" si="24"/>
        <v>0</v>
      </c>
      <c r="Q106" s="192">
        <f>IFERROR(VLOOKUP(A106,[1]Energiindhold!$A$2:$C$11,3,FALSE),IFERROR(VLOOKUP(A106,[1]Biogasudbytte!$A$2:$B$18,2,FALSE)*[1]Energiindhold!$C$10,0))*O106</f>
        <v>0</v>
      </c>
      <c r="R106" s="192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2">
        <f>IFERROR(VLOOKUP(A106,[1]Biogasudbytte!$A$2:$B$18,2,FALSE)*[1]Energiindhold!$C$10,0)*J106*IFERROR(VLOOKUP(A106,Biogasanlæg!$F$3:$G$8,2,FALSE),1)</f>
        <v>0</v>
      </c>
      <c r="T106" s="193">
        <f t="shared" si="25"/>
        <v>0</v>
      </c>
      <c r="U106" s="191">
        <f>O106*IFERROR(VLOOKUP(A106,[1]Tørstofindhold!A$2:B$24,2,FALSE),0)</f>
        <v>0</v>
      </c>
      <c r="V106" s="192">
        <f>IF(D106=År1,P106,SUM(O106,P106))*IFERROR(VLOOKUP(A106,[1]Tørstofindhold!A$2:B$24,2,FALSE),0)</f>
        <v>0</v>
      </c>
      <c r="W106" s="192">
        <f>J106*IFERROR(VLOOKUP(A106,[1]Tørstofindhold!A$2:B$24,2,FALSE),0)</f>
        <v>0</v>
      </c>
      <c r="X106" s="193">
        <f t="shared" si="26"/>
        <v>0</v>
      </c>
      <c r="Y106" s="171">
        <f t="shared" si="21"/>
        <v>0</v>
      </c>
      <c r="Z106" s="103">
        <f t="shared" si="22"/>
        <v>0</v>
      </c>
    </row>
    <row r="107" spans="1:26" x14ac:dyDescent="0.25">
      <c r="A107" s="194" t="str">
        <f t="shared" si="33"/>
        <v>Fjerkrægylle</v>
      </c>
      <c r="B107" s="194" t="str">
        <f t="shared" si="34"/>
        <v>Husdyrgødning</v>
      </c>
      <c r="C107" s="194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4">
        <f t="shared" si="35"/>
        <v>2050</v>
      </c>
      <c r="E107" s="192" t="s">
        <v>23</v>
      </c>
      <c r="F107" s="195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6892.4253779859373</v>
      </c>
      <c r="G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2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6203.1828401873436</v>
      </c>
      <c r="K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521.85506433322087</v>
      </c>
      <c r="L107" s="195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4">
        <f t="shared" si="23"/>
        <v>167.38747346537275</v>
      </c>
      <c r="O107" s="195">
        <f t="shared" si="20"/>
        <v>167.38747346537275</v>
      </c>
      <c r="P107" s="205">
        <f t="shared" si="24"/>
        <v>6203.1828401873436</v>
      </c>
      <c r="Q107" s="192">
        <f>IFERROR(VLOOKUP(A107,[1]Energiindhold!$A$2:$C$11,3,FALSE),IFERROR(VLOOKUP(A107,[1]Biogasudbytte!$A$2:$B$18,2,FALSE)*[1]Energiindhold!$C$10,0))*O107</f>
        <v>7.8720654896030152E-5</v>
      </c>
      <c r="R107" s="192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2.9960155128077363E-3</v>
      </c>
      <c r="S107" s="192">
        <f>IFERROR(VLOOKUP(A107,[1]Biogasudbytte!$A$2:$B$18,2,FALSE)*[1]Energiindhold!$C$10,0)*J107*IFERROR(VLOOKUP(A107,Biogasanlæg!$F$3:$G$8,2,FALSE),1)</f>
        <v>2.917294857911706E-3</v>
      </c>
      <c r="T107" s="193">
        <f t="shared" si="25"/>
        <v>7.8720654896030206E-5</v>
      </c>
      <c r="U107" s="191">
        <f>O107*IFERROR(VLOOKUP(A107,[1]Tørstofindhold!A$2:B$24,2,FALSE),0)</f>
        <v>10.545410828318483</v>
      </c>
      <c r="V107" s="192">
        <f>IF(D107=År1,P107,SUM(O107,P107))*IFERROR(VLOOKUP(A107,[1]Tørstofindhold!A$2:B$24,2,FALSE),0)</f>
        <v>401.34592976012112</v>
      </c>
      <c r="W107" s="192">
        <f>J107*IFERROR(VLOOKUP(A107,[1]Tørstofindhold!A$2:B$24,2,FALSE),0)</f>
        <v>390.80051893180263</v>
      </c>
      <c r="X107" s="193">
        <f t="shared" si="26"/>
        <v>10.545410828318495</v>
      </c>
      <c r="Y107" s="171">
        <f t="shared" si="21"/>
        <v>0</v>
      </c>
      <c r="Z107" s="103">
        <f t="shared" si="22"/>
        <v>1</v>
      </c>
    </row>
    <row r="108" spans="1:26" x14ac:dyDescent="0.25">
      <c r="A108" s="194" t="str">
        <f t="shared" si="33"/>
        <v>Fjerkrækød</v>
      </c>
      <c r="B108" s="194" t="str">
        <f t="shared" si="34"/>
        <v/>
      </c>
      <c r="C108" s="194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4">
        <f t="shared" si="35"/>
        <v>2050</v>
      </c>
      <c r="E108" s="192" t="s">
        <v>23</v>
      </c>
      <c r="F108" s="195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138927.00099994309</v>
      </c>
      <c r="G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2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5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4">
        <f t="shared" si="23"/>
        <v>102256.20137296121</v>
      </c>
      <c r="O108" s="195">
        <f t="shared" si="20"/>
        <v>0</v>
      </c>
      <c r="P108" s="205">
        <f t="shared" si="24"/>
        <v>0</v>
      </c>
      <c r="Q108" s="192">
        <f>IFERROR(VLOOKUP(A108,[1]Energiindhold!$A$2:$C$11,3,FALSE),IFERROR(VLOOKUP(A108,[1]Biogasudbytte!$A$2:$B$18,2,FALSE)*[1]Energiindhold!$C$10,0))*O108</f>
        <v>0</v>
      </c>
      <c r="R108" s="192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2">
        <f>IFERROR(VLOOKUP(A108,[1]Biogasudbytte!$A$2:$B$18,2,FALSE)*[1]Energiindhold!$C$10,0)*J108*IFERROR(VLOOKUP(A108,Biogasanlæg!$F$3:$G$8,2,FALSE),1)</f>
        <v>0</v>
      </c>
      <c r="T108" s="193">
        <f t="shared" si="25"/>
        <v>0</v>
      </c>
      <c r="U108" s="191">
        <f>O108*IFERROR(VLOOKUP(A108,[1]Tørstofindhold!A$2:B$24,2,FALSE),0)</f>
        <v>0</v>
      </c>
      <c r="V108" s="192">
        <f>IF(D108=År1,P108,SUM(O108,P108))*IFERROR(VLOOKUP(A108,[1]Tørstofindhold!A$2:B$24,2,FALSE),0)</f>
        <v>0</v>
      </c>
      <c r="W108" s="192">
        <f>J108*IFERROR(VLOOKUP(A108,[1]Tørstofindhold!A$2:B$24,2,FALSE),0)</f>
        <v>0</v>
      </c>
      <c r="X108" s="193">
        <f t="shared" si="26"/>
        <v>0</v>
      </c>
      <c r="Y108" s="171">
        <f t="shared" si="21"/>
        <v>0</v>
      </c>
      <c r="Z108" s="103">
        <f t="shared" si="22"/>
        <v>1</v>
      </c>
    </row>
    <row r="109" spans="1:26" x14ac:dyDescent="0.25">
      <c r="A109" s="194" t="str">
        <f t="shared" si="33"/>
        <v>Frø</v>
      </c>
      <c r="B109" s="194" t="str">
        <f t="shared" si="34"/>
        <v/>
      </c>
      <c r="C109" s="194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4">
        <f t="shared" si="35"/>
        <v>2050</v>
      </c>
      <c r="E109" s="192" t="s">
        <v>23</v>
      </c>
      <c r="F109" s="195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1145476.8591293055</v>
      </c>
      <c r="G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2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5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4">
        <f t="shared" si="23"/>
        <v>1145476.8591293055</v>
      </c>
      <c r="O109" s="195">
        <f t="shared" si="20"/>
        <v>0</v>
      </c>
      <c r="P109" s="205">
        <f t="shared" si="24"/>
        <v>0</v>
      </c>
      <c r="Q109" s="192">
        <f>IFERROR(VLOOKUP(A109,[1]Energiindhold!$A$2:$C$11,3,FALSE),IFERROR(VLOOKUP(A109,[1]Biogasudbytte!$A$2:$B$18,2,FALSE)*[1]Energiindhold!$C$10,0))*O109</f>
        <v>0</v>
      </c>
      <c r="R109" s="192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2">
        <f>IFERROR(VLOOKUP(A109,[1]Biogasudbytte!$A$2:$B$18,2,FALSE)*[1]Energiindhold!$C$10,0)*J109*IFERROR(VLOOKUP(A109,Biogasanlæg!$F$3:$G$8,2,FALSE),1)</f>
        <v>0</v>
      </c>
      <c r="T109" s="193">
        <f t="shared" si="25"/>
        <v>0</v>
      </c>
      <c r="U109" s="191">
        <f>O109*IFERROR(VLOOKUP(A109,[1]Tørstofindhold!A$2:B$24,2,FALSE),0)</f>
        <v>0</v>
      </c>
      <c r="V109" s="192">
        <f>IF(D109=År1,P109,SUM(O109,P109))*IFERROR(VLOOKUP(A109,[1]Tørstofindhold!A$2:B$24,2,FALSE),0)</f>
        <v>0</v>
      </c>
      <c r="W109" s="192">
        <f>J109*IFERROR(VLOOKUP(A109,[1]Tørstofindhold!A$2:B$24,2,FALSE),0)</f>
        <v>0</v>
      </c>
      <c r="X109" s="193">
        <f t="shared" si="26"/>
        <v>0</v>
      </c>
      <c r="Y109" s="171">
        <f t="shared" si="21"/>
        <v>0</v>
      </c>
      <c r="Z109" s="103">
        <f t="shared" si="22"/>
        <v>1</v>
      </c>
    </row>
    <row r="110" spans="1:26" x14ac:dyDescent="0.25">
      <c r="A110" s="194" t="str">
        <f t="shared" si="33"/>
        <v>Frugt</v>
      </c>
      <c r="B110" s="194" t="str">
        <f t="shared" si="34"/>
        <v/>
      </c>
      <c r="C110" s="194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4">
        <f t="shared" si="35"/>
        <v>2050</v>
      </c>
      <c r="E110" s="192" t="s">
        <v>23</v>
      </c>
      <c r="F110" s="195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32793.097303413146</v>
      </c>
      <c r="G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2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5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4">
        <f t="shared" si="23"/>
        <v>-235185.82304760831</v>
      </c>
      <c r="O110" s="195">
        <f t="shared" si="20"/>
        <v>0</v>
      </c>
      <c r="P110" s="205">
        <f t="shared" si="24"/>
        <v>0</v>
      </c>
      <c r="Q110" s="192">
        <f>IFERROR(VLOOKUP(A110,[1]Energiindhold!$A$2:$C$11,3,FALSE),IFERROR(VLOOKUP(A110,[1]Biogasudbytte!$A$2:$B$18,2,FALSE)*[1]Energiindhold!$C$10,0))*O110</f>
        <v>0</v>
      </c>
      <c r="R110" s="192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2">
        <f>IFERROR(VLOOKUP(A110,[1]Biogasudbytte!$A$2:$B$18,2,FALSE)*[1]Energiindhold!$C$10,0)*J110*IFERROR(VLOOKUP(A110,Biogasanlæg!$F$3:$G$8,2,FALSE),1)</f>
        <v>0</v>
      </c>
      <c r="T110" s="193">
        <f t="shared" si="25"/>
        <v>0</v>
      </c>
      <c r="U110" s="191">
        <f>O110*IFERROR(VLOOKUP(A110,[1]Tørstofindhold!A$2:B$24,2,FALSE),0)</f>
        <v>0</v>
      </c>
      <c r="V110" s="192">
        <f>IF(D110=År1,P110,SUM(O110,P110))*IFERROR(VLOOKUP(A110,[1]Tørstofindhold!A$2:B$24,2,FALSE),0)</f>
        <v>0</v>
      </c>
      <c r="W110" s="192">
        <f>J110*IFERROR(VLOOKUP(A110,[1]Tørstofindhold!A$2:B$24,2,FALSE),0)</f>
        <v>0</v>
      </c>
      <c r="X110" s="193">
        <f t="shared" si="26"/>
        <v>0</v>
      </c>
      <c r="Y110" s="171">
        <f t="shared" si="21"/>
        <v>1</v>
      </c>
      <c r="Z110" s="103">
        <f t="shared" si="22"/>
        <v>0</v>
      </c>
    </row>
    <row r="111" spans="1:26" x14ac:dyDescent="0.25">
      <c r="A111" s="194" t="str">
        <f t="shared" si="33"/>
        <v>Glycerin</v>
      </c>
      <c r="B111" s="194" t="str">
        <f t="shared" si="34"/>
        <v>Glycerin</v>
      </c>
      <c r="C111" s="194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4">
        <f t="shared" si="35"/>
        <v>2050</v>
      </c>
      <c r="E111" s="192" t="s">
        <v>23</v>
      </c>
      <c r="F111" s="195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2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5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4">
        <f t="shared" si="23"/>
        <v>-114193.60000000001</v>
      </c>
      <c r="O111" s="195">
        <f t="shared" si="20"/>
        <v>0</v>
      </c>
      <c r="P111" s="205">
        <f t="shared" si="24"/>
        <v>114193.60000000001</v>
      </c>
      <c r="Q111" s="192">
        <f>IFERROR(VLOOKUP(A111,[1]Energiindhold!$A$2:$C$11,3,FALSE),IFERROR(VLOOKUP(A111,[1]Biogasudbytte!$A$2:$B$18,2,FALSE)*[1]Energiindhold!$C$10,0))*O111</f>
        <v>0</v>
      </c>
      <c r="R111" s="192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2">
        <f>IFERROR(VLOOKUP(A111,[1]Biogasudbytte!$A$2:$B$18,2,FALSE)*[1]Energiindhold!$C$10,0)*J111*IFERROR(VLOOKUP(A111,Biogasanlæg!$F$3:$G$8,2,FALSE),1)</f>
        <v>1.7355855896064003</v>
      </c>
      <c r="T111" s="193">
        <f t="shared" si="25"/>
        <v>0</v>
      </c>
      <c r="U111" s="191">
        <f>O111*IFERROR(VLOOKUP(A111,[1]Tørstofindhold!A$2:B$24,2,FALSE),0)</f>
        <v>0</v>
      </c>
      <c r="V111" s="192">
        <f>IF(D111=År1,P111,SUM(O111,P111))*IFERROR(VLOOKUP(A111,[1]Tørstofindhold!A$2:B$24,2,FALSE),0)</f>
        <v>102774.24</v>
      </c>
      <c r="W111" s="192">
        <f>J111*IFERROR(VLOOKUP(A111,[1]Tørstofindhold!A$2:B$24,2,FALSE),0)</f>
        <v>102774.24</v>
      </c>
      <c r="X111" s="193">
        <f t="shared" si="26"/>
        <v>0</v>
      </c>
      <c r="Y111" s="171">
        <f t="shared" si="21"/>
        <v>1</v>
      </c>
      <c r="Z111" s="103">
        <f t="shared" si="22"/>
        <v>0</v>
      </c>
    </row>
    <row r="112" spans="1:26" x14ac:dyDescent="0.25">
      <c r="A112" s="194" t="str">
        <f t="shared" si="33"/>
        <v>Græs</v>
      </c>
      <c r="B112" s="194" t="str">
        <f t="shared" si="34"/>
        <v>Græs og urter</v>
      </c>
      <c r="C112" s="194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4">
        <f t="shared" si="35"/>
        <v>2050</v>
      </c>
      <c r="E112" s="192" t="s">
        <v>23</v>
      </c>
      <c r="F112" s="195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29404263.983943939</v>
      </c>
      <c r="G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9790151.9274066389</v>
      </c>
      <c r="H112" s="192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66758.668734263701</v>
      </c>
      <c r="K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5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4">
        <f t="shared" si="23"/>
        <v>19547353.387803037</v>
      </c>
      <c r="O112" s="195">
        <f t="shared" si="20"/>
        <v>19547353.387803037</v>
      </c>
      <c r="P112" s="205">
        <f t="shared" si="24"/>
        <v>66758.668734263701</v>
      </c>
      <c r="Q112" s="192">
        <f>IFERROR(VLOOKUP(A112,[1]Energiindhold!$A$2:$C$11,3,FALSE),IFERROR(VLOOKUP(A112,[1]Biogasudbytte!$A$2:$B$18,2,FALSE)*[1]Energiindhold!$C$10,0))*O112</f>
        <v>35.964686814384116</v>
      </c>
      <c r="R112" s="192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36.08751442002157</v>
      </c>
      <c r="S112" s="192">
        <f>IFERROR(VLOOKUP(A112,[1]Biogasudbytte!$A$2:$B$18,2,FALSE)*[1]Energiindhold!$C$10,0)*J112*IFERROR(VLOOKUP(A112,Biogasanlæg!$F$3:$G$8,2,FALSE),1)</f>
        <v>0.12282760563745343</v>
      </c>
      <c r="T112" s="193">
        <f t="shared" si="25"/>
        <v>35.964686814384116</v>
      </c>
      <c r="U112" s="191">
        <f>O112*IFERROR(VLOOKUP(A112,[1]Tørstofindhold!A$2:B$24,2,FALSE),0)</f>
        <v>5473258.9485848509</v>
      </c>
      <c r="V112" s="192">
        <f>IF(D112=År1,P112,SUM(O112,P112))*IFERROR(VLOOKUP(A112,[1]Tørstofindhold!A$2:B$24,2,FALSE),0)</f>
        <v>5491951.3758304445</v>
      </c>
      <c r="W112" s="192">
        <f>J112*IFERROR(VLOOKUP(A112,[1]Tørstofindhold!A$2:B$24,2,FALSE),0)</f>
        <v>18692.427245593837</v>
      </c>
      <c r="X112" s="193">
        <f t="shared" si="26"/>
        <v>5473258.9485848509</v>
      </c>
      <c r="Y112" s="171">
        <f t="shared" si="21"/>
        <v>0</v>
      </c>
      <c r="Z112" s="103">
        <f t="shared" si="22"/>
        <v>1</v>
      </c>
    </row>
    <row r="113" spans="1:26" x14ac:dyDescent="0.25">
      <c r="A113" s="194" t="str">
        <f t="shared" si="33"/>
        <v>Græsprotein</v>
      </c>
      <c r="B113" s="194" t="str">
        <f t="shared" si="34"/>
        <v/>
      </c>
      <c r="C113" s="194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4">
        <f t="shared" si="35"/>
        <v>2050</v>
      </c>
      <c r="E113" s="192" t="s">
        <v>23</v>
      </c>
      <c r="F113" s="195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0</v>
      </c>
      <c r="G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2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5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4">
        <f t="shared" si="23"/>
        <v>0</v>
      </c>
      <c r="O113" s="195">
        <f t="shared" si="20"/>
        <v>0</v>
      </c>
      <c r="P113" s="205">
        <f t="shared" si="24"/>
        <v>0</v>
      </c>
      <c r="Q113" s="192">
        <f>IFERROR(VLOOKUP(A113,[1]Energiindhold!$A$2:$C$11,3,FALSE),IFERROR(VLOOKUP(A113,[1]Biogasudbytte!$A$2:$B$18,2,FALSE)*[1]Energiindhold!$C$10,0))*O113</f>
        <v>0</v>
      </c>
      <c r="R113" s="192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2">
        <f>IFERROR(VLOOKUP(A113,[1]Biogasudbytte!$A$2:$B$18,2,FALSE)*[1]Energiindhold!$C$10,0)*J113*IFERROR(VLOOKUP(A113,Biogasanlæg!$F$3:$G$8,2,FALSE),1)</f>
        <v>0</v>
      </c>
      <c r="T113" s="193">
        <f t="shared" si="25"/>
        <v>0</v>
      </c>
      <c r="U113" s="191">
        <f>O113*IFERROR(VLOOKUP(A113,[1]Tørstofindhold!A$2:B$24,2,FALSE),0)</f>
        <v>0</v>
      </c>
      <c r="V113" s="192">
        <f>IF(D113=År1,P113,SUM(O113,P113))*IFERROR(VLOOKUP(A113,[1]Tørstofindhold!A$2:B$24,2,FALSE),0)</f>
        <v>0</v>
      </c>
      <c r="W113" s="192">
        <f>J113*IFERROR(VLOOKUP(A113,[1]Tørstofindhold!A$2:B$24,2,FALSE),0)</f>
        <v>0</v>
      </c>
      <c r="X113" s="193">
        <f t="shared" si="26"/>
        <v>0</v>
      </c>
      <c r="Y113" s="171">
        <f t="shared" si="21"/>
        <v>0</v>
      </c>
      <c r="Z113" s="103">
        <f t="shared" si="22"/>
        <v>0</v>
      </c>
    </row>
    <row r="114" spans="1:26" x14ac:dyDescent="0.25">
      <c r="A114" s="194" t="str">
        <f t="shared" si="33"/>
        <v>Grøntsager</v>
      </c>
      <c r="B114" s="194" t="str">
        <f t="shared" si="34"/>
        <v/>
      </c>
      <c r="C114" s="194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4">
        <f t="shared" si="35"/>
        <v>2050</v>
      </c>
      <c r="E114" s="192" t="s">
        <v>23</v>
      </c>
      <c r="F114" s="195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220830.77573350482</v>
      </c>
      <c r="G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2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5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4">
        <f t="shared" si="23"/>
        <v>-59841.882949933439</v>
      </c>
      <c r="O114" s="195">
        <f t="shared" si="20"/>
        <v>0</v>
      </c>
      <c r="P114" s="205">
        <f t="shared" si="24"/>
        <v>0</v>
      </c>
      <c r="Q114" s="192">
        <f>IFERROR(VLOOKUP(A114,[1]Energiindhold!$A$2:$C$11,3,FALSE),IFERROR(VLOOKUP(A114,[1]Biogasudbytte!$A$2:$B$18,2,FALSE)*[1]Energiindhold!$C$10,0))*O114</f>
        <v>0</v>
      </c>
      <c r="R114" s="192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2">
        <f>IFERROR(VLOOKUP(A114,[1]Biogasudbytte!$A$2:$B$18,2,FALSE)*[1]Energiindhold!$C$10,0)*J114*IFERROR(VLOOKUP(A114,Biogasanlæg!$F$3:$G$8,2,FALSE),1)</f>
        <v>0</v>
      </c>
      <c r="T114" s="193">
        <f t="shared" si="25"/>
        <v>0</v>
      </c>
      <c r="U114" s="191">
        <f>O114*IFERROR(VLOOKUP(A114,[1]Tørstofindhold!A$2:B$24,2,FALSE),0)</f>
        <v>0</v>
      </c>
      <c r="V114" s="192">
        <f>IF(D114=År1,P114,SUM(O114,P114))*IFERROR(VLOOKUP(A114,[1]Tørstofindhold!A$2:B$24,2,FALSE),0)</f>
        <v>0</v>
      </c>
      <c r="W114" s="192">
        <f>J114*IFERROR(VLOOKUP(A114,[1]Tørstofindhold!A$2:B$24,2,FALSE),0)</f>
        <v>0</v>
      </c>
      <c r="X114" s="193">
        <f t="shared" si="26"/>
        <v>0</v>
      </c>
      <c r="Y114" s="171">
        <f t="shared" si="21"/>
        <v>1</v>
      </c>
      <c r="Z114" s="103">
        <f t="shared" si="22"/>
        <v>0</v>
      </c>
    </row>
    <row r="115" spans="1:26" x14ac:dyDescent="0.25">
      <c r="A115" s="194" t="str">
        <f t="shared" si="33"/>
        <v>Halm</v>
      </c>
      <c r="B115" s="194" t="str">
        <f t="shared" si="34"/>
        <v>Halm og strå</v>
      </c>
      <c r="C115" s="194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4">
        <f t="shared" si="35"/>
        <v>2050</v>
      </c>
      <c r="E115" s="192" t="s">
        <v>23</v>
      </c>
      <c r="F115" s="195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2835213.6153094829</v>
      </c>
      <c r="G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618468.71483434096</v>
      </c>
      <c r="H115" s="192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579210.80448009283</v>
      </c>
      <c r="I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56360.409398816068</v>
      </c>
      <c r="K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5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1581173.6865962329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4">
        <f t="shared" si="23"/>
        <v>0</v>
      </c>
      <c r="O115" s="195">
        <f t="shared" si="20"/>
        <v>0</v>
      </c>
      <c r="P115" s="205">
        <f t="shared" si="24"/>
        <v>1637534.095995049</v>
      </c>
      <c r="Q115" s="192">
        <f>IFERROR(VLOOKUP(A115,[1]Energiindhold!$A$2:$C$11,3,FALSE),IFERROR(VLOOKUP(A115,[1]Biogasudbytte!$A$2:$B$18,2,FALSE)*[1]Energiindhold!$C$10,0))*O115</f>
        <v>0</v>
      </c>
      <c r="R115" s="192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16.667653207999045</v>
      </c>
      <c r="S115" s="192">
        <f>IFERROR(VLOOKUP(A115,[1]Biogasudbytte!$A$2:$B$18,2,FALSE)*[1]Energiindhold!$C$10,0)*J115*IFERROR(VLOOKUP(A115,Biogasanlæg!$F$3:$G$8,2,FALSE),1)</f>
        <v>0.32494819480525</v>
      </c>
      <c r="T115" s="193">
        <f t="shared" si="25"/>
        <v>16.342705013193797</v>
      </c>
      <c r="U115" s="191">
        <f>O115*IFERROR(VLOOKUP(A115,[1]Tørstofindhold!A$2:B$24,2,FALSE),0)</f>
        <v>0</v>
      </c>
      <c r="V115" s="192">
        <f>IF(D115=År1,P115,SUM(O115,P115))*IFERROR(VLOOKUP(A115,[1]Tørstofindhold!A$2:B$24,2,FALSE),0)</f>
        <v>1391903.9815957916</v>
      </c>
      <c r="W115" s="192">
        <f>J115*IFERROR(VLOOKUP(A115,[1]Tørstofindhold!A$2:B$24,2,FALSE),0)</f>
        <v>47906.347988993657</v>
      </c>
      <c r="X115" s="193">
        <f t="shared" si="26"/>
        <v>1343997.633606798</v>
      </c>
      <c r="Y115" s="171">
        <f t="shared" si="21"/>
        <v>0</v>
      </c>
      <c r="Z115" s="103">
        <f t="shared" si="22"/>
        <v>0</v>
      </c>
    </row>
    <row r="116" spans="1:26" x14ac:dyDescent="0.25">
      <c r="A116" s="194" t="str">
        <f t="shared" si="33"/>
        <v>Have/parkaffald</v>
      </c>
      <c r="B116" s="194" t="str">
        <f t="shared" si="34"/>
        <v>Bionedbrydeligt affald</v>
      </c>
      <c r="C116" s="194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4">
        <f t="shared" si="35"/>
        <v>2050</v>
      </c>
      <c r="E116" s="192" t="s">
        <v>23</v>
      </c>
      <c r="F116" s="195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524881.97503939818</v>
      </c>
      <c r="G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2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5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4">
        <f t="shared" si="23"/>
        <v>0</v>
      </c>
      <c r="O116" s="195">
        <f t="shared" si="20"/>
        <v>0</v>
      </c>
      <c r="P116" s="205">
        <f t="shared" si="24"/>
        <v>524881.97503939818</v>
      </c>
      <c r="Q116" s="192">
        <f>IFERROR(VLOOKUP(A116,[1]Energiindhold!$A$2:$C$11,3,FALSE),IFERROR(VLOOKUP(A116,[1]Biogasudbytte!$A$2:$B$18,2,FALSE)*[1]Energiindhold!$C$10,0))*O116</f>
        <v>0</v>
      </c>
      <c r="R116" s="192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2">
        <f>IFERROR(VLOOKUP(A116,[1]Biogasudbytte!$A$2:$B$18,2,FALSE)*[1]Energiindhold!$C$10,0)*J116*IFERROR(VLOOKUP(A116,Biogasanlæg!$F$3:$G$8,2,FALSE),1)</f>
        <v>7.0736362973580603E-5</v>
      </c>
      <c r="T116" s="193">
        <f t="shared" si="25"/>
        <v>9.3695650972414288</v>
      </c>
      <c r="U116" s="191">
        <f>O116*IFERROR(VLOOKUP(A116,[1]Tørstofindhold!A$2:B$24,2,FALSE),0)</f>
        <v>0</v>
      </c>
      <c r="V116" s="192">
        <f>IF(D116=År1,P116,SUM(O116,P116))*IFERROR(VLOOKUP(A116,[1]Tørstofindhold!A$2:B$24,2,FALSE),0)</f>
        <v>157464.59251181944</v>
      </c>
      <c r="W116" s="192">
        <f>J116*IFERROR(VLOOKUP(A116,[1]Tørstofindhold!A$2:B$24,2,FALSE),0)</f>
        <v>12.49707543980765</v>
      </c>
      <c r="X116" s="193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x14ac:dyDescent="0.25">
      <c r="A117" s="194" t="str">
        <f t="shared" si="33"/>
        <v>Import af foder</v>
      </c>
      <c r="B117" s="194" t="str">
        <f t="shared" si="34"/>
        <v/>
      </c>
      <c r="C117" s="194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4">
        <f t="shared" si="35"/>
        <v>2050</v>
      </c>
      <c r="E117" s="192" t="s">
        <v>23</v>
      </c>
      <c r="F117" s="195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3862742.0312364982</v>
      </c>
      <c r="H117" s="192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5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4">
        <f t="shared" si="23"/>
        <v>-3862742.0312364982</v>
      </c>
      <c r="O117" s="195">
        <f t="shared" si="20"/>
        <v>0</v>
      </c>
      <c r="P117" s="205">
        <f t="shared" si="24"/>
        <v>0</v>
      </c>
      <c r="Q117" s="192">
        <f>IFERROR(VLOOKUP(A117,[1]Energiindhold!$A$2:$C$11,3,FALSE),IFERROR(VLOOKUP(A117,[1]Biogasudbytte!$A$2:$B$18,2,FALSE)*[1]Energiindhold!$C$10,0))*O117</f>
        <v>0</v>
      </c>
      <c r="R117" s="192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2">
        <f>IFERROR(VLOOKUP(A117,[1]Biogasudbytte!$A$2:$B$18,2,FALSE)*[1]Energiindhold!$C$10,0)*J117*IFERROR(VLOOKUP(A117,Biogasanlæg!$F$3:$G$8,2,FALSE),1)</f>
        <v>0</v>
      </c>
      <c r="T117" s="193">
        <f t="shared" si="25"/>
        <v>0</v>
      </c>
      <c r="U117" s="191">
        <f>O117*IFERROR(VLOOKUP(A117,[1]Tørstofindhold!A$2:B$24,2,FALSE),0)</f>
        <v>0</v>
      </c>
      <c r="V117" s="192">
        <f>IF(D117=År1,P117,SUM(O117,P117))*IFERROR(VLOOKUP(A117,[1]Tørstofindhold!A$2:B$24,2,FALSE),0)</f>
        <v>0</v>
      </c>
      <c r="W117" s="192">
        <f>J117*IFERROR(VLOOKUP(A117,[1]Tørstofindhold!A$2:B$24,2,FALSE),0)</f>
        <v>0</v>
      </c>
      <c r="X117" s="193">
        <f t="shared" si="26"/>
        <v>0</v>
      </c>
      <c r="Y117" s="171">
        <f t="shared" si="21"/>
        <v>1</v>
      </c>
      <c r="Z117" s="103">
        <f t="shared" si="22"/>
        <v>0</v>
      </c>
    </row>
    <row r="118" spans="1:26" x14ac:dyDescent="0.25">
      <c r="A118" s="194" t="str">
        <f t="shared" si="33"/>
        <v>Industriaffald</v>
      </c>
      <c r="B118" s="194" t="str">
        <f t="shared" si="34"/>
        <v>Bionedbrydeligt affald</v>
      </c>
      <c r="C118" s="194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4">
        <f t="shared" si="35"/>
        <v>2050</v>
      </c>
      <c r="E118" s="192" t="s">
        <v>23</v>
      </c>
      <c r="F118" s="195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453678.05576738477</v>
      </c>
      <c r="G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2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505095.54922592157</v>
      </c>
      <c r="K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5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4">
        <f t="shared" si="23"/>
        <v>-51417.493458536803</v>
      </c>
      <c r="O118" s="195">
        <f t="shared" si="20"/>
        <v>0</v>
      </c>
      <c r="P118" s="205">
        <f t="shared" si="24"/>
        <v>505095.54922592157</v>
      </c>
      <c r="Q118" s="192">
        <f>IFERROR(VLOOKUP(A118,[1]Energiindhold!$A$2:$C$11,3,FALSE),IFERROR(VLOOKUP(A118,[1]Biogasudbytte!$A$2:$B$18,2,FALSE)*[1]Energiindhold!$C$10,0))*O118</f>
        <v>0</v>
      </c>
      <c r="R118" s="192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1.8603479756347201</v>
      </c>
      <c r="S118" s="192">
        <f>IFERROR(VLOOKUP(A118,[1]Biogasudbytte!$A$2:$B$18,2,FALSE)*[1]Energiindhold!$C$10,0)*J118*IFERROR(VLOOKUP(A118,Biogasanlæg!$F$3:$G$8,2,FALSE),1)</f>
        <v>1.8603479756347201</v>
      </c>
      <c r="T118" s="193">
        <f t="shared" si="25"/>
        <v>0</v>
      </c>
      <c r="U118" s="191">
        <f>O118*IFERROR(VLOOKUP(A118,[1]Tørstofindhold!A$2:B$24,2,FALSE),0)</f>
        <v>0</v>
      </c>
      <c r="V118" s="192">
        <f>IF(D118=År1,P118,SUM(O118,P118))*IFERROR(VLOOKUP(A118,[1]Tørstofindhold!A$2:B$24,2,FALSE),0)</f>
        <v>212140.13067488704</v>
      </c>
      <c r="W118" s="192">
        <f>J118*IFERROR(VLOOKUP(A118,[1]Tørstofindhold!A$2:B$24,2,FALSE),0)</f>
        <v>212140.13067488704</v>
      </c>
      <c r="X118" s="193">
        <f t="shared" si="26"/>
        <v>0</v>
      </c>
      <c r="Y118" s="171">
        <f t="shared" si="21"/>
        <v>1</v>
      </c>
      <c r="Z118" s="103">
        <f t="shared" si="22"/>
        <v>0</v>
      </c>
    </row>
    <row r="119" spans="1:26" x14ac:dyDescent="0.25">
      <c r="A119" s="194" t="str">
        <f t="shared" si="33"/>
        <v>Juletræer</v>
      </c>
      <c r="B119" s="194" t="str">
        <f t="shared" si="34"/>
        <v/>
      </c>
      <c r="C119" s="194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4">
        <f t="shared" si="35"/>
        <v>2050</v>
      </c>
      <c r="E119" s="192" t="s">
        <v>23</v>
      </c>
      <c r="F119" s="195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729011.95091777691</v>
      </c>
      <c r="G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2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5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4">
        <f t="shared" si="23"/>
        <v>729011.95091777691</v>
      </c>
      <c r="O119" s="195">
        <f t="shared" si="20"/>
        <v>0</v>
      </c>
      <c r="P119" s="205">
        <f t="shared" si="24"/>
        <v>0</v>
      </c>
      <c r="Q119" s="192">
        <f>IFERROR(VLOOKUP(A119,[1]Energiindhold!$A$2:$C$11,3,FALSE),IFERROR(VLOOKUP(A119,[1]Biogasudbytte!$A$2:$B$18,2,FALSE)*[1]Energiindhold!$C$10,0))*O119</f>
        <v>0</v>
      </c>
      <c r="R119" s="192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2">
        <f>IFERROR(VLOOKUP(A119,[1]Biogasudbytte!$A$2:$B$18,2,FALSE)*[1]Energiindhold!$C$10,0)*J119*IFERROR(VLOOKUP(A119,Biogasanlæg!$F$3:$G$8,2,FALSE),1)</f>
        <v>0</v>
      </c>
      <c r="T119" s="193">
        <f t="shared" si="25"/>
        <v>0</v>
      </c>
      <c r="U119" s="191">
        <f>O119*IFERROR(VLOOKUP(A119,[1]Tørstofindhold!A$2:B$24,2,FALSE),0)</f>
        <v>0</v>
      </c>
      <c r="V119" s="192">
        <f>IF(D119=År1,P119,SUM(O119,P119))*IFERROR(VLOOKUP(A119,[1]Tørstofindhold!A$2:B$24,2,FALSE),0)</f>
        <v>0</v>
      </c>
      <c r="W119" s="192">
        <f>J119*IFERROR(VLOOKUP(A119,[1]Tørstofindhold!A$2:B$24,2,FALSE),0)</f>
        <v>0</v>
      </c>
      <c r="X119" s="193">
        <f t="shared" si="26"/>
        <v>0</v>
      </c>
      <c r="Y119" s="171">
        <f t="shared" si="21"/>
        <v>0</v>
      </c>
      <c r="Z119" s="103">
        <f t="shared" si="22"/>
        <v>1</v>
      </c>
    </row>
    <row r="120" spans="1:26" x14ac:dyDescent="0.25">
      <c r="A120" s="194" t="str">
        <f t="shared" si="33"/>
        <v>Kartofler</v>
      </c>
      <c r="B120" s="194" t="str">
        <f t="shared" si="34"/>
        <v/>
      </c>
      <c r="C120" s="194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4">
        <f t="shared" si="35"/>
        <v>2050</v>
      </c>
      <c r="E120" s="192" t="s">
        <v>23</v>
      </c>
      <c r="F120" s="195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1818589.8087592444</v>
      </c>
      <c r="G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2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5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4">
        <f t="shared" si="23"/>
        <v>1690242.0100648077</v>
      </c>
      <c r="O120" s="195">
        <f t="shared" si="20"/>
        <v>0</v>
      </c>
      <c r="P120" s="205">
        <f t="shared" si="24"/>
        <v>0</v>
      </c>
      <c r="Q120" s="192">
        <f>IFERROR(VLOOKUP(A120,[1]Energiindhold!$A$2:$C$11,3,FALSE),IFERROR(VLOOKUP(A120,[1]Biogasudbytte!$A$2:$B$18,2,FALSE)*[1]Energiindhold!$C$10,0))*O120</f>
        <v>0</v>
      </c>
      <c r="R120" s="192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2">
        <f>IFERROR(VLOOKUP(A120,[1]Biogasudbytte!$A$2:$B$18,2,FALSE)*[1]Energiindhold!$C$10,0)*J120*IFERROR(VLOOKUP(A120,Biogasanlæg!$F$3:$G$8,2,FALSE),1)</f>
        <v>0</v>
      </c>
      <c r="T120" s="193">
        <f t="shared" si="25"/>
        <v>0</v>
      </c>
      <c r="U120" s="191">
        <f>O120*IFERROR(VLOOKUP(A120,[1]Tørstofindhold!A$2:B$24,2,FALSE),0)</f>
        <v>0</v>
      </c>
      <c r="V120" s="192">
        <f>IF(D120=År1,P120,SUM(O120,P120))*IFERROR(VLOOKUP(A120,[1]Tørstofindhold!A$2:B$24,2,FALSE),0)</f>
        <v>0</v>
      </c>
      <c r="W120" s="192">
        <f>J120*IFERROR(VLOOKUP(A120,[1]Tørstofindhold!A$2:B$24,2,FALSE),0)</f>
        <v>0</v>
      </c>
      <c r="X120" s="193">
        <f t="shared" si="26"/>
        <v>0</v>
      </c>
      <c r="Y120" s="171">
        <f t="shared" si="21"/>
        <v>0</v>
      </c>
      <c r="Z120" s="103">
        <f t="shared" si="22"/>
        <v>1</v>
      </c>
    </row>
    <row r="121" spans="1:26" x14ac:dyDescent="0.25">
      <c r="A121" s="194" t="str">
        <f t="shared" si="33"/>
        <v>Korn</v>
      </c>
      <c r="B121" s="194" t="str">
        <f t="shared" si="34"/>
        <v>Halm og strå</v>
      </c>
      <c r="C121" s="194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4">
        <f t="shared" si="35"/>
        <v>2050</v>
      </c>
      <c r="E121" s="192" t="s">
        <v>23</v>
      </c>
      <c r="F121" s="195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5523408.7197105791</v>
      </c>
      <c r="G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4703372.1615964994</v>
      </c>
      <c r="H121" s="192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2901.770538547059</v>
      </c>
      <c r="K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5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4">
        <f t="shared" si="23"/>
        <v>509664.23685699236</v>
      </c>
      <c r="O121" s="195">
        <f t="shared" si="20"/>
        <v>509664.23685699236</v>
      </c>
      <c r="P121" s="205">
        <f t="shared" si="24"/>
        <v>2901.770538547059</v>
      </c>
      <c r="Q121" s="192">
        <f>IFERROR(VLOOKUP(A121,[1]Energiindhold!$A$2:$C$11,3,FALSE),IFERROR(VLOOKUP(A121,[1]Biogasudbytte!$A$2:$B$18,2,FALSE)*[1]Energiindhold!$C$10,0))*O121</f>
        <v>1.7455286582420391</v>
      </c>
      <c r="R121" s="192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1.7554668160886873</v>
      </c>
      <c r="S121" s="192">
        <f>IFERROR(VLOOKUP(A121,[1]Biogasudbytte!$A$2:$B$18,2,FALSE)*[1]Energiindhold!$C$10,0)*J121*IFERROR(VLOOKUP(A121,Biogasanlæg!$F$3:$G$8,2,FALSE),1)</f>
        <v>9.9381578466482823E-3</v>
      </c>
      <c r="T121" s="193">
        <f t="shared" si="25"/>
        <v>1.7455286582420391</v>
      </c>
      <c r="U121" s="191">
        <f>O121*IFERROR(VLOOKUP(A121,[1]Tørstofindhold!A$2:B$24,2,FALSE),0)</f>
        <v>157995.91342566762</v>
      </c>
      <c r="V121" s="192">
        <f>IF(D121=År1,P121,SUM(O121,P121))*IFERROR(VLOOKUP(A121,[1]Tørstofindhold!A$2:B$24,2,FALSE),0)</f>
        <v>158895.46229261722</v>
      </c>
      <c r="W121" s="192">
        <f>J121*IFERROR(VLOOKUP(A121,[1]Tørstofindhold!A$2:B$24,2,FALSE),0)</f>
        <v>899.54886694958827</v>
      </c>
      <c r="X121" s="193">
        <f t="shared" si="26"/>
        <v>157995.91342566762</v>
      </c>
      <c r="Y121" s="171">
        <f t="shared" si="21"/>
        <v>0</v>
      </c>
      <c r="Z121" s="103">
        <f t="shared" si="22"/>
        <v>1</v>
      </c>
    </row>
    <row r="122" spans="1:26" x14ac:dyDescent="0.25">
      <c r="A122" s="194" t="str">
        <f t="shared" si="33"/>
        <v>Kunstgødning</v>
      </c>
      <c r="B122" s="194" t="str">
        <f t="shared" si="34"/>
        <v/>
      </c>
      <c r="C122" s="194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4">
        <f t="shared" si="35"/>
        <v>2050</v>
      </c>
      <c r="E122" s="192" t="s">
        <v>23</v>
      </c>
      <c r="F122" s="195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2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5" t="e">
        <f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#REF!</v>
      </c>
      <c r="L122" s="195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4" t="e">
        <f t="shared" si="23"/>
        <v>#REF!</v>
      </c>
      <c r="O122" s="195">
        <f t="shared" si="20"/>
        <v>0</v>
      </c>
      <c r="P122" s="205">
        <f t="shared" si="24"/>
        <v>0</v>
      </c>
      <c r="Q122" s="192">
        <f>IFERROR(VLOOKUP(A122,[1]Energiindhold!$A$2:$C$11,3,FALSE),IFERROR(VLOOKUP(A122,[1]Biogasudbytte!$A$2:$B$18,2,FALSE)*[1]Energiindhold!$C$10,0))*O122</f>
        <v>0</v>
      </c>
      <c r="R122" s="192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2">
        <f>IFERROR(VLOOKUP(A122,[1]Biogasudbytte!$A$2:$B$18,2,FALSE)*[1]Energiindhold!$C$10,0)*J122*IFERROR(VLOOKUP(A122,Biogasanlæg!$F$3:$G$8,2,FALSE),1)</f>
        <v>0</v>
      </c>
      <c r="T122" s="193">
        <f t="shared" si="25"/>
        <v>0</v>
      </c>
      <c r="U122" s="191">
        <f>O122*IFERROR(VLOOKUP(A122,[1]Tørstofindhold!A$2:B$24,2,FALSE),0)</f>
        <v>0</v>
      </c>
      <c r="V122" s="192">
        <f>IF(D122=År1,P122,SUM(O122,P122))*IFERROR(VLOOKUP(A122,[1]Tørstofindhold!A$2:B$24,2,FALSE),0)</f>
        <v>0</v>
      </c>
      <c r="W122" s="192">
        <f>J122*IFERROR(VLOOKUP(A122,[1]Tørstofindhold!A$2:B$24,2,FALSE),0)</f>
        <v>0</v>
      </c>
      <c r="X122" s="193">
        <f t="shared" si="26"/>
        <v>0</v>
      </c>
      <c r="Y122" s="171" t="e">
        <f t="shared" si="21"/>
        <v>#REF!</v>
      </c>
      <c r="Z122" s="103" t="e">
        <f t="shared" si="22"/>
        <v>#REF!</v>
      </c>
    </row>
    <row r="123" spans="1:26" x14ac:dyDescent="0.25">
      <c r="A123" s="194" t="str">
        <f t="shared" si="33"/>
        <v>Kvæggylle</v>
      </c>
      <c r="B123" s="194" t="str">
        <f t="shared" si="34"/>
        <v>Husdyrgødning</v>
      </c>
      <c r="C123" s="194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4">
        <f t="shared" si="35"/>
        <v>2050</v>
      </c>
      <c r="E123" s="192" t="s">
        <v>23</v>
      </c>
      <c r="F123" s="195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10188325.202039858</v>
      </c>
      <c r="G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2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9169492.6818358731</v>
      </c>
      <c r="K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674976.54463514045</v>
      </c>
      <c r="L123" s="195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4">
        <f t="shared" si="23"/>
        <v>343855.97556884401</v>
      </c>
      <c r="O123" s="195">
        <f t="shared" si="20"/>
        <v>343855.97556884401</v>
      </c>
      <c r="P123" s="205">
        <f t="shared" si="24"/>
        <v>9169492.6818358731</v>
      </c>
      <c r="Q123" s="192">
        <f>IFERROR(VLOOKUP(A123,[1]Energiindhold!$A$2:$C$11,3,FALSE),IFERROR(VLOOKUP(A123,[1]Biogasudbytte!$A$2:$B$18,2,FALSE)*[1]Energiindhold!$C$10,0))*O123</f>
        <v>0.17405645627319316</v>
      </c>
      <c r="R123" s="192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4.8155619568916936</v>
      </c>
      <c r="S123" s="192">
        <f>IFERROR(VLOOKUP(A123,[1]Biogasudbytte!$A$2:$B$18,2,FALSE)*[1]Energiindhold!$C$10,0)*J123*IFERROR(VLOOKUP(A123,Biogasanlæg!$F$3:$G$8,2,FALSE),1)</f>
        <v>4.6415055006185009</v>
      </c>
      <c r="T123" s="193">
        <f t="shared" si="25"/>
        <v>0.17405645627319277</v>
      </c>
      <c r="U123" s="191">
        <f>O123*IFERROR(VLOOKUP(A123,[1]Tørstofindhold!A$2:B$24,2,FALSE),0)</f>
        <v>26133.054143232144</v>
      </c>
      <c r="V123" s="192">
        <f>IF(D123=År1,P123,SUM(O123,P123))*IFERROR(VLOOKUP(A123,[1]Tørstofindhold!A$2:B$24,2,FALSE),0)</f>
        <v>723014.49796275853</v>
      </c>
      <c r="W123" s="192">
        <f>J123*IFERROR(VLOOKUP(A123,[1]Tørstofindhold!A$2:B$24,2,FALSE),0)</f>
        <v>696881.44381952635</v>
      </c>
      <c r="X123" s="193">
        <f t="shared" si="26"/>
        <v>26133.054143232177</v>
      </c>
      <c r="Y123" s="171">
        <f t="shared" si="21"/>
        <v>0</v>
      </c>
      <c r="Z123" s="103">
        <f t="shared" si="22"/>
        <v>1</v>
      </c>
    </row>
    <row r="124" spans="1:26" x14ac:dyDescent="0.25">
      <c r="A124" s="194" t="str">
        <f t="shared" si="33"/>
        <v>Mælk til foder</v>
      </c>
      <c r="B124" s="194" t="str">
        <f t="shared" si="34"/>
        <v/>
      </c>
      <c r="C124" s="194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4">
        <f t="shared" si="35"/>
        <v>2050</v>
      </c>
      <c r="E124" s="192" t="s">
        <v>23</v>
      </c>
      <c r="F124" s="195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1272706.7760624508</v>
      </c>
      <c r="G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1212571.3389336092</v>
      </c>
      <c r="H124" s="192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5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4">
        <f t="shared" si="23"/>
        <v>60135.437128841644</v>
      </c>
      <c r="O124" s="195">
        <f t="shared" si="20"/>
        <v>0</v>
      </c>
      <c r="P124" s="205">
        <f t="shared" si="24"/>
        <v>0</v>
      </c>
      <c r="Q124" s="192">
        <f>IFERROR(VLOOKUP(A124,[1]Energiindhold!$A$2:$C$11,3,FALSE),IFERROR(VLOOKUP(A124,[1]Biogasudbytte!$A$2:$B$18,2,FALSE)*[1]Energiindhold!$C$10,0))*O124</f>
        <v>0</v>
      </c>
      <c r="R124" s="192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2">
        <f>IFERROR(VLOOKUP(A124,[1]Biogasudbytte!$A$2:$B$18,2,FALSE)*[1]Energiindhold!$C$10,0)*J124*IFERROR(VLOOKUP(A124,Biogasanlæg!$F$3:$G$8,2,FALSE),1)</f>
        <v>0</v>
      </c>
      <c r="T124" s="193">
        <f t="shared" si="25"/>
        <v>0</v>
      </c>
      <c r="U124" s="191">
        <f>O124*IFERROR(VLOOKUP(A124,[1]Tørstofindhold!A$2:B$24,2,FALSE),0)</f>
        <v>0</v>
      </c>
      <c r="V124" s="192">
        <f>IF(D124=År1,P124,SUM(O124,P124))*IFERROR(VLOOKUP(A124,[1]Tørstofindhold!A$2:B$24,2,FALSE),0)</f>
        <v>0</v>
      </c>
      <c r="W124" s="192">
        <f>J124*IFERROR(VLOOKUP(A124,[1]Tørstofindhold!A$2:B$24,2,FALSE),0)</f>
        <v>0</v>
      </c>
      <c r="X124" s="193">
        <f t="shared" si="26"/>
        <v>0</v>
      </c>
      <c r="Y124" s="171">
        <f t="shared" si="21"/>
        <v>0</v>
      </c>
      <c r="Z124" s="103">
        <f t="shared" si="22"/>
        <v>1</v>
      </c>
    </row>
    <row r="125" spans="1:26" x14ac:dyDescent="0.25">
      <c r="A125" s="194" t="str">
        <f t="shared" si="33"/>
        <v>Majs</v>
      </c>
      <c r="B125" s="194" t="str">
        <f t="shared" si="34"/>
        <v>Græs og urter</v>
      </c>
      <c r="C125" s="194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4">
        <f t="shared" si="35"/>
        <v>2050</v>
      </c>
      <c r="E125" s="192" t="s">
        <v>23</v>
      </c>
      <c r="F125" s="195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6101831.6290168501</v>
      </c>
      <c r="G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4525643.0291759707</v>
      </c>
      <c r="H125" s="192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254098.83749353027</v>
      </c>
      <c r="K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5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4">
        <f t="shared" si="23"/>
        <v>1322089.762347349</v>
      </c>
      <c r="O125" s="195">
        <f t="shared" si="20"/>
        <v>1322089.762347349</v>
      </c>
      <c r="P125" s="205">
        <f t="shared" si="24"/>
        <v>254098.83749353027</v>
      </c>
      <c r="Q125" s="192">
        <f>IFERROR(VLOOKUP(A125,[1]Energiindhold!$A$2:$C$11,3,FALSE),IFERROR(VLOOKUP(A125,[1]Biogasudbytte!$A$2:$B$18,2,FALSE)*[1]Energiindhold!$C$10,0))*O125</f>
        <v>4.7463022468269829</v>
      </c>
      <c r="R125" s="192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5.6585170734287562</v>
      </c>
      <c r="S125" s="192">
        <f>IFERROR(VLOOKUP(A125,[1]Biogasudbytte!$A$2:$B$18,2,FALSE)*[1]Energiindhold!$C$10,0)*J125*IFERROR(VLOOKUP(A125,Biogasanlæg!$F$3:$G$8,2,FALSE),1)</f>
        <v>0.91221482660177378</v>
      </c>
      <c r="T125" s="193">
        <f t="shared" si="25"/>
        <v>4.746302246826982</v>
      </c>
      <c r="U125" s="191">
        <f>O125*IFERROR(VLOOKUP(A125,[1]Tørstofindhold!A$2:B$24,2,FALSE),0)</f>
        <v>396626.92870420468</v>
      </c>
      <c r="V125" s="192">
        <f>IF(D125=År1,P125,SUM(O125,P125))*IFERROR(VLOOKUP(A125,[1]Tørstofindhold!A$2:B$24,2,FALSE),0)</f>
        <v>472856.57995226374</v>
      </c>
      <c r="W125" s="192">
        <f>J125*IFERROR(VLOOKUP(A125,[1]Tørstofindhold!A$2:B$24,2,FALSE),0)</f>
        <v>76229.651248059075</v>
      </c>
      <c r="X125" s="193">
        <f t="shared" si="26"/>
        <v>396626.92870420468</v>
      </c>
      <c r="Y125" s="171">
        <f t="shared" si="21"/>
        <v>0</v>
      </c>
      <c r="Z125" s="103">
        <f t="shared" si="22"/>
        <v>1</v>
      </c>
    </row>
    <row r="126" spans="1:26" x14ac:dyDescent="0.25">
      <c r="A126" s="194" t="str">
        <f t="shared" si="33"/>
        <v>Mejeriprodukter</v>
      </c>
      <c r="B126" s="194" t="str">
        <f t="shared" si="34"/>
        <v/>
      </c>
      <c r="C126" s="194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4">
        <f t="shared" si="35"/>
        <v>2050</v>
      </c>
      <c r="E126" s="192" t="s">
        <v>23</v>
      </c>
      <c r="F126" s="195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2455663.5565474145</v>
      </c>
      <c r="G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2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5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4">
        <f t="shared" si="23"/>
        <v>1964839.0076939645</v>
      </c>
      <c r="O126" s="195">
        <f t="shared" si="20"/>
        <v>0</v>
      </c>
      <c r="P126" s="205">
        <f t="shared" si="24"/>
        <v>0</v>
      </c>
      <c r="Q126" s="192">
        <f>IFERROR(VLOOKUP(A126,[1]Energiindhold!$A$2:$C$11,3,FALSE),IFERROR(VLOOKUP(A126,[1]Biogasudbytte!$A$2:$B$18,2,FALSE)*[1]Energiindhold!$C$10,0))*O126</f>
        <v>0</v>
      </c>
      <c r="R126" s="192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2">
        <f>IFERROR(VLOOKUP(A126,[1]Biogasudbytte!$A$2:$B$18,2,FALSE)*[1]Energiindhold!$C$10,0)*J126*IFERROR(VLOOKUP(A126,Biogasanlæg!$F$3:$G$8,2,FALSE),1)</f>
        <v>0</v>
      </c>
      <c r="T126" s="193">
        <f t="shared" si="25"/>
        <v>0</v>
      </c>
      <c r="U126" s="191">
        <f>O126*IFERROR(VLOOKUP(A126,[1]Tørstofindhold!A$2:B$24,2,FALSE),0)</f>
        <v>0</v>
      </c>
      <c r="V126" s="192">
        <f>IF(D126=År1,P126,SUM(O126,P126))*IFERROR(VLOOKUP(A126,[1]Tørstofindhold!A$2:B$24,2,FALSE),0)</f>
        <v>0</v>
      </c>
      <c r="W126" s="192">
        <f>J126*IFERROR(VLOOKUP(A126,[1]Tørstofindhold!A$2:B$24,2,FALSE),0)</f>
        <v>0</v>
      </c>
      <c r="X126" s="193">
        <f t="shared" si="26"/>
        <v>0</v>
      </c>
      <c r="Y126" s="171">
        <f t="shared" si="21"/>
        <v>0</v>
      </c>
      <c r="Z126" s="103">
        <f t="shared" si="22"/>
        <v>1</v>
      </c>
    </row>
    <row r="127" spans="1:26" x14ac:dyDescent="0.25">
      <c r="A127" s="194" t="str">
        <f t="shared" si="33"/>
        <v>Muslinger</v>
      </c>
      <c r="B127" s="194" t="str">
        <f t="shared" si="34"/>
        <v>Havbiomasse</v>
      </c>
      <c r="C127" s="194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4">
        <f t="shared" si="35"/>
        <v>2050</v>
      </c>
      <c r="E127" s="192" t="s">
        <v>23</v>
      </c>
      <c r="F127" s="195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194761.7983669767</v>
      </c>
      <c r="G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2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5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4">
        <f t="shared" si="23"/>
        <v>194761.7983669767</v>
      </c>
      <c r="O127" s="195">
        <f t="shared" si="20"/>
        <v>194761.7983669767</v>
      </c>
      <c r="P127" s="205">
        <f t="shared" si="24"/>
        <v>0</v>
      </c>
      <c r="Q127" s="192">
        <f>IFERROR(VLOOKUP(A127,[1]Energiindhold!$A$2:$C$11,3,FALSE),IFERROR(VLOOKUP(A127,[1]Biogasudbytte!$A$2:$B$18,2,FALSE)*[1]Energiindhold!$C$10,0))*O127</f>
        <v>0.17479871403436159</v>
      </c>
      <c r="R127" s="192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2">
        <f>IFERROR(VLOOKUP(A127,[1]Biogasudbytte!$A$2:$B$18,2,FALSE)*[1]Energiindhold!$C$10,0)*J127*IFERROR(VLOOKUP(A127,Biogasanlæg!$F$3:$G$8,2,FALSE),1)</f>
        <v>0</v>
      </c>
      <c r="T127" s="193">
        <f t="shared" si="25"/>
        <v>0.17479871403436159</v>
      </c>
      <c r="U127" s="191">
        <f>O127*IFERROR(VLOOKUP(A127,[1]Tørstofindhold!A$2:B$24,2,FALSE),0)</f>
        <v>29214.269755046505</v>
      </c>
      <c r="V127" s="192">
        <f>IF(D127=År1,P127,SUM(O127,P127))*IFERROR(VLOOKUP(A127,[1]Tørstofindhold!A$2:B$24,2,FALSE),0)</f>
        <v>29214.269755046505</v>
      </c>
      <c r="W127" s="192">
        <f>J127*IFERROR(VLOOKUP(A127,[1]Tørstofindhold!A$2:B$24,2,FALSE),0)</f>
        <v>0</v>
      </c>
      <c r="X127" s="193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x14ac:dyDescent="0.25">
      <c r="A128" s="194" t="str">
        <f t="shared" si="33"/>
        <v>Oksekød</v>
      </c>
      <c r="B128" s="194" t="str">
        <f t="shared" si="34"/>
        <v/>
      </c>
      <c r="C128" s="194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4">
        <f t="shared" si="35"/>
        <v>2050</v>
      </c>
      <c r="E128" s="192" t="s">
        <v>23</v>
      </c>
      <c r="F128" s="195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82230.492590145455</v>
      </c>
      <c r="G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2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5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4">
        <f t="shared" si="23"/>
        <v>19861.924916870877</v>
      </c>
      <c r="O128" s="195">
        <f t="shared" si="20"/>
        <v>0</v>
      </c>
      <c r="P128" s="205">
        <f t="shared" si="24"/>
        <v>0</v>
      </c>
      <c r="Q128" s="192">
        <f>IFERROR(VLOOKUP(A128,[1]Energiindhold!$A$2:$C$11,3,FALSE),IFERROR(VLOOKUP(A128,[1]Biogasudbytte!$A$2:$B$18,2,FALSE)*[1]Energiindhold!$C$10,0))*O128</f>
        <v>0</v>
      </c>
      <c r="R128" s="192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2">
        <f>IFERROR(VLOOKUP(A128,[1]Biogasudbytte!$A$2:$B$18,2,FALSE)*[1]Energiindhold!$C$10,0)*J128*IFERROR(VLOOKUP(A128,Biogasanlæg!$F$3:$G$8,2,FALSE),1)</f>
        <v>0</v>
      </c>
      <c r="T128" s="193">
        <f t="shared" si="25"/>
        <v>0</v>
      </c>
      <c r="U128" s="191">
        <f>O128*IFERROR(VLOOKUP(A128,[1]Tørstofindhold!A$2:B$24,2,FALSE),0)</f>
        <v>0</v>
      </c>
      <c r="V128" s="192">
        <f>IF(D128=År1,P128,SUM(O128,P128))*IFERROR(VLOOKUP(A128,[1]Tørstofindhold!A$2:B$24,2,FALSE),0)</f>
        <v>0</v>
      </c>
      <c r="W128" s="192">
        <f>J128*IFERROR(VLOOKUP(A128,[1]Tørstofindhold!A$2:B$24,2,FALSE),0)</f>
        <v>0</v>
      </c>
      <c r="X128" s="193">
        <f t="shared" si="26"/>
        <v>0</v>
      </c>
      <c r="Y128" s="171">
        <f t="shared" si="21"/>
        <v>1</v>
      </c>
      <c r="Z128" s="103">
        <f t="shared" si="22"/>
        <v>0</v>
      </c>
    </row>
    <row r="129" spans="1:26" x14ac:dyDescent="0.25">
      <c r="A129" s="194" t="str">
        <f t="shared" si="33"/>
        <v>Øvrige</v>
      </c>
      <c r="B129" s="194" t="str">
        <f t="shared" si="34"/>
        <v/>
      </c>
      <c r="C129" s="194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4">
        <f t="shared" si="35"/>
        <v>2050</v>
      </c>
      <c r="E129" s="192" t="s">
        <v>23</v>
      </c>
      <c r="F129" s="195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1048609.453845398</v>
      </c>
      <c r="G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2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5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4">
        <f t="shared" si="23"/>
        <v>1048609.453845398</v>
      </c>
      <c r="O129" s="195">
        <f t="shared" si="20"/>
        <v>0</v>
      </c>
      <c r="P129" s="205">
        <f t="shared" si="24"/>
        <v>0</v>
      </c>
      <c r="Q129" s="192">
        <f>IFERROR(VLOOKUP(A129,[1]Energiindhold!$A$2:$C$11,3,FALSE),IFERROR(VLOOKUP(A129,[1]Biogasudbytte!$A$2:$B$18,2,FALSE)*[1]Energiindhold!$C$10,0))*O129</f>
        <v>0</v>
      </c>
      <c r="R129" s="192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2">
        <f>IFERROR(VLOOKUP(A129,[1]Biogasudbytte!$A$2:$B$18,2,FALSE)*[1]Energiindhold!$C$10,0)*J129*IFERROR(VLOOKUP(A129,Biogasanlæg!$F$3:$G$8,2,FALSE),1)</f>
        <v>0</v>
      </c>
      <c r="T129" s="193">
        <f t="shared" si="25"/>
        <v>0</v>
      </c>
      <c r="U129" s="191">
        <f>O129*IFERROR(VLOOKUP(A129,[1]Tørstofindhold!A$2:B$24,2,FALSE),0)</f>
        <v>0</v>
      </c>
      <c r="V129" s="192">
        <f>IF(D129=År1,P129,SUM(O129,P129))*IFERROR(VLOOKUP(A129,[1]Tørstofindhold!A$2:B$24,2,FALSE),0)</f>
        <v>0</v>
      </c>
      <c r="W129" s="192">
        <f>J129*IFERROR(VLOOKUP(A129,[1]Tørstofindhold!A$2:B$24,2,FALSE),0)</f>
        <v>0</v>
      </c>
      <c r="X129" s="193">
        <f t="shared" si="26"/>
        <v>0</v>
      </c>
      <c r="Y129" s="171">
        <f t="shared" si="21"/>
        <v>0</v>
      </c>
      <c r="Z129" s="103">
        <f t="shared" si="22"/>
        <v>1</v>
      </c>
    </row>
    <row r="130" spans="1:26" x14ac:dyDescent="0.25">
      <c r="A130" s="194" t="str">
        <f t="shared" si="33"/>
        <v>Pil &amp; poppel</v>
      </c>
      <c r="B130" s="194" t="str">
        <f t="shared" si="34"/>
        <v>Vedmasse</v>
      </c>
      <c r="C130" s="194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4">
        <f t="shared" si="35"/>
        <v>2050</v>
      </c>
      <c r="E130" s="192" t="s">
        <v>23</v>
      </c>
      <c r="F130" s="195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158491.06742829576</v>
      </c>
      <c r="G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2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5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158491.06742829576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4">
        <f t="shared" si="23"/>
        <v>0</v>
      </c>
      <c r="O130" s="195">
        <f t="shared" si="20"/>
        <v>0</v>
      </c>
      <c r="P130" s="205">
        <f t="shared" si="24"/>
        <v>158491.06742829576</v>
      </c>
      <c r="Q130" s="192">
        <f>IFERROR(VLOOKUP(A130,[1]Energiindhold!$A$2:$C$11,3,FALSE),IFERROR(VLOOKUP(A130,[1]Biogasudbytte!$A$2:$B$18,2,FALSE)*[1]Energiindhold!$C$10,0))*O130</f>
        <v>0</v>
      </c>
      <c r="R130" s="192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2.9162356406806413</v>
      </c>
      <c r="S130" s="192">
        <f>IFERROR(VLOOKUP(A130,[1]Biogasudbytte!$A$2:$B$18,2,FALSE)*[1]Energiindhold!$C$10,0)*J130*IFERROR(VLOOKUP(A130,Biogasanlæg!$F$3:$G$8,2,FALSE),1)</f>
        <v>0</v>
      </c>
      <c r="T130" s="193">
        <f t="shared" si="25"/>
        <v>2.9162356406806413</v>
      </c>
      <c r="U130" s="191">
        <f>O130*IFERROR(VLOOKUP(A130,[1]Tørstofindhold!A$2:B$24,2,FALSE),0)</f>
        <v>0</v>
      </c>
      <c r="V130" s="192">
        <f>IF(D130=År1,P130,SUM(O130,P130))*IFERROR(VLOOKUP(A130,[1]Tørstofindhold!A$2:B$24,2,FALSE),0)</f>
        <v>65773.792982742743</v>
      </c>
      <c r="W130" s="192">
        <f>J130*IFERROR(VLOOKUP(A130,[1]Tørstofindhold!A$2:B$24,2,FALSE),0)</f>
        <v>0</v>
      </c>
      <c r="X130" s="193">
        <f t="shared" si="26"/>
        <v>65773.792982742743</v>
      </c>
      <c r="Y130" s="171">
        <f t="shared" si="21"/>
        <v>0</v>
      </c>
      <c r="Z130" s="103">
        <f t="shared" si="22"/>
        <v>0</v>
      </c>
    </row>
    <row r="131" spans="1:26" x14ac:dyDescent="0.25">
      <c r="A131" s="194" t="str">
        <f t="shared" ref="A131:A132" si="36">A83</f>
        <v>Pyrolysegas</v>
      </c>
      <c r="B131" s="194" t="str">
        <f t="shared" ref="B131:B132" si="37">IF(B83&lt;&gt;"",B83,"")</f>
        <v>Pyrolyseprodukter</v>
      </c>
      <c r="C131" s="194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4">
        <f t="shared" si="35"/>
        <v>2050</v>
      </c>
      <c r="E131" s="192" t="s">
        <v>23</v>
      </c>
      <c r="F131" s="195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0</v>
      </c>
      <c r="G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2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5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4">
        <f t="shared" ref="N131:N132" si="38">F131-SUM(G131:M131)</f>
        <v>0</v>
      </c>
      <c r="O131" s="195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5">
        <f t="shared" ref="P131:P132" si="40">SUM(J131,L131)</f>
        <v>0</v>
      </c>
      <c r="Q131" s="192">
        <f>IFERROR(VLOOKUP(A131,[1]Energiindhold!$A$2:$C$11,3,FALSE),IFERROR(VLOOKUP(A131,[1]Biogasudbytte!$A$2:$B$18,2,FALSE)*[1]Energiindhold!$C$10,0))*O131</f>
        <v>0</v>
      </c>
      <c r="R131" s="192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2">
        <f>IFERROR(VLOOKUP(A131,[1]Biogasudbytte!$A$2:$B$18,2,FALSE)*[1]Energiindhold!$C$10,0)*J131*IFERROR(VLOOKUP(A131,Biogasanlæg!$F$3:$G$8,2,FALSE),1)</f>
        <v>0</v>
      </c>
      <c r="T131" s="193">
        <f t="shared" ref="T131:T132" si="41">R131-S131</f>
        <v>0</v>
      </c>
      <c r="U131" s="191">
        <f>O131*IFERROR(VLOOKUP(A131,[1]Tørstofindhold!A$2:B$24,2,FALSE),0)</f>
        <v>0</v>
      </c>
      <c r="V131" s="192">
        <f>IF(D131=År1,P131,SUM(O131,P131))*IFERROR(VLOOKUP(A131,[1]Tørstofindhold!A$2:B$24,2,FALSE),0)</f>
        <v>0</v>
      </c>
      <c r="W131" s="192">
        <f>J131*IFERROR(VLOOKUP(A131,[1]Tørstofindhold!A$2:B$24,2,FALSE),0)</f>
        <v>0</v>
      </c>
      <c r="X131" s="193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4" t="str">
        <f t="shared" si="36"/>
        <v>Pyrolyseolie</v>
      </c>
      <c r="B132" s="194" t="str">
        <f t="shared" si="37"/>
        <v>Pyrolyseprodukter</v>
      </c>
      <c r="C132" s="194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4">
        <f t="shared" si="35"/>
        <v>2050</v>
      </c>
      <c r="E132" s="192" t="s">
        <v>23</v>
      </c>
      <c r="F132" s="195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0</v>
      </c>
      <c r="G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2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5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4">
        <f t="shared" si="38"/>
        <v>0</v>
      </c>
      <c r="O132" s="195">
        <f t="shared" si="39"/>
        <v>0</v>
      </c>
      <c r="P132" s="205">
        <f t="shared" si="40"/>
        <v>0</v>
      </c>
      <c r="Q132" s="192">
        <f>IFERROR(VLOOKUP(A132,[1]Energiindhold!$A$2:$C$11,3,FALSE),IFERROR(VLOOKUP(A132,[1]Biogasudbytte!$A$2:$B$18,2,FALSE)*[1]Energiindhold!$C$10,0))*O132</f>
        <v>0</v>
      </c>
      <c r="R132" s="192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2">
        <f>IFERROR(VLOOKUP(A132,[1]Biogasudbytte!$A$2:$B$18,2,FALSE)*[1]Energiindhold!$C$10,0)*J132*IFERROR(VLOOKUP(A132,Biogasanlæg!$F$3:$G$8,2,FALSE),1)</f>
        <v>0</v>
      </c>
      <c r="T132" s="193">
        <f t="shared" si="41"/>
        <v>0</v>
      </c>
      <c r="U132" s="191">
        <f>O132*IFERROR(VLOOKUP(A132,[1]Tørstofindhold!A$2:B$24,2,FALSE),0)</f>
        <v>0</v>
      </c>
      <c r="V132" s="192">
        <f>IF(D132=År1,P132,SUM(O132,P132))*IFERROR(VLOOKUP(A132,[1]Tørstofindhold!A$2:B$24,2,FALSE),0)</f>
        <v>0</v>
      </c>
      <c r="W132" s="192">
        <f>J132*IFERROR(VLOOKUP(A132,[1]Tørstofindhold!A$2:B$24,2,FALSE),0)</f>
        <v>0</v>
      </c>
      <c r="X132" s="193">
        <f t="shared" si="42"/>
        <v>0</v>
      </c>
      <c r="Y132" s="171">
        <f t="shared" si="43"/>
        <v>0</v>
      </c>
      <c r="Z132" s="103">
        <f t="shared" si="44"/>
        <v>0</v>
      </c>
    </row>
    <row r="133" spans="1:26" x14ac:dyDescent="0.25">
      <c r="A133" s="194" t="str">
        <f t="shared" ref="A133:A146" si="45">A85</f>
        <v>Råmælk</v>
      </c>
      <c r="B133" s="194" t="str">
        <f t="shared" ref="B133:B146" si="46">IF(B85&lt;&gt;"",B85,"")</f>
        <v/>
      </c>
      <c r="C133" s="194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4">
        <f t="shared" si="35"/>
        <v>2050</v>
      </c>
      <c r="E133" s="192" t="s">
        <v>23</v>
      </c>
      <c r="F133" s="195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3823969.5719075543</v>
      </c>
      <c r="G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2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5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4">
        <f t="shared" si="23"/>
        <v>3823969.5719075543</v>
      </c>
      <c r="O133" s="195">
        <f t="shared" si="39"/>
        <v>0</v>
      </c>
      <c r="P133" s="205">
        <f t="shared" si="24"/>
        <v>0</v>
      </c>
      <c r="Q133" s="192">
        <f>IFERROR(VLOOKUP(A133,[1]Energiindhold!$A$2:$C$11,3,FALSE),IFERROR(VLOOKUP(A133,[1]Biogasudbytte!$A$2:$B$18,2,FALSE)*[1]Energiindhold!$C$10,0))*O133</f>
        <v>0</v>
      </c>
      <c r="R133" s="192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2">
        <f>IFERROR(VLOOKUP(A133,[1]Biogasudbytte!$A$2:$B$18,2,FALSE)*[1]Energiindhold!$C$10,0)*J133*IFERROR(VLOOKUP(A133,Biogasanlæg!$F$3:$G$8,2,FALSE),1)</f>
        <v>0</v>
      </c>
      <c r="T133" s="193">
        <f t="shared" si="25"/>
        <v>0</v>
      </c>
      <c r="U133" s="191">
        <f>O133*IFERROR(VLOOKUP(A133,[1]Tørstofindhold!A$2:B$24,2,FALSE),0)</f>
        <v>0</v>
      </c>
      <c r="V133" s="192">
        <f>IF(D133=År1,P133,SUM(O133,P133))*IFERROR(VLOOKUP(A133,[1]Tørstofindhold!A$2:B$24,2,FALSE),0)</f>
        <v>0</v>
      </c>
      <c r="W133" s="192">
        <f>J133*IFERROR(VLOOKUP(A133,[1]Tørstofindhold!A$2:B$24,2,FALSE),0)</f>
        <v>0</v>
      </c>
      <c r="X133" s="193">
        <f t="shared" si="26"/>
        <v>0</v>
      </c>
      <c r="Y133" s="171">
        <f t="shared" si="43"/>
        <v>0</v>
      </c>
      <c r="Z133" s="103">
        <f t="shared" si="44"/>
        <v>1</v>
      </c>
    </row>
    <row r="134" spans="1:26" x14ac:dyDescent="0.25">
      <c r="A134" s="194" t="str">
        <f t="shared" si="45"/>
        <v>Raps</v>
      </c>
      <c r="B134" s="194" t="str">
        <f t="shared" si="46"/>
        <v/>
      </c>
      <c r="C134" s="194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4">
        <f t="shared" si="35"/>
        <v>2050</v>
      </c>
      <c r="E134" s="192" t="s">
        <v>23</v>
      </c>
      <c r="F134" s="195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378080.80621229054</v>
      </c>
      <c r="G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2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5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378080.80621229054</v>
      </c>
      <c r="N134" s="204">
        <f t="shared" si="23"/>
        <v>0</v>
      </c>
      <c r="O134" s="195">
        <f t="shared" si="39"/>
        <v>0</v>
      </c>
      <c r="P134" s="205">
        <f t="shared" si="24"/>
        <v>0</v>
      </c>
      <c r="Q134" s="192">
        <f>IFERROR(VLOOKUP(A134,[1]Energiindhold!$A$2:$C$11,3,FALSE),IFERROR(VLOOKUP(A134,[1]Biogasudbytte!$A$2:$B$18,2,FALSE)*[1]Energiindhold!$C$10,0))*O134</f>
        <v>0</v>
      </c>
      <c r="R134" s="192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2">
        <f>IFERROR(VLOOKUP(A134,[1]Biogasudbytte!$A$2:$B$18,2,FALSE)*[1]Energiindhold!$C$10,0)*J134*IFERROR(VLOOKUP(A134,Biogasanlæg!$F$3:$G$8,2,FALSE),1)</f>
        <v>0</v>
      </c>
      <c r="T134" s="193">
        <f t="shared" si="25"/>
        <v>0</v>
      </c>
      <c r="U134" s="191">
        <f>O134*IFERROR(VLOOKUP(A134,[1]Tørstofindhold!A$2:B$24,2,FALSE),0)</f>
        <v>0</v>
      </c>
      <c r="V134" s="192">
        <f>IF(D134=År1,P134,SUM(O134,P134))*IFERROR(VLOOKUP(A134,[1]Tørstofindhold!A$2:B$24,2,FALSE),0)</f>
        <v>0</v>
      </c>
      <c r="W134" s="192">
        <f>J134*IFERROR(VLOOKUP(A134,[1]Tørstofindhold!A$2:B$24,2,FALSE),0)</f>
        <v>0</v>
      </c>
      <c r="X134" s="193">
        <f t="shared" si="26"/>
        <v>0</v>
      </c>
      <c r="Y134" s="171">
        <f t="shared" si="43"/>
        <v>0</v>
      </c>
      <c r="Z134" s="103">
        <f t="shared" si="44"/>
        <v>0</v>
      </c>
    </row>
    <row r="135" spans="1:26" x14ac:dyDescent="0.25">
      <c r="A135" s="194" t="str">
        <f t="shared" si="45"/>
        <v>Rapskage</v>
      </c>
      <c r="B135" s="194" t="str">
        <f t="shared" si="46"/>
        <v/>
      </c>
      <c r="C135" s="194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4">
        <f t="shared" si="35"/>
        <v>2050</v>
      </c>
      <c r="E135" s="192" t="s">
        <v>23</v>
      </c>
      <c r="F135" s="195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189040.40310614527</v>
      </c>
      <c r="G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171279.2848730098</v>
      </c>
      <c r="H135" s="192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5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4">
        <f t="shared" si="23"/>
        <v>17761.118233135465</v>
      </c>
      <c r="O135" s="195">
        <f t="shared" si="39"/>
        <v>0</v>
      </c>
      <c r="P135" s="205">
        <f t="shared" si="24"/>
        <v>0</v>
      </c>
      <c r="Q135" s="192">
        <f>IFERROR(VLOOKUP(A135,[1]Energiindhold!$A$2:$C$11,3,FALSE),IFERROR(VLOOKUP(A135,[1]Biogasudbytte!$A$2:$B$18,2,FALSE)*[1]Energiindhold!$C$10,0))*O135</f>
        <v>0</v>
      </c>
      <c r="R135" s="192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2">
        <f>IFERROR(VLOOKUP(A135,[1]Biogasudbytte!$A$2:$B$18,2,FALSE)*[1]Energiindhold!$C$10,0)*J135*IFERROR(VLOOKUP(A135,Biogasanlæg!$F$3:$G$8,2,FALSE),1)</f>
        <v>0</v>
      </c>
      <c r="T135" s="193">
        <f t="shared" si="25"/>
        <v>0</v>
      </c>
      <c r="U135" s="191">
        <f>O135*IFERROR(VLOOKUP(A135,[1]Tørstofindhold!A$2:B$24,2,FALSE),0)</f>
        <v>0</v>
      </c>
      <c r="V135" s="192">
        <f>IF(D135=År1,P135,SUM(O135,P135))*IFERROR(VLOOKUP(A135,[1]Tørstofindhold!A$2:B$24,2,FALSE),0)</f>
        <v>0</v>
      </c>
      <c r="W135" s="192">
        <f>J135*IFERROR(VLOOKUP(A135,[1]Tørstofindhold!A$2:B$24,2,FALSE),0)</f>
        <v>0</v>
      </c>
      <c r="X135" s="193">
        <f t="shared" si="26"/>
        <v>0</v>
      </c>
      <c r="Y135" s="171">
        <f t="shared" si="43"/>
        <v>0</v>
      </c>
      <c r="Z135" s="103">
        <f t="shared" si="44"/>
        <v>1</v>
      </c>
    </row>
    <row r="136" spans="1:26" x14ac:dyDescent="0.25">
      <c r="A136" s="194" t="str">
        <f t="shared" si="45"/>
        <v>Rapsolie</v>
      </c>
      <c r="B136" s="194" t="str">
        <f t="shared" si="46"/>
        <v>Rapsolie</v>
      </c>
      <c r="C136" s="194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4">
        <f t="shared" si="35"/>
        <v>2050</v>
      </c>
      <c r="E136" s="192" t="s">
        <v>23</v>
      </c>
      <c r="F136" s="195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120985.85798793298</v>
      </c>
      <c r="G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2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5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120985.85798793298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4">
        <f t="shared" si="23"/>
        <v>0</v>
      </c>
      <c r="O136" s="195">
        <f t="shared" si="39"/>
        <v>0</v>
      </c>
      <c r="P136" s="205">
        <f t="shared" si="24"/>
        <v>120985.85798793298</v>
      </c>
      <c r="Q136" s="192">
        <f>IFERROR(VLOOKUP(A136,[1]Energiindhold!$A$2:$C$11,3,FALSE),IFERROR(VLOOKUP(A136,[1]Biogasudbytte!$A$2:$B$18,2,FALSE)*[1]Energiindhold!$C$10,0))*O136</f>
        <v>0</v>
      </c>
      <c r="R136" s="192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4.2345050295776536</v>
      </c>
      <c r="S136" s="192">
        <f>IFERROR(VLOOKUP(A136,[1]Biogasudbytte!$A$2:$B$18,2,FALSE)*[1]Energiindhold!$C$10,0)*J136*IFERROR(VLOOKUP(A136,Biogasanlæg!$F$3:$G$8,2,FALSE),1)</f>
        <v>0</v>
      </c>
      <c r="T136" s="193">
        <f t="shared" si="25"/>
        <v>4.2345050295776536</v>
      </c>
      <c r="U136" s="191">
        <f>O136*IFERROR(VLOOKUP(A136,[1]Tørstofindhold!A$2:B$24,2,FALSE),0)</f>
        <v>0</v>
      </c>
      <c r="V136" s="192">
        <f>IF(D136=År1,P136,SUM(O136,P136))*IFERROR(VLOOKUP(A136,[1]Tørstofindhold!A$2:B$24,2,FALSE),0)</f>
        <v>0</v>
      </c>
      <c r="W136" s="192">
        <f>J136*IFERROR(VLOOKUP(A136,[1]Tørstofindhold!A$2:B$24,2,FALSE),0)</f>
        <v>0</v>
      </c>
      <c r="X136" s="193">
        <f t="shared" si="26"/>
        <v>0</v>
      </c>
      <c r="Y136" s="171">
        <f t="shared" si="43"/>
        <v>0</v>
      </c>
      <c r="Z136" s="103">
        <f t="shared" si="44"/>
        <v>0</v>
      </c>
    </row>
    <row r="137" spans="1:26" x14ac:dyDescent="0.25">
      <c r="A137" s="194" t="str">
        <f t="shared" si="45"/>
        <v>Roer</v>
      </c>
      <c r="B137" s="194" t="str">
        <f t="shared" si="46"/>
        <v>Græs og urter</v>
      </c>
      <c r="C137" s="194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4">
        <f t="shared" si="35"/>
        <v>2050</v>
      </c>
      <c r="E137" s="192" t="s">
        <v>23</v>
      </c>
      <c r="F137" s="195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5024574.3595380196</v>
      </c>
      <c r="G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672934.09412450308</v>
      </c>
      <c r="H137" s="192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21821.426523041016</v>
      </c>
      <c r="K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5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4">
        <f t="shared" si="23"/>
        <v>4329818.8388904752</v>
      </c>
      <c r="O137" s="195">
        <f t="shared" si="39"/>
        <v>4329818.8388904752</v>
      </c>
      <c r="P137" s="205">
        <f t="shared" si="24"/>
        <v>21821.426523041016</v>
      </c>
      <c r="Q137" s="192">
        <f>IFERROR(VLOOKUP(A137,[1]Energiindhold!$A$2:$C$11,3,FALSE),IFERROR(VLOOKUP(A137,[1]Biogasudbytte!$A$2:$B$18,2,FALSE)*[1]Energiindhold!$C$10,0))*O137</f>
        <v>11.751301521502306</v>
      </c>
      <c r="R137" s="192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11.8105257459429</v>
      </c>
      <c r="S137" s="192">
        <f>IFERROR(VLOOKUP(A137,[1]Biogasudbytte!$A$2:$B$18,2,FALSE)*[1]Energiindhold!$C$10,0)*J137*IFERROR(VLOOKUP(A137,Biogasanlæg!$F$3:$G$8,2,FALSE),1)</f>
        <v>5.9224224440594241E-2</v>
      </c>
      <c r="T137" s="193">
        <f t="shared" si="25"/>
        <v>11.751301521502306</v>
      </c>
      <c r="U137" s="191">
        <f>O137*IFERROR(VLOOKUP(A137,[1]Tørstofindhold!A$2:B$24,2,FALSE),0)</f>
        <v>865963.76777809509</v>
      </c>
      <c r="V137" s="192">
        <f>IF(D137=År1,P137,SUM(O137,P137))*IFERROR(VLOOKUP(A137,[1]Tørstofindhold!A$2:B$24,2,FALSE),0)</f>
        <v>870328.05308270326</v>
      </c>
      <c r="W137" s="192">
        <f>J137*IFERROR(VLOOKUP(A137,[1]Tørstofindhold!A$2:B$24,2,FALSE),0)</f>
        <v>4364.2853046082037</v>
      </c>
      <c r="X137" s="193">
        <f t="shared" si="26"/>
        <v>865963.76777809509</v>
      </c>
      <c r="Y137" s="171">
        <f t="shared" si="43"/>
        <v>0</v>
      </c>
      <c r="Z137" s="103">
        <f t="shared" si="44"/>
        <v>1</v>
      </c>
    </row>
    <row r="138" spans="1:26" x14ac:dyDescent="0.25">
      <c r="A138" s="194" t="str">
        <f t="shared" si="45"/>
        <v>Slagteriaffald til andet</v>
      </c>
      <c r="B138" s="194" t="str">
        <f t="shared" si="46"/>
        <v/>
      </c>
      <c r="C138" s="194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4">
        <f t="shared" si="35"/>
        <v>2050</v>
      </c>
      <c r="E138" s="192" t="s">
        <v>23</v>
      </c>
      <c r="F138" s="195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148453.72937457461</v>
      </c>
      <c r="G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2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5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4">
        <f t="shared" si="23"/>
        <v>148453.72937457461</v>
      </c>
      <c r="O138" s="195">
        <f t="shared" si="39"/>
        <v>0</v>
      </c>
      <c r="P138" s="205">
        <f t="shared" si="24"/>
        <v>0</v>
      </c>
      <c r="Q138" s="192">
        <f>IFERROR(VLOOKUP(A138,[1]Energiindhold!$A$2:$C$11,3,FALSE),IFERROR(VLOOKUP(A138,[1]Biogasudbytte!$A$2:$B$18,2,FALSE)*[1]Energiindhold!$C$10,0))*O138</f>
        <v>0</v>
      </c>
      <c r="R138" s="192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2">
        <f>IFERROR(VLOOKUP(A138,[1]Biogasudbytte!$A$2:$B$18,2,FALSE)*[1]Energiindhold!$C$10,0)*J138*IFERROR(VLOOKUP(A138,Biogasanlæg!$F$3:$G$8,2,FALSE),1)</f>
        <v>0</v>
      </c>
      <c r="T138" s="193">
        <f t="shared" si="25"/>
        <v>0</v>
      </c>
      <c r="U138" s="191">
        <f>O138*IFERROR(VLOOKUP(A138,[1]Tørstofindhold!A$2:B$24,2,FALSE),0)</f>
        <v>0</v>
      </c>
      <c r="V138" s="192">
        <f>IF(D138=År1,P138,SUM(O138,P138))*IFERROR(VLOOKUP(A138,[1]Tørstofindhold!A$2:B$24,2,FALSE),0)</f>
        <v>0</v>
      </c>
      <c r="W138" s="192">
        <f>J138*IFERROR(VLOOKUP(A138,[1]Tørstofindhold!A$2:B$24,2,FALSE),0)</f>
        <v>0</v>
      </c>
      <c r="X138" s="193">
        <f t="shared" si="26"/>
        <v>0</v>
      </c>
      <c r="Y138" s="171">
        <f t="shared" si="43"/>
        <v>0</v>
      </c>
      <c r="Z138" s="103">
        <f t="shared" si="44"/>
        <v>1</v>
      </c>
    </row>
    <row r="139" spans="1:26" x14ac:dyDescent="0.25">
      <c r="A139" s="194" t="str">
        <f t="shared" si="45"/>
        <v>Slagteriaffald til foder</v>
      </c>
      <c r="B139" s="194" t="str">
        <f t="shared" si="46"/>
        <v/>
      </c>
      <c r="C139" s="194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4">
        <f t="shared" si="35"/>
        <v>2050</v>
      </c>
      <c r="E139" s="192" t="s">
        <v>23</v>
      </c>
      <c r="F139" s="195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100880.19861397019</v>
      </c>
      <c r="G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31532.588010093863</v>
      </c>
      <c r="H139" s="192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5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4">
        <f t="shared" si="23"/>
        <v>69347.610603876325</v>
      </c>
      <c r="O139" s="195">
        <f t="shared" si="39"/>
        <v>0</v>
      </c>
      <c r="P139" s="205">
        <f t="shared" si="24"/>
        <v>0</v>
      </c>
      <c r="Q139" s="192">
        <f>IFERROR(VLOOKUP(A139,[1]Energiindhold!$A$2:$C$11,3,FALSE),IFERROR(VLOOKUP(A139,[1]Biogasudbytte!$A$2:$B$18,2,FALSE)*[1]Energiindhold!$C$10,0))*O139</f>
        <v>0</v>
      </c>
      <c r="R139" s="192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2">
        <f>IFERROR(VLOOKUP(A139,[1]Biogasudbytte!$A$2:$B$18,2,FALSE)*[1]Energiindhold!$C$10,0)*J139*IFERROR(VLOOKUP(A139,Biogasanlæg!$F$3:$G$8,2,FALSE),1)</f>
        <v>0</v>
      </c>
      <c r="T139" s="193">
        <f t="shared" si="25"/>
        <v>0</v>
      </c>
      <c r="U139" s="191">
        <f>O139*IFERROR(VLOOKUP(A139,[1]Tørstofindhold!A$2:B$24,2,FALSE),0)</f>
        <v>0</v>
      </c>
      <c r="V139" s="192">
        <f>IF(D139=År1,P139,SUM(O139,P139))*IFERROR(VLOOKUP(A139,[1]Tørstofindhold!A$2:B$24,2,FALSE),0)</f>
        <v>0</v>
      </c>
      <c r="W139" s="192">
        <f>J139*IFERROR(VLOOKUP(A139,[1]Tørstofindhold!A$2:B$24,2,FALSE),0)</f>
        <v>0</v>
      </c>
      <c r="X139" s="193">
        <f t="shared" si="26"/>
        <v>0</v>
      </c>
      <c r="Y139" s="171">
        <f t="shared" si="43"/>
        <v>0</v>
      </c>
      <c r="Z139" s="103">
        <f t="shared" si="44"/>
        <v>1</v>
      </c>
    </row>
    <row r="140" spans="1:26" x14ac:dyDescent="0.25">
      <c r="A140" s="194" t="str">
        <f t="shared" si="45"/>
        <v>Spildevandsslam</v>
      </c>
      <c r="B140" s="194" t="str">
        <f t="shared" si="46"/>
        <v>Bionedbrydeligt affald</v>
      </c>
      <c r="C140" s="194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4">
        <f t="shared" si="35"/>
        <v>2050</v>
      </c>
      <c r="E140" s="192" t="s">
        <v>23</v>
      </c>
      <c r="F140" s="195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4097932.7879593684</v>
      </c>
      <c r="G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2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1554136.2730559006</v>
      </c>
      <c r="K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5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4">
        <f t="shared" si="23"/>
        <v>2543796.5149034681</v>
      </c>
      <c r="O140" s="195">
        <f t="shared" si="39"/>
        <v>2543796.5149034681</v>
      </c>
      <c r="P140" s="205">
        <f t="shared" si="24"/>
        <v>1554136.2730559006</v>
      </c>
      <c r="Q140" s="192">
        <f>IFERROR(VLOOKUP(A140,[1]Energiindhold!$A$2:$C$11,3,FALSE),IFERROR(VLOOKUP(A140,[1]Biogasudbytte!$A$2:$B$18,2,FALSE)*[1]Energiindhold!$C$10,0))*O140</f>
        <v>1.2693798989019798</v>
      </c>
      <c r="R140" s="192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2.0449094405196049</v>
      </c>
      <c r="S140" s="192">
        <f>IFERROR(VLOOKUP(A140,[1]Biogasudbytte!$A$2:$B$18,2,FALSE)*[1]Energiindhold!$C$10,0)*J140*IFERROR(VLOOKUP(A140,Biogasanlæg!$F$3:$G$8,2,FALSE),1)</f>
        <v>0.77552954161762511</v>
      </c>
      <c r="T140" s="193">
        <f t="shared" si="25"/>
        <v>1.2693798989019798</v>
      </c>
      <c r="U140" s="191">
        <f>O140*IFERROR(VLOOKUP(A140,[1]Tørstofindhold!A$2:B$24,2,FALSE),0)</f>
        <v>152627.79089420807</v>
      </c>
      <c r="V140" s="192">
        <f>IF(D140=År1,P140,SUM(O140,P140))*IFERROR(VLOOKUP(A140,[1]Tørstofindhold!A$2:B$24,2,FALSE),0)</f>
        <v>245875.96727756213</v>
      </c>
      <c r="W140" s="192">
        <f>J140*IFERROR(VLOOKUP(A140,[1]Tørstofindhold!A$2:B$24,2,FALSE),0)</f>
        <v>93248.176383354032</v>
      </c>
      <c r="X140" s="193">
        <f t="shared" si="26"/>
        <v>152627.7908942081</v>
      </c>
      <c r="Y140" s="171">
        <f t="shared" si="43"/>
        <v>0</v>
      </c>
      <c r="Z140" s="103">
        <f t="shared" si="44"/>
        <v>1</v>
      </c>
    </row>
    <row r="141" spans="1:26" x14ac:dyDescent="0.25">
      <c r="A141" s="194" t="str">
        <f t="shared" si="45"/>
        <v>Svinegylle</v>
      </c>
      <c r="B141" s="194" t="str">
        <f t="shared" si="46"/>
        <v>Husdyrgødning</v>
      </c>
      <c r="C141" s="194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4">
        <f t="shared" si="35"/>
        <v>2050</v>
      </c>
      <c r="E141" s="192" t="s">
        <v>23</v>
      </c>
      <c r="F141" s="195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11545833.414063649</v>
      </c>
      <c r="G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2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10391250.072657285</v>
      </c>
      <c r="K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1154583.3414063647</v>
      </c>
      <c r="L141" s="195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4">
        <f t="shared" si="23"/>
        <v>0</v>
      </c>
      <c r="O141" s="195">
        <f t="shared" si="39"/>
        <v>0</v>
      </c>
      <c r="P141" s="205">
        <f t="shared" si="24"/>
        <v>10391250.072657285</v>
      </c>
      <c r="Q141" s="192">
        <f>IFERROR(VLOOKUP(A141,[1]Energiindhold!$A$2:$C$11,3,FALSE),IFERROR(VLOOKUP(A141,[1]Biogasudbytte!$A$2:$B$18,2,FALSE)*[1]Energiindhold!$C$10,0))*O141</f>
        <v>0</v>
      </c>
      <c r="R141" s="192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4.4765505313007594</v>
      </c>
      <c r="S141" s="192">
        <f>IFERROR(VLOOKUP(A141,[1]Biogasudbytte!$A$2:$B$18,2,FALSE)*[1]Energiindhold!$C$10,0)*J141*IFERROR(VLOOKUP(A141,Biogasanlæg!$F$3:$G$8,2,FALSE),1)</f>
        <v>4.4765505313007594</v>
      </c>
      <c r="T141" s="193">
        <f t="shared" si="25"/>
        <v>0</v>
      </c>
      <c r="U141" s="191">
        <f>O141*IFERROR(VLOOKUP(A141,[1]Tørstofindhold!A$2:B$24,2,FALSE),0)</f>
        <v>0</v>
      </c>
      <c r="V141" s="192">
        <f>IF(D141=År1,P141,SUM(O141,P141))*IFERROR(VLOOKUP(A141,[1]Tørstofindhold!A$2:B$24,2,FALSE),0)</f>
        <v>519562.50363286427</v>
      </c>
      <c r="W141" s="192">
        <f>J141*IFERROR(VLOOKUP(A141,[1]Tørstofindhold!A$2:B$24,2,FALSE),0)</f>
        <v>519562.50363286427</v>
      </c>
      <c r="X141" s="193">
        <f t="shared" si="26"/>
        <v>0</v>
      </c>
      <c r="Y141" s="171">
        <f t="shared" si="43"/>
        <v>0</v>
      </c>
      <c r="Z141" s="103">
        <f t="shared" si="44"/>
        <v>0</v>
      </c>
    </row>
    <row r="142" spans="1:26" x14ac:dyDescent="0.25">
      <c r="A142" s="194" t="str">
        <f t="shared" si="45"/>
        <v>Svinekød</v>
      </c>
      <c r="B142" s="194" t="str">
        <f t="shared" si="46"/>
        <v/>
      </c>
      <c r="C142" s="194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4">
        <f t="shared" si="35"/>
        <v>2050</v>
      </c>
      <c r="E142" s="192" t="s">
        <v>23</v>
      </c>
      <c r="F142" s="195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1072120.6999068451</v>
      </c>
      <c r="G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2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5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4">
        <f t="shared" si="23"/>
        <v>945493.60796413617</v>
      </c>
      <c r="O142" s="195">
        <f t="shared" si="39"/>
        <v>0</v>
      </c>
      <c r="P142" s="205">
        <f t="shared" si="24"/>
        <v>0</v>
      </c>
      <c r="Q142" s="192">
        <f>IFERROR(VLOOKUP(A142,[1]Energiindhold!$A$2:$C$11,3,FALSE),IFERROR(VLOOKUP(A142,[1]Biogasudbytte!$A$2:$B$18,2,FALSE)*[1]Energiindhold!$C$10,0))*O142</f>
        <v>0</v>
      </c>
      <c r="R142" s="192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2">
        <f>IFERROR(VLOOKUP(A142,[1]Biogasudbytte!$A$2:$B$18,2,FALSE)*[1]Energiindhold!$C$10,0)*J142*IFERROR(VLOOKUP(A142,Biogasanlæg!$F$3:$G$8,2,FALSE),1)</f>
        <v>0</v>
      </c>
      <c r="T142" s="193">
        <f t="shared" si="25"/>
        <v>0</v>
      </c>
      <c r="U142" s="191">
        <f>O142*IFERROR(VLOOKUP(A142,[1]Tørstofindhold!A$2:B$24,2,FALSE),0)</f>
        <v>0</v>
      </c>
      <c r="V142" s="192">
        <f>IF(D142=År1,P142,SUM(O142,P142))*IFERROR(VLOOKUP(A142,[1]Tørstofindhold!A$2:B$24,2,FALSE),0)</f>
        <v>0</v>
      </c>
      <c r="W142" s="192">
        <f>J142*IFERROR(VLOOKUP(A142,[1]Tørstofindhold!A$2:B$24,2,FALSE),0)</f>
        <v>0</v>
      </c>
      <c r="X142" s="193">
        <f t="shared" si="26"/>
        <v>0</v>
      </c>
      <c r="Y142" s="171">
        <f t="shared" si="43"/>
        <v>0</v>
      </c>
      <c r="Z142" s="103">
        <f t="shared" si="44"/>
        <v>1</v>
      </c>
    </row>
    <row r="143" spans="1:26" x14ac:dyDescent="0.25">
      <c r="A143" s="194" t="str">
        <f t="shared" si="45"/>
        <v>Tang</v>
      </c>
      <c r="B143" s="194" t="str">
        <f t="shared" si="46"/>
        <v>Havbiomasse</v>
      </c>
      <c r="C143" s="194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4">
        <f t="shared" si="35"/>
        <v>2050</v>
      </c>
      <c r="E143" s="192" t="s">
        <v>23</v>
      </c>
      <c r="F143" s="195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13500</v>
      </c>
      <c r="G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2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5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4">
        <f t="shared" si="23"/>
        <v>13500</v>
      </c>
      <c r="O143" s="195">
        <f t="shared" si="39"/>
        <v>13500</v>
      </c>
      <c r="P143" s="205">
        <f t="shared" si="24"/>
        <v>0</v>
      </c>
      <c r="Q143" s="192">
        <f>IFERROR(VLOOKUP(A143,[1]Energiindhold!$A$2:$C$11,3,FALSE),IFERROR(VLOOKUP(A143,[1]Biogasudbytte!$A$2:$B$18,2,FALSE)*[1]Energiindhold!$C$10,0))*O143</f>
        <v>1.2116250000000002E-2</v>
      </c>
      <c r="R143" s="192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2">
        <f>IFERROR(VLOOKUP(A143,[1]Biogasudbytte!$A$2:$B$18,2,FALSE)*[1]Energiindhold!$C$10,0)*J143*IFERROR(VLOOKUP(A143,Biogasanlæg!$F$3:$G$8,2,FALSE),1)</f>
        <v>0</v>
      </c>
      <c r="T143" s="193">
        <f t="shared" si="25"/>
        <v>1.2116250000000002E-2</v>
      </c>
      <c r="U143" s="191">
        <f>O143*IFERROR(VLOOKUP(A143,[1]Tørstofindhold!A$2:B$24,2,FALSE),0)</f>
        <v>2025</v>
      </c>
      <c r="V143" s="192">
        <f>IF(D143=År1,P143,SUM(O143,P143))*IFERROR(VLOOKUP(A143,[1]Tørstofindhold!A$2:B$24,2,FALSE),0)</f>
        <v>2025</v>
      </c>
      <c r="W143" s="192">
        <f>J143*IFERROR(VLOOKUP(A143,[1]Tørstofindhold!A$2:B$24,2,FALSE),0)</f>
        <v>0</v>
      </c>
      <c r="X143" s="193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x14ac:dyDescent="0.25">
      <c r="A144" s="194" t="str">
        <f t="shared" si="45"/>
        <v>Total til biogas</v>
      </c>
      <c r="B144" s="194" t="str">
        <f t="shared" si="46"/>
        <v/>
      </c>
      <c r="C144" s="194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4">
        <f t="shared" si="35"/>
        <v>2050</v>
      </c>
      <c r="E144" s="192" t="s">
        <v>23</v>
      </c>
      <c r="F144" s="195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2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5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4">
        <f t="shared" si="23"/>
        <v>0</v>
      </c>
      <c r="O144" s="195">
        <f t="shared" si="39"/>
        <v>0</v>
      </c>
      <c r="P144" s="205">
        <f t="shared" si="24"/>
        <v>0</v>
      </c>
      <c r="Q144" s="192">
        <f>IFERROR(VLOOKUP(A144,[1]Energiindhold!$A$2:$C$11,3,FALSE),IFERROR(VLOOKUP(A144,[1]Biogasudbytte!$A$2:$B$18,2,FALSE)*[1]Energiindhold!$C$10,0))*O144</f>
        <v>0</v>
      </c>
      <c r="R144" s="192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2">
        <f>IFERROR(VLOOKUP(A144,[1]Biogasudbytte!$A$2:$B$18,2,FALSE)*[1]Energiindhold!$C$10,0)*J144*IFERROR(VLOOKUP(A144,Biogasanlæg!$F$3:$G$8,2,FALSE),1)</f>
        <v>0</v>
      </c>
      <c r="T144" s="193">
        <f t="shared" si="25"/>
        <v>0</v>
      </c>
      <c r="U144" s="191">
        <f>O144*IFERROR(VLOOKUP(A144,[1]Tørstofindhold!A$2:B$24,2,FALSE),0)</f>
        <v>0</v>
      </c>
      <c r="V144" s="192">
        <f>IF(D144=År1,P144,SUM(O144,P144))*IFERROR(VLOOKUP(A144,[1]Tørstofindhold!A$2:B$24,2,FALSE),0)</f>
        <v>0</v>
      </c>
      <c r="W144" s="192">
        <f>J144*IFERROR(VLOOKUP(A144,[1]Tørstofindhold!A$2:B$24,2,FALSE),0)</f>
        <v>0</v>
      </c>
      <c r="X144" s="193">
        <f t="shared" si="26"/>
        <v>0</v>
      </c>
      <c r="Y144" s="171">
        <f t="shared" si="43"/>
        <v>0</v>
      </c>
      <c r="Z144" s="103">
        <f t="shared" si="44"/>
        <v>0</v>
      </c>
    </row>
    <row r="145" spans="1:26" x14ac:dyDescent="0.25">
      <c r="A145" s="194" t="str">
        <f t="shared" si="45"/>
        <v>Træ til energi</v>
      </c>
      <c r="B145" s="194" t="str">
        <f t="shared" si="46"/>
        <v>Vedmasse</v>
      </c>
      <c r="C145" s="194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4">
        <f t="shared" si="35"/>
        <v>2050</v>
      </c>
      <c r="E145" s="192" t="s">
        <v>23</v>
      </c>
      <c r="F145" s="195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2235295.9759470159</v>
      </c>
      <c r="G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2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5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2235295.9759470159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4">
        <f t="shared" si="23"/>
        <v>0</v>
      </c>
      <c r="O145" s="195">
        <f t="shared" si="39"/>
        <v>0</v>
      </c>
      <c r="P145" s="205">
        <f t="shared" si="24"/>
        <v>2235295.9759470159</v>
      </c>
      <c r="Q145" s="192">
        <f>IFERROR(VLOOKUP(A145,[1]Energiindhold!$A$2:$C$11,3,FALSE),IFERROR(VLOOKUP(A145,[1]Biogasudbytte!$A$2:$B$18,2,FALSE)*[1]Energiindhold!$C$10,0))*O145</f>
        <v>0</v>
      </c>
      <c r="R145" s="192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32.397416241013886</v>
      </c>
      <c r="S145" s="192">
        <f>IFERROR(VLOOKUP(A145,[1]Biogasudbytte!$A$2:$B$18,2,FALSE)*[1]Energiindhold!$C$10,0)*J145*IFERROR(VLOOKUP(A145,Biogasanlæg!$F$3:$G$8,2,FALSE),1)</f>
        <v>0</v>
      </c>
      <c r="T145" s="193">
        <f t="shared" si="25"/>
        <v>32.397416241013886</v>
      </c>
      <c r="U145" s="191">
        <f>O145*IFERROR(VLOOKUP(A145,[1]Tørstofindhold!A$2:B$24,2,FALSE),0)</f>
        <v>0</v>
      </c>
      <c r="V145" s="192">
        <f>IF(D145=År1,P145,SUM(O145,P145))*IFERROR(VLOOKUP(A145,[1]Tørstofindhold!A$2:B$24,2,FALSE),0)</f>
        <v>1105540.1347704616</v>
      </c>
      <c r="W145" s="192">
        <f>J145*IFERROR(VLOOKUP(A145,[1]Tørstofindhold!A$2:B$24,2,FALSE),0)</f>
        <v>0</v>
      </c>
      <c r="X145" s="193">
        <f t="shared" si="26"/>
        <v>1105540.1347704616</v>
      </c>
      <c r="Y145" s="171">
        <f t="shared" si="43"/>
        <v>0</v>
      </c>
      <c r="Z145" s="103">
        <f t="shared" si="44"/>
        <v>0</v>
      </c>
    </row>
    <row r="146" spans="1:26" x14ac:dyDescent="0.25">
      <c r="A146" s="194" t="str">
        <f t="shared" si="45"/>
        <v>Træmaterialer</v>
      </c>
      <c r="B146" s="194" t="str">
        <f t="shared" si="46"/>
        <v/>
      </c>
      <c r="C146" s="194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4">
        <f t="shared" si="35"/>
        <v>2050</v>
      </c>
      <c r="E146" s="192" t="s">
        <v>23</v>
      </c>
      <c r="F146" s="195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687223.1739007252</v>
      </c>
      <c r="G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2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5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0</v>
      </c>
      <c r="N146" s="204">
        <f t="shared" si="23"/>
        <v>687223.1739007252</v>
      </c>
      <c r="O146" s="195">
        <f t="shared" si="39"/>
        <v>0</v>
      </c>
      <c r="P146" s="205">
        <f t="shared" si="24"/>
        <v>0</v>
      </c>
      <c r="Q146" s="192">
        <f>IFERROR(VLOOKUP(A146,[1]Energiindhold!$A$2:$C$11,3,FALSE),IFERROR(VLOOKUP(A146,[1]Biogasudbytte!$A$2:$B$18,2,FALSE)*[1]Energiindhold!$C$10,0))*O146</f>
        <v>0</v>
      </c>
      <c r="R146" s="192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2">
        <f>IFERROR(VLOOKUP(A146,[1]Biogasudbytte!$A$2:$B$18,2,FALSE)*[1]Energiindhold!$C$10,0)*J146*IFERROR(VLOOKUP(A146,Biogasanlæg!$F$3:$G$8,2,FALSE),1)</f>
        <v>0</v>
      </c>
      <c r="T146" s="193">
        <f t="shared" si="25"/>
        <v>0</v>
      </c>
      <c r="U146" s="191">
        <f>O146*IFERROR(VLOOKUP(A146,[1]Tørstofindhold!A$2:B$24,2,FALSE),0)</f>
        <v>0</v>
      </c>
      <c r="V146" s="192">
        <f>IF(D146=År1,P146,SUM(O146,P146))*IFERROR(VLOOKUP(A146,[1]Tørstofindhold!A$2:B$24,2,FALSE),0)</f>
        <v>0</v>
      </c>
      <c r="W146" s="192">
        <f>J146*IFERROR(VLOOKUP(A146,[1]Tørstofindhold!A$2:B$24,2,FALSE),0)</f>
        <v>0</v>
      </c>
      <c r="X146" s="193">
        <f t="shared" si="26"/>
        <v>0</v>
      </c>
      <c r="Y146" s="171">
        <f t="shared" si="43"/>
        <v>0</v>
      </c>
      <c r="Z146" s="103">
        <f t="shared" si="44"/>
        <v>1</v>
      </c>
    </row>
    <row r="147" spans="1:26" x14ac:dyDescent="0.25">
      <c r="A147" s="194" t="s">
        <v>15</v>
      </c>
      <c r="B147" s="194"/>
      <c r="C147" s="194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4">
        <f t="shared" ref="D147:D194" si="47">År1</f>
        <v>2019</v>
      </c>
      <c r="E147" s="192" t="s">
        <v>24</v>
      </c>
      <c r="F147" s="195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18450.007031483605</v>
      </c>
      <c r="G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2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5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4">
        <f t="shared" si="23"/>
        <v>-8430.5352358472264</v>
      </c>
      <c r="O147" s="195">
        <f t="shared" si="39"/>
        <v>0</v>
      </c>
      <c r="P147" s="205">
        <f t="shared" si="24"/>
        <v>0</v>
      </c>
      <c r="Q147" s="192">
        <f>IFERROR(VLOOKUP(A147,[1]Energiindhold!$A$2:$C$11,3,FALSE),IFERROR(VLOOKUP(A147,[1]Biogasudbytte!$A$2:$B$18,2,FALSE)*[1]Energiindhold!$C$10,0))*O147</f>
        <v>0</v>
      </c>
      <c r="R147" s="192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2">
        <f>IFERROR(VLOOKUP(A147,[1]Biogasudbytte!$A$2:$B$18,2,FALSE)*[1]Energiindhold!$C$10,0)*J147*IFERROR(VLOOKUP(A147,Biogasanlæg!$F$3:$G$8,2,FALSE),1)</f>
        <v>0</v>
      </c>
      <c r="T147" s="193">
        <f t="shared" si="25"/>
        <v>0</v>
      </c>
      <c r="U147" s="191">
        <f>O147*IFERROR(VLOOKUP(A147,[1]Tørstofindhold!A$2:B$24,2,FALSE),0)</f>
        <v>0</v>
      </c>
      <c r="V147" s="192">
        <f>IF(D147=År1,P147,SUM(O147,P147))*IFERROR(VLOOKUP(A147,[1]Tørstofindhold!A$2:B$24,2,FALSE),0)</f>
        <v>0</v>
      </c>
      <c r="W147" s="192">
        <f>J147*IFERROR(VLOOKUP(A147,[1]Tørstofindhold!A$2:B$24,2,FALSE),0)</f>
        <v>0</v>
      </c>
      <c r="X147" s="193">
        <f t="shared" si="26"/>
        <v>0</v>
      </c>
      <c r="Y147" s="171">
        <f t="shared" si="43"/>
        <v>0</v>
      </c>
      <c r="Z147" s="103">
        <f t="shared" si="44"/>
        <v>1</v>
      </c>
    </row>
    <row r="148" spans="1:26" x14ac:dyDescent="0.25">
      <c r="A148" s="194" t="s">
        <v>49</v>
      </c>
      <c r="B148" s="194"/>
      <c r="C148" s="194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4">
        <f t="shared" si="47"/>
        <v>2019</v>
      </c>
      <c r="E148" s="192" t="s">
        <v>24</v>
      </c>
      <c r="F148" s="195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27039.772448692573</v>
      </c>
      <c r="G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2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5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4">
        <f t="shared" si="23"/>
        <v>19123.155694952475</v>
      </c>
      <c r="O148" s="195">
        <f t="shared" si="39"/>
        <v>0</v>
      </c>
      <c r="P148" s="205">
        <f t="shared" si="24"/>
        <v>0</v>
      </c>
      <c r="Q148" s="192">
        <f>IFERROR(VLOOKUP(A148,[1]Energiindhold!$A$2:$C$11,3,FALSE),IFERROR(VLOOKUP(A148,[1]Biogasudbytte!$A$2:$B$18,2,FALSE)*[1]Energiindhold!$C$10,0))*O148</f>
        <v>0</v>
      </c>
      <c r="R148" s="192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2">
        <f>IFERROR(VLOOKUP(A148,[1]Biogasudbytte!$A$2:$B$18,2,FALSE)*[1]Energiindhold!$C$10,0)*J148*IFERROR(VLOOKUP(A148,Biogasanlæg!$F$3:$G$8,2,FALSE),1)</f>
        <v>0</v>
      </c>
      <c r="T148" s="193">
        <f t="shared" si="25"/>
        <v>0</v>
      </c>
      <c r="U148" s="191">
        <f>O148*IFERROR(VLOOKUP(A148,[1]Tørstofindhold!A$2:B$24,2,FALSE),0)</f>
        <v>0</v>
      </c>
      <c r="V148" s="192">
        <f>IF(D148=År1,P148,SUM(O148,P148))*IFERROR(VLOOKUP(A148,[1]Tørstofindhold!A$2:B$24,2,FALSE),0)</f>
        <v>0</v>
      </c>
      <c r="W148" s="192">
        <f>J148*IFERROR(VLOOKUP(A148,[1]Tørstofindhold!A$2:B$24,2,FALSE),0)</f>
        <v>0</v>
      </c>
      <c r="X148" s="193">
        <f t="shared" si="26"/>
        <v>0</v>
      </c>
      <c r="Y148" s="171">
        <f t="shared" si="43"/>
        <v>0</v>
      </c>
      <c r="Z148" s="103">
        <f t="shared" si="44"/>
        <v>1</v>
      </c>
    </row>
    <row r="149" spans="1:26" x14ac:dyDescent="0.25">
      <c r="A149" s="194" t="s">
        <v>103</v>
      </c>
      <c r="B149" s="194" t="s">
        <v>232</v>
      </c>
      <c r="C149" s="194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4">
        <f t="shared" si="47"/>
        <v>2019</v>
      </c>
      <c r="E149" s="192" t="s">
        <v>24</v>
      </c>
      <c r="F149" s="195">
        <f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0</v>
      </c>
      <c r="G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2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5" t="e">
        <f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#REF!</v>
      </c>
      <c r="K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5" t="e">
        <f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#REF!</v>
      </c>
      <c r="M149" s="157" t="e">
        <f>SUMIFS('Forbrug af biomasse'!E:E,'Forbrug af biomasse'!C:C,'Resultat-Produktion &amp; forbrug'!$A149,'Forbrug af biomasse'!D:D,'Resultat-Produktion &amp; forbrug'!$D149,'Forbrug af biomasse'!G:G,1,'Forbrug af biomasse'!B:B,$E149)</f>
        <v>#REF!</v>
      </c>
      <c r="N149" s="204" t="e">
        <f t="shared" si="23"/>
        <v>#REF!</v>
      </c>
      <c r="O149" s="195" t="e">
        <f t="shared" si="39"/>
        <v>#REF!</v>
      </c>
      <c r="P149" s="205" t="e">
        <f t="shared" si="24"/>
        <v>#REF!</v>
      </c>
      <c r="Q149" s="192" t="e">
        <f>IFERROR(VLOOKUP(A149,[1]Energiindhold!$A$2:$C$11,3,FALSE),IFERROR(VLOOKUP(A149,[1]Biogasudbytte!$A$2:$B$18,2,FALSE)*[1]Energiindhold!$C$10,0))*O149</f>
        <v>#REF!</v>
      </c>
      <c r="R149" s="192" t="e">
        <f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#REF!</v>
      </c>
      <c r="S149" s="192" t="e">
        <f>IFERROR(VLOOKUP(A149,[1]Biogasudbytte!$A$2:$B$18,2,FALSE)*[1]Energiindhold!$C$10,0)*J149*IFERROR(VLOOKUP(A149,Biogasanlæg!$F$3:$G$8,2,FALSE),1)</f>
        <v>#REF!</v>
      </c>
      <c r="T149" s="193" t="e">
        <f t="shared" si="25"/>
        <v>#REF!</v>
      </c>
      <c r="U149" s="191" t="e">
        <f>O149*IFERROR(VLOOKUP(A149,[1]Tørstofindhold!A$2:B$24,2,FALSE),0)</f>
        <v>#REF!</v>
      </c>
      <c r="V149" s="192" t="e">
        <f>IF(D149=År1,P149,SUM(O149,P149))*IFERROR(VLOOKUP(A149,[1]Tørstofindhold!A$2:B$24,2,FALSE),0)</f>
        <v>#REF!</v>
      </c>
      <c r="W149" s="192" t="e">
        <f>J149*IFERROR(VLOOKUP(A149,[1]Tørstofindhold!A$2:B$24,2,FALSE),0)</f>
        <v>#REF!</v>
      </c>
      <c r="X149" s="193" t="e">
        <f t="shared" si="26"/>
        <v>#REF!</v>
      </c>
      <c r="Y149" s="171" t="e">
        <f t="shared" si="43"/>
        <v>#REF!</v>
      </c>
      <c r="Z149" s="103" t="e">
        <f t="shared" si="44"/>
        <v>#REF!</v>
      </c>
    </row>
    <row r="150" spans="1:26" x14ac:dyDescent="0.25">
      <c r="A150" s="194" t="s">
        <v>110</v>
      </c>
      <c r="B150" s="194"/>
      <c r="C150" s="194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4">
        <f t="shared" si="47"/>
        <v>2019</v>
      </c>
      <c r="E150" s="192" t="s">
        <v>24</v>
      </c>
      <c r="F150" s="195">
        <f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78969506.49395892</v>
      </c>
      <c r="G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2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5">
        <f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78969506.49395892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4">
        <f t="shared" ref="N150:N215" si="48">F150-SUM(G150:M150)</f>
        <v>0</v>
      </c>
      <c r="O150" s="195">
        <f t="shared" si="39"/>
        <v>0</v>
      </c>
      <c r="P150" s="205">
        <f t="shared" ref="P150:P215" si="49">SUM(J150,L150)</f>
        <v>78969506.49395892</v>
      </c>
      <c r="Q150" s="192">
        <f>IFERROR(VLOOKUP(A150,[1]Energiindhold!$A$2:$C$11,3,FALSE),IFERROR(VLOOKUP(A150,[1]Biogasudbytte!$A$2:$B$18,2,FALSE)*[1]Energiindhold!$C$10,0))*O150</f>
        <v>0</v>
      </c>
      <c r="R150" s="192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2">
        <f>IFERROR(VLOOKUP(A150,[1]Biogasudbytte!$A$2:$B$18,2,FALSE)*[1]Energiindhold!$C$10,0)*J150*IFERROR(VLOOKUP(A150,Biogasanlæg!$F$3:$G$8,2,FALSE),1)</f>
        <v>0</v>
      </c>
      <c r="T150" s="193">
        <f t="shared" ref="T150:T215" si="50">R150-S150</f>
        <v>0</v>
      </c>
      <c r="U150" s="191">
        <f>O150*IFERROR(VLOOKUP(A150,[1]Tørstofindhold!A$2:B$24,2,FALSE),0)</f>
        <v>0</v>
      </c>
      <c r="V150" s="192">
        <f>IF(D150=År1,P150,SUM(O150,P150))*IFERROR(VLOOKUP(A150,[1]Tørstofindhold!A$2:B$24,2,FALSE),0)</f>
        <v>0</v>
      </c>
      <c r="W150" s="192">
        <f>J150*IFERROR(VLOOKUP(A150,[1]Tørstofindhold!A$2:B$24,2,FALSE),0)</f>
        <v>0</v>
      </c>
      <c r="X150" s="193">
        <f t="shared" ref="X150:X215" si="51">V150-W150</f>
        <v>0</v>
      </c>
      <c r="Y150" s="171">
        <f t="shared" si="43"/>
        <v>0</v>
      </c>
      <c r="Z150" s="103">
        <f t="shared" si="44"/>
        <v>0</v>
      </c>
    </row>
    <row r="151" spans="1:26" x14ac:dyDescent="0.25">
      <c r="A151" s="194" t="s">
        <v>111</v>
      </c>
      <c r="B151" s="194"/>
      <c r="C151" s="194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4">
        <f t="shared" si="47"/>
        <v>2019</v>
      </c>
      <c r="E151" s="192" t="s">
        <v>24</v>
      </c>
      <c r="F151" s="195">
        <f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0</v>
      </c>
      <c r="G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2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5" t="e">
        <f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#REF!</v>
      </c>
      <c r="L151" s="195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4" t="e">
        <f t="shared" si="48"/>
        <v>#REF!</v>
      </c>
      <c r="O151" s="195">
        <f t="shared" si="39"/>
        <v>0</v>
      </c>
      <c r="P151" s="205">
        <f t="shared" si="49"/>
        <v>0</v>
      </c>
      <c r="Q151" s="192">
        <f>IFERROR(VLOOKUP(A151,[1]Energiindhold!$A$2:$C$11,3,FALSE),IFERROR(VLOOKUP(A151,[1]Biogasudbytte!$A$2:$B$18,2,FALSE)*[1]Energiindhold!$C$10,0))*O151</f>
        <v>0</v>
      </c>
      <c r="R151" s="192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2">
        <f>IFERROR(VLOOKUP(A151,[1]Biogasudbytte!$A$2:$B$18,2,FALSE)*[1]Energiindhold!$C$10,0)*J151*IFERROR(VLOOKUP(A151,Biogasanlæg!$F$3:$G$8,2,FALSE),1)</f>
        <v>0</v>
      </c>
      <c r="T151" s="193">
        <f t="shared" si="50"/>
        <v>0</v>
      </c>
      <c r="U151" s="191">
        <f>O151*IFERROR(VLOOKUP(A151,[1]Tørstofindhold!A$2:B$24,2,FALSE),0)</f>
        <v>0</v>
      </c>
      <c r="V151" s="192">
        <f>IF(D151=År1,P151,SUM(O151,P151))*IFERROR(VLOOKUP(A151,[1]Tørstofindhold!A$2:B$24,2,FALSE),0)</f>
        <v>0</v>
      </c>
      <c r="W151" s="192">
        <f>J151*IFERROR(VLOOKUP(A151,[1]Tørstofindhold!A$2:B$24,2,FALSE),0)</f>
        <v>0</v>
      </c>
      <c r="X151" s="193">
        <f t="shared" si="51"/>
        <v>0</v>
      </c>
      <c r="Y151" s="171" t="e">
        <f t="shared" si="43"/>
        <v>#REF!</v>
      </c>
      <c r="Z151" s="103" t="e">
        <f t="shared" si="44"/>
        <v>#REF!</v>
      </c>
    </row>
    <row r="152" spans="1:26" x14ac:dyDescent="0.25">
      <c r="A152" s="194" t="s">
        <v>210</v>
      </c>
      <c r="B152" s="194" t="s">
        <v>232</v>
      </c>
      <c r="C152" s="194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4">
        <f t="shared" si="47"/>
        <v>2019</v>
      </c>
      <c r="E152" s="192" t="s">
        <v>24</v>
      </c>
      <c r="F152" s="195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2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5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4">
        <f t="shared" si="48"/>
        <v>0</v>
      </c>
      <c r="O152" s="195">
        <f t="shared" si="39"/>
        <v>0</v>
      </c>
      <c r="P152" s="205">
        <f t="shared" si="49"/>
        <v>0</v>
      </c>
      <c r="Q152" s="192">
        <f>IFERROR(VLOOKUP(A152,[1]Energiindhold!$A$2:$C$11,3,FALSE),IFERROR(VLOOKUP(A152,[1]Biogasudbytte!$A$2:$B$18,2,FALSE)*[1]Energiindhold!$C$10,0))*O152</f>
        <v>0</v>
      </c>
      <c r="R152" s="192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2">
        <f>IFERROR(VLOOKUP(A152,[1]Biogasudbytte!$A$2:$B$18,2,FALSE)*[1]Energiindhold!$C$10,0)*J152*IFERROR(VLOOKUP(A152,Biogasanlæg!$F$3:$G$8,2,FALSE),1)</f>
        <v>0</v>
      </c>
      <c r="T152" s="193">
        <f t="shared" si="50"/>
        <v>0</v>
      </c>
      <c r="U152" s="191">
        <f>O152*IFERROR(VLOOKUP(A152,[1]Tørstofindhold!A$2:B$24,2,FALSE),0)</f>
        <v>0</v>
      </c>
      <c r="V152" s="192">
        <f>IF(D152=År1,P152,SUM(O152,P152))*IFERROR(VLOOKUP(A152,[1]Tørstofindhold!A$2:B$24,2,FALSE),0)</f>
        <v>0</v>
      </c>
      <c r="W152" s="192">
        <f>J152*IFERROR(VLOOKUP(A152,[1]Tørstofindhold!A$2:B$24,2,FALSE),0)</f>
        <v>0</v>
      </c>
      <c r="X152" s="193">
        <f t="shared" si="51"/>
        <v>0</v>
      </c>
      <c r="Y152" s="171">
        <f t="shared" si="43"/>
        <v>0</v>
      </c>
      <c r="Z152" s="103">
        <f t="shared" si="44"/>
        <v>0</v>
      </c>
    </row>
    <row r="153" spans="1:26" x14ac:dyDescent="0.25">
      <c r="A153" s="192" t="s">
        <v>102</v>
      </c>
      <c r="B153" s="194" t="s">
        <v>224</v>
      </c>
      <c r="C153" s="194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4">
        <f t="shared" si="47"/>
        <v>2019</v>
      </c>
      <c r="E153" s="192" t="s">
        <v>24</v>
      </c>
      <c r="F153" s="195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332759.92297580565</v>
      </c>
      <c r="G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2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5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4">
        <f t="shared" si="48"/>
        <v>153410.57659836096</v>
      </c>
      <c r="O153" s="195">
        <f t="shared" si="39"/>
        <v>153410.57659836096</v>
      </c>
      <c r="P153" s="205">
        <f t="shared" si="49"/>
        <v>85892.328449707566</v>
      </c>
      <c r="Q153" s="192">
        <f>IFERROR(VLOOKUP(A153,[1]Energiindhold!$A$2:$C$11,3,FALSE),IFERROR(VLOOKUP(A153,[1]Biogasudbytte!$A$2:$B$18,2,FALSE)*[1]Energiindhold!$C$10,0))*O153</f>
        <v>0.33044638199286952</v>
      </c>
      <c r="R153" s="192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2">
        <f>IFERROR(VLOOKUP(A153,[1]Biogasudbytte!$A$2:$B$18,2,FALSE)*[1]Energiindhold!$C$10,0)*J153*IFERROR(VLOOKUP(A153,Biogasanlæg!$F$3:$G$8,2,FALSE),1)</f>
        <v>0.18501207548067011</v>
      </c>
      <c r="T153" s="193">
        <f t="shared" si="50"/>
        <v>0</v>
      </c>
      <c r="U153" s="191">
        <f>O153*IFERROR(VLOOKUP(A153,[1]Tørstofindhold!A$2:B$24,2,FALSE),0)</f>
        <v>46023.172979508287</v>
      </c>
      <c r="V153" s="192">
        <f>IF(D153=År1,P153,SUM(O153,P153))*IFERROR(VLOOKUP(A153,[1]Tørstofindhold!A$2:B$24,2,FALSE),0)</f>
        <v>25767.69853491227</v>
      </c>
      <c r="W153" s="192">
        <f>J153*IFERROR(VLOOKUP(A153,[1]Tørstofindhold!A$2:B$24,2,FALSE),0)</f>
        <v>25767.69853491227</v>
      </c>
      <c r="X153" s="193">
        <f t="shared" si="51"/>
        <v>0</v>
      </c>
      <c r="Y153" s="171">
        <f t="shared" si="43"/>
        <v>0</v>
      </c>
      <c r="Z153" s="103">
        <f t="shared" si="44"/>
        <v>1</v>
      </c>
    </row>
    <row r="154" spans="1:26" x14ac:dyDescent="0.25">
      <c r="A154" s="192" t="s">
        <v>206</v>
      </c>
      <c r="B154" s="194"/>
      <c r="C154" s="194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4">
        <f t="shared" si="47"/>
        <v>2019</v>
      </c>
      <c r="E154" s="192" t="s">
        <v>24</v>
      </c>
      <c r="F154" s="195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2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5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4">
        <f t="shared" si="48"/>
        <v>0</v>
      </c>
      <c r="O154" s="195">
        <f t="shared" si="39"/>
        <v>0</v>
      </c>
      <c r="P154" s="205">
        <f t="shared" si="49"/>
        <v>0</v>
      </c>
      <c r="Q154" s="192">
        <f>IFERROR(VLOOKUP(A154,[1]Energiindhold!$A$2:$C$11,3,FALSE),IFERROR(VLOOKUP(A154,[1]Biogasudbytte!$A$2:$B$18,2,FALSE)*[1]Energiindhold!$C$10,0))*O154</f>
        <v>0</v>
      </c>
      <c r="R154" s="192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2">
        <f>IFERROR(VLOOKUP(A154,[1]Biogasudbytte!$A$2:$B$18,2,FALSE)*[1]Energiindhold!$C$10,0)*J154*IFERROR(VLOOKUP(A154,Biogasanlæg!$F$3:$G$8,2,FALSE),1)</f>
        <v>0</v>
      </c>
      <c r="T154" s="193">
        <f t="shared" si="50"/>
        <v>0</v>
      </c>
      <c r="U154" s="191">
        <f>O154*IFERROR(VLOOKUP(A154,[1]Tørstofindhold!A$2:B$24,2,FALSE),0)</f>
        <v>0</v>
      </c>
      <c r="V154" s="192">
        <f>IF(D154=År1,P154,SUM(O154,P154))*IFERROR(VLOOKUP(A154,[1]Tørstofindhold!A$2:B$24,2,FALSE),0)</f>
        <v>0</v>
      </c>
      <c r="W154" s="192">
        <f>J154*IFERROR(VLOOKUP(A154,[1]Tørstofindhold!A$2:B$24,2,FALSE),0)</f>
        <v>0</v>
      </c>
      <c r="X154" s="193">
        <f t="shared" si="51"/>
        <v>0</v>
      </c>
      <c r="Y154" s="171">
        <f t="shared" si="43"/>
        <v>0</v>
      </c>
      <c r="Z154" s="103">
        <f t="shared" si="44"/>
        <v>0</v>
      </c>
    </row>
    <row r="155" spans="1:26" x14ac:dyDescent="0.25">
      <c r="A155" s="192" t="s">
        <v>138</v>
      </c>
      <c r="B155" s="194" t="s">
        <v>224</v>
      </c>
      <c r="C155" s="194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4">
        <f t="shared" si="47"/>
        <v>2019</v>
      </c>
      <c r="E155" s="192" t="s">
        <v>24</v>
      </c>
      <c r="F155" s="195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675.387643904882</v>
      </c>
      <c r="G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2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255.68246519256246</v>
      </c>
      <c r="L155" s="195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4">
        <f t="shared" si="48"/>
        <v>82.011356759878481</v>
      </c>
      <c r="O155" s="195">
        <f t="shared" si="39"/>
        <v>82.011356759878481</v>
      </c>
      <c r="P155" s="205">
        <f t="shared" si="49"/>
        <v>337.693821952441</v>
      </c>
      <c r="Q155" s="192">
        <f>IFERROR(VLOOKUP(A155,[1]Energiindhold!$A$2:$C$11,3,FALSE),IFERROR(VLOOKUP(A155,[1]Biogasudbytte!$A$2:$B$18,2,FALSE)*[1]Energiindhold!$C$10,0))*O155</f>
        <v>3.8569120970603255E-5</v>
      </c>
      <c r="R155" s="192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2">
        <f>IFERROR(VLOOKUP(A155,[1]Biogasudbytte!$A$2:$B$18,2,FALSE)*[1]Energiindhold!$C$10,0)*J155*IFERROR(VLOOKUP(A155,Biogasanlæg!$F$3:$G$8,2,FALSE),1)</f>
        <v>1.5881402752601349E-4</v>
      </c>
      <c r="T155" s="193">
        <f t="shared" si="50"/>
        <v>0</v>
      </c>
      <c r="U155" s="191">
        <f>O155*IFERROR(VLOOKUP(A155,[1]Tørstofindhold!A$2:B$24,2,FALSE),0)</f>
        <v>5.1667154758723441</v>
      </c>
      <c r="V155" s="192">
        <f>IF(D155=År1,P155,SUM(O155,P155))*IFERROR(VLOOKUP(A155,[1]Tørstofindhold!A$2:B$24,2,FALSE),0)</f>
        <v>21.274710783003783</v>
      </c>
      <c r="W155" s="192">
        <f>J155*IFERROR(VLOOKUP(A155,[1]Tørstofindhold!A$2:B$24,2,FALSE),0)</f>
        <v>21.274710783003783</v>
      </c>
      <c r="X155" s="193">
        <f t="shared" si="51"/>
        <v>0</v>
      </c>
      <c r="Y155" s="171">
        <f t="shared" si="43"/>
        <v>0</v>
      </c>
      <c r="Z155" s="103">
        <f t="shared" si="44"/>
        <v>1</v>
      </c>
    </row>
    <row r="156" spans="1:26" x14ac:dyDescent="0.25">
      <c r="A156" s="192" t="s">
        <v>97</v>
      </c>
      <c r="B156" s="194"/>
      <c r="C156" s="194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4">
        <f t="shared" si="47"/>
        <v>2019</v>
      </c>
      <c r="E156" s="192" t="s">
        <v>24</v>
      </c>
      <c r="F156" s="195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15969.006082579654</v>
      </c>
      <c r="G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2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5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4">
        <f t="shared" si="48"/>
        <v>-13151.581373695415</v>
      </c>
      <c r="O156" s="195">
        <f t="shared" si="39"/>
        <v>0</v>
      </c>
      <c r="P156" s="205">
        <f t="shared" si="49"/>
        <v>0</v>
      </c>
      <c r="Q156" s="192">
        <f>IFERROR(VLOOKUP(A156,[1]Energiindhold!$A$2:$C$11,3,FALSE),IFERROR(VLOOKUP(A156,[1]Biogasudbytte!$A$2:$B$18,2,FALSE)*[1]Energiindhold!$C$10,0))*O156</f>
        <v>0</v>
      </c>
      <c r="R156" s="192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2">
        <f>IFERROR(VLOOKUP(A156,[1]Biogasudbytte!$A$2:$B$18,2,FALSE)*[1]Energiindhold!$C$10,0)*J156*IFERROR(VLOOKUP(A156,Biogasanlæg!$F$3:$G$8,2,FALSE),1)</f>
        <v>0</v>
      </c>
      <c r="T156" s="193">
        <f t="shared" si="50"/>
        <v>0</v>
      </c>
      <c r="U156" s="191">
        <f>O156*IFERROR(VLOOKUP(A156,[1]Tørstofindhold!A$2:B$24,2,FALSE),0)</f>
        <v>0</v>
      </c>
      <c r="V156" s="192">
        <f>IF(D156=År1,P156,SUM(O156,P156))*IFERROR(VLOOKUP(A156,[1]Tørstofindhold!A$2:B$24,2,FALSE),0)</f>
        <v>0</v>
      </c>
      <c r="W156" s="192">
        <f>J156*IFERROR(VLOOKUP(A156,[1]Tørstofindhold!A$2:B$24,2,FALSE),0)</f>
        <v>0</v>
      </c>
      <c r="X156" s="193">
        <f t="shared" si="51"/>
        <v>0</v>
      </c>
      <c r="Y156" s="171">
        <f t="shared" si="43"/>
        <v>0</v>
      </c>
      <c r="Z156" s="103">
        <f t="shared" si="44"/>
        <v>1</v>
      </c>
    </row>
    <row r="157" spans="1:26" x14ac:dyDescent="0.25">
      <c r="A157" s="192" t="s">
        <v>114</v>
      </c>
      <c r="B157" s="194"/>
      <c r="C157" s="194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4">
        <f t="shared" si="47"/>
        <v>2019</v>
      </c>
      <c r="E157" s="192" t="s">
        <v>24</v>
      </c>
      <c r="F157" s="195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612515.4514426298</v>
      </c>
      <c r="G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2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5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4">
        <f t="shared" si="48"/>
        <v>612515.4514426298</v>
      </c>
      <c r="O157" s="195">
        <f t="shared" si="39"/>
        <v>0</v>
      </c>
      <c r="P157" s="205">
        <f t="shared" si="49"/>
        <v>0</v>
      </c>
      <c r="Q157" s="192">
        <f>IFERROR(VLOOKUP(A157,[1]Energiindhold!$A$2:$C$11,3,FALSE),IFERROR(VLOOKUP(A157,[1]Biogasudbytte!$A$2:$B$18,2,FALSE)*[1]Energiindhold!$C$10,0))*O157</f>
        <v>0</v>
      </c>
      <c r="R157" s="192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2">
        <f>IFERROR(VLOOKUP(A157,[1]Biogasudbytte!$A$2:$B$18,2,FALSE)*[1]Energiindhold!$C$10,0)*J157*IFERROR(VLOOKUP(A157,Biogasanlæg!$F$3:$G$8,2,FALSE),1)</f>
        <v>0</v>
      </c>
      <c r="T157" s="193">
        <f t="shared" si="50"/>
        <v>0</v>
      </c>
      <c r="U157" s="191">
        <f>O157*IFERROR(VLOOKUP(A157,[1]Tørstofindhold!A$2:B$24,2,FALSE),0)</f>
        <v>0</v>
      </c>
      <c r="V157" s="192">
        <f>IF(D157=År1,P157,SUM(O157,P157))*IFERROR(VLOOKUP(A157,[1]Tørstofindhold!A$2:B$24,2,FALSE),0)</f>
        <v>0</v>
      </c>
      <c r="W157" s="192">
        <f>J157*IFERROR(VLOOKUP(A157,[1]Tørstofindhold!A$2:B$24,2,FALSE),0)</f>
        <v>0</v>
      </c>
      <c r="X157" s="193">
        <f t="shared" si="51"/>
        <v>0</v>
      </c>
      <c r="Y157" s="171">
        <f t="shared" si="43"/>
        <v>0</v>
      </c>
      <c r="Z157" s="103">
        <f t="shared" si="44"/>
        <v>1</v>
      </c>
    </row>
    <row r="158" spans="1:26" x14ac:dyDescent="0.25">
      <c r="A158" s="192" t="s">
        <v>54</v>
      </c>
      <c r="B158" s="194"/>
      <c r="C158" s="194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4">
        <f t="shared" si="47"/>
        <v>2019</v>
      </c>
      <c r="E158" s="192" t="s">
        <v>24</v>
      </c>
      <c r="F158" s="195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15804.526381892863</v>
      </c>
      <c r="G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2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5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4">
        <f t="shared" si="48"/>
        <v>-196999.76656780957</v>
      </c>
      <c r="O158" s="195">
        <f t="shared" si="39"/>
        <v>0</v>
      </c>
      <c r="P158" s="205">
        <f t="shared" si="49"/>
        <v>0</v>
      </c>
      <c r="Q158" s="192">
        <f>IFERROR(VLOOKUP(A158,[1]Energiindhold!$A$2:$C$11,3,FALSE),IFERROR(VLOOKUP(A158,[1]Biogasudbytte!$A$2:$B$18,2,FALSE)*[1]Energiindhold!$C$10,0))*O158</f>
        <v>0</v>
      </c>
      <c r="R158" s="192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2">
        <f>IFERROR(VLOOKUP(A158,[1]Biogasudbytte!$A$2:$B$18,2,FALSE)*[1]Energiindhold!$C$10,0)*J158*IFERROR(VLOOKUP(A158,Biogasanlæg!$F$3:$G$8,2,FALSE),1)</f>
        <v>0</v>
      </c>
      <c r="T158" s="193">
        <f t="shared" si="50"/>
        <v>0</v>
      </c>
      <c r="U158" s="191">
        <f>O158*IFERROR(VLOOKUP(A158,[1]Tørstofindhold!A$2:B$24,2,FALSE),0)</f>
        <v>0</v>
      </c>
      <c r="V158" s="192">
        <f>IF(D158=År1,P158,SUM(O158,P158))*IFERROR(VLOOKUP(A158,[1]Tørstofindhold!A$2:B$24,2,FALSE),0)</f>
        <v>0</v>
      </c>
      <c r="W158" s="192">
        <f>J158*IFERROR(VLOOKUP(A158,[1]Tørstofindhold!A$2:B$24,2,FALSE),0)</f>
        <v>0</v>
      </c>
      <c r="X158" s="193">
        <f t="shared" si="51"/>
        <v>0</v>
      </c>
      <c r="Y158" s="171">
        <f t="shared" si="43"/>
        <v>1</v>
      </c>
      <c r="Z158" s="103">
        <f t="shared" si="44"/>
        <v>0</v>
      </c>
    </row>
    <row r="159" spans="1:26" x14ac:dyDescent="0.25">
      <c r="A159" s="194" t="s">
        <v>159</v>
      </c>
      <c r="B159" s="194" t="s">
        <v>159</v>
      </c>
      <c r="C159" s="194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4">
        <f t="shared" si="47"/>
        <v>2019</v>
      </c>
      <c r="E159" s="192" t="s">
        <v>24</v>
      </c>
      <c r="F159" s="195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2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5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4">
        <f t="shared" si="48"/>
        <v>-28548.400000000001</v>
      </c>
      <c r="O159" s="195">
        <f t="shared" si="39"/>
        <v>0</v>
      </c>
      <c r="P159" s="205">
        <f t="shared" si="49"/>
        <v>28548.400000000001</v>
      </c>
      <c r="Q159" s="192">
        <f>IFERROR(VLOOKUP(A159,[1]Energiindhold!$A$2:$C$11,3,FALSE),IFERROR(VLOOKUP(A159,[1]Biogasudbytte!$A$2:$B$18,2,FALSE)*[1]Energiindhold!$C$10,0))*O159</f>
        <v>0</v>
      </c>
      <c r="R159" s="192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2">
        <f>IFERROR(VLOOKUP(A159,[1]Biogasudbytte!$A$2:$B$18,2,FALSE)*[1]Energiindhold!$C$10,0)*J159*IFERROR(VLOOKUP(A159,Biogasanlæg!$F$3:$G$8,2,FALSE),1)</f>
        <v>0.43389639740160008</v>
      </c>
      <c r="T159" s="193">
        <f t="shared" si="50"/>
        <v>0</v>
      </c>
      <c r="U159" s="191">
        <f>O159*IFERROR(VLOOKUP(A159,[1]Tørstofindhold!A$2:B$24,2,FALSE),0)</f>
        <v>0</v>
      </c>
      <c r="V159" s="192">
        <f>IF(D159=År1,P159,SUM(O159,P159))*IFERROR(VLOOKUP(A159,[1]Tørstofindhold!A$2:B$24,2,FALSE),0)</f>
        <v>25693.56</v>
      </c>
      <c r="W159" s="192">
        <f>J159*IFERROR(VLOOKUP(A159,[1]Tørstofindhold!A$2:B$24,2,FALSE),0)</f>
        <v>25693.56</v>
      </c>
      <c r="X159" s="193">
        <f t="shared" si="51"/>
        <v>0</v>
      </c>
      <c r="Y159" s="171">
        <f t="shared" si="43"/>
        <v>1</v>
      </c>
      <c r="Z159" s="103">
        <f t="shared" si="44"/>
        <v>0</v>
      </c>
    </row>
    <row r="160" spans="1:26" x14ac:dyDescent="0.25">
      <c r="A160" s="194" t="s">
        <v>51</v>
      </c>
      <c r="B160" s="194" t="s">
        <v>226</v>
      </c>
      <c r="C160" s="194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4">
        <f t="shared" si="47"/>
        <v>2019</v>
      </c>
      <c r="E160" s="192" t="s">
        <v>24</v>
      </c>
      <c r="F160" s="195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2079827.1270254222</v>
      </c>
      <c r="G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2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5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4">
        <f t="shared" si="48"/>
        <v>567828.21491337055</v>
      </c>
      <c r="O160" s="195">
        <f t="shared" si="39"/>
        <v>567828.21491337055</v>
      </c>
      <c r="P160" s="205">
        <f t="shared" si="49"/>
        <v>9930.836100337272</v>
      </c>
      <c r="Q160" s="192">
        <f>IFERROR(VLOOKUP(A160,[1]Energiindhold!$A$2:$C$11,3,FALSE),IFERROR(VLOOKUP(A160,[1]Biogasudbytte!$A$2:$B$18,2,FALSE)*[1]Energiindhold!$C$10,0))*O160</f>
        <v>1.0447329369137377</v>
      </c>
      <c r="R160" s="192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2">
        <f>IFERROR(VLOOKUP(A160,[1]Biogasudbytte!$A$2:$B$18,2,FALSE)*[1]Energiindhold!$C$10,0)*J160*IFERROR(VLOOKUP(A160,Biogasanlæg!$F$3:$G$8,2,FALSE),1)</f>
        <v>1.8271497070108039E-2</v>
      </c>
      <c r="T160" s="193">
        <f t="shared" si="50"/>
        <v>0</v>
      </c>
      <c r="U160" s="191">
        <f>O160*IFERROR(VLOOKUP(A160,[1]Tørstofindhold!A$2:B$24,2,FALSE),0)</f>
        <v>158991.90017574377</v>
      </c>
      <c r="V160" s="192">
        <f>IF(D160=År1,P160,SUM(O160,P160))*IFERROR(VLOOKUP(A160,[1]Tørstofindhold!A$2:B$24,2,FALSE),0)</f>
        <v>2780.6341080944362</v>
      </c>
      <c r="W160" s="192">
        <f>J160*IFERROR(VLOOKUP(A160,[1]Tørstofindhold!A$2:B$24,2,FALSE),0)</f>
        <v>2780.6341080944362</v>
      </c>
      <c r="X160" s="193">
        <f t="shared" si="51"/>
        <v>0</v>
      </c>
      <c r="Y160" s="171">
        <f t="shared" si="43"/>
        <v>0</v>
      </c>
      <c r="Z160" s="103">
        <f t="shared" si="44"/>
        <v>1</v>
      </c>
    </row>
    <row r="161" spans="1:26" x14ac:dyDescent="0.25">
      <c r="A161" s="194" t="s">
        <v>205</v>
      </c>
      <c r="B161" s="194"/>
      <c r="C161" s="194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4">
        <f t="shared" si="47"/>
        <v>2019</v>
      </c>
      <c r="E161" s="192" t="s">
        <v>24</v>
      </c>
      <c r="F161" s="195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2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5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4">
        <f t="shared" si="48"/>
        <v>0</v>
      </c>
      <c r="O161" s="195">
        <f t="shared" si="39"/>
        <v>0</v>
      </c>
      <c r="P161" s="205">
        <f t="shared" si="49"/>
        <v>0</v>
      </c>
      <c r="Q161" s="192">
        <f>IFERROR(VLOOKUP(A161,[1]Energiindhold!$A$2:$C$11,3,FALSE),IFERROR(VLOOKUP(A161,[1]Biogasudbytte!$A$2:$B$18,2,FALSE)*[1]Energiindhold!$C$10,0))*O161</f>
        <v>0</v>
      </c>
      <c r="R161" s="192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2">
        <f>IFERROR(VLOOKUP(A161,[1]Biogasudbytte!$A$2:$B$18,2,FALSE)*[1]Energiindhold!$C$10,0)*J161*IFERROR(VLOOKUP(A161,Biogasanlæg!$F$3:$G$8,2,FALSE),1)</f>
        <v>0</v>
      </c>
      <c r="T161" s="193">
        <f t="shared" si="50"/>
        <v>0</v>
      </c>
      <c r="U161" s="191">
        <f>O161*IFERROR(VLOOKUP(A161,[1]Tørstofindhold!A$2:B$24,2,FALSE),0)</f>
        <v>0</v>
      </c>
      <c r="V161" s="192">
        <f>IF(D161=År1,P161,SUM(O161,P161))*IFERROR(VLOOKUP(A161,[1]Tørstofindhold!A$2:B$24,2,FALSE),0)</f>
        <v>0</v>
      </c>
      <c r="W161" s="192">
        <f>J161*IFERROR(VLOOKUP(A161,[1]Tørstofindhold!A$2:B$24,2,FALSE),0)</f>
        <v>0</v>
      </c>
      <c r="X161" s="193">
        <f t="shared" si="51"/>
        <v>0</v>
      </c>
      <c r="Y161" s="171">
        <f t="shared" si="43"/>
        <v>0</v>
      </c>
      <c r="Z161" s="103">
        <f t="shared" si="44"/>
        <v>0</v>
      </c>
    </row>
    <row r="162" spans="1:26" x14ac:dyDescent="0.25">
      <c r="A162" s="194" t="s">
        <v>6</v>
      </c>
      <c r="B162" s="194"/>
      <c r="C162" s="194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4">
        <f t="shared" si="47"/>
        <v>2019</v>
      </c>
      <c r="E162" s="192" t="s">
        <v>24</v>
      </c>
      <c r="F162" s="195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96079.800747233821</v>
      </c>
      <c r="G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2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5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4">
        <f t="shared" si="48"/>
        <v>-126804.69555271766</v>
      </c>
      <c r="O162" s="195">
        <f t="shared" si="39"/>
        <v>0</v>
      </c>
      <c r="P162" s="205">
        <f t="shared" si="49"/>
        <v>0</v>
      </c>
      <c r="Q162" s="192">
        <f>IFERROR(VLOOKUP(A162,[1]Energiindhold!$A$2:$C$11,3,FALSE),IFERROR(VLOOKUP(A162,[1]Biogasudbytte!$A$2:$B$18,2,FALSE)*[1]Energiindhold!$C$10,0))*O162</f>
        <v>0</v>
      </c>
      <c r="R162" s="192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2">
        <f>IFERROR(VLOOKUP(A162,[1]Biogasudbytte!$A$2:$B$18,2,FALSE)*[1]Energiindhold!$C$10,0)*J162*IFERROR(VLOOKUP(A162,Biogasanlæg!$F$3:$G$8,2,FALSE),1)</f>
        <v>0</v>
      </c>
      <c r="T162" s="193">
        <f t="shared" si="50"/>
        <v>0</v>
      </c>
      <c r="U162" s="191">
        <f>O162*IFERROR(VLOOKUP(A162,[1]Tørstofindhold!A$2:B$24,2,FALSE),0)</f>
        <v>0</v>
      </c>
      <c r="V162" s="192">
        <f>IF(D162=År1,P162,SUM(O162,P162))*IFERROR(VLOOKUP(A162,[1]Tørstofindhold!A$2:B$24,2,FALSE),0)</f>
        <v>0</v>
      </c>
      <c r="W162" s="192">
        <f>J162*IFERROR(VLOOKUP(A162,[1]Tørstofindhold!A$2:B$24,2,FALSE),0)</f>
        <v>0</v>
      </c>
      <c r="X162" s="193">
        <f t="shared" si="51"/>
        <v>0</v>
      </c>
      <c r="Y162" s="171">
        <f t="shared" si="43"/>
        <v>1</v>
      </c>
      <c r="Z162" s="103">
        <f t="shared" si="44"/>
        <v>0</v>
      </c>
    </row>
    <row r="163" spans="1:26" x14ac:dyDescent="0.25">
      <c r="A163" s="194" t="s">
        <v>68</v>
      </c>
      <c r="B163" s="194" t="s">
        <v>229</v>
      </c>
      <c r="C163" s="194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4">
        <f t="shared" si="47"/>
        <v>2019</v>
      </c>
      <c r="E163" s="192" t="s">
        <v>24</v>
      </c>
      <c r="F163" s="195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955988.04344506538</v>
      </c>
      <c r="G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2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104128.58905499999</v>
      </c>
      <c r="I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5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4">
        <f t="shared" si="48"/>
        <v>0</v>
      </c>
      <c r="O163" s="195">
        <f t="shared" si="39"/>
        <v>0</v>
      </c>
      <c r="P163" s="205">
        <f t="shared" si="49"/>
        <v>756970.00635565282</v>
      </c>
      <c r="Q163" s="192">
        <f>IFERROR(VLOOKUP(A163,[1]Energiindhold!$A$2:$C$11,3,FALSE),IFERROR(VLOOKUP(A163,[1]Biogasudbytte!$A$2:$B$18,2,FALSE)*[1]Energiindhold!$C$10,0))*O163</f>
        <v>0</v>
      </c>
      <c r="R163" s="192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2">
        <f>IFERROR(VLOOKUP(A163,[1]Biogasudbytte!$A$2:$B$18,2,FALSE)*[1]Energiindhold!$C$10,0)*J163*IFERROR(VLOOKUP(A163,Biogasanlæg!$F$3:$G$8,2,FALSE),1)</f>
        <v>0.13142610267053248</v>
      </c>
      <c r="T163" s="193">
        <f t="shared" si="50"/>
        <v>7.5882895761801983</v>
      </c>
      <c r="U163" s="191">
        <f>O163*IFERROR(VLOOKUP(A163,[1]Tørstofindhold!A$2:B$24,2,FALSE),0)</f>
        <v>0</v>
      </c>
      <c r="V163" s="192">
        <f>IF(D163=År1,P163,SUM(O163,P163))*IFERROR(VLOOKUP(A163,[1]Tørstofindhold!A$2:B$24,2,FALSE),0)</f>
        <v>643424.50540230493</v>
      </c>
      <c r="W163" s="192">
        <f>J163*IFERROR(VLOOKUP(A163,[1]Tørstofindhold!A$2:B$24,2,FALSE),0)</f>
        <v>19375.841164913018</v>
      </c>
      <c r="X163" s="193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x14ac:dyDescent="0.25">
      <c r="A164" s="194" t="s">
        <v>163</v>
      </c>
      <c r="B164" s="194" t="s">
        <v>232</v>
      </c>
      <c r="C164" s="194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4">
        <f t="shared" si="47"/>
        <v>2019</v>
      </c>
      <c r="E164" s="192" t="s">
        <v>24</v>
      </c>
      <c r="F164" s="195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452346.51233766804</v>
      </c>
      <c r="G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2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5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4">
        <f t="shared" si="48"/>
        <v>0</v>
      </c>
      <c r="O164" s="195">
        <f t="shared" si="39"/>
        <v>0</v>
      </c>
      <c r="P164" s="205">
        <f t="shared" si="49"/>
        <v>452346.51233766804</v>
      </c>
      <c r="Q164" s="192">
        <f>IFERROR(VLOOKUP(A164,[1]Energiindhold!$A$2:$C$11,3,FALSE),IFERROR(VLOOKUP(A164,[1]Biogasudbytte!$A$2:$B$18,2,FALSE)*[1]Energiindhold!$C$10,0))*O164</f>
        <v>0</v>
      </c>
      <c r="R164" s="192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2">
        <f>IFERROR(VLOOKUP(A164,[1]Biogasudbytte!$A$2:$B$18,2,FALSE)*[1]Energiindhold!$C$10,0)*J164*IFERROR(VLOOKUP(A164,Biogasanlæg!$F$3:$G$8,2,FALSE),1)</f>
        <v>6.0961032399995807E-5</v>
      </c>
      <c r="T164" s="193">
        <f t="shared" si="50"/>
        <v>8.0747487919351268</v>
      </c>
      <c r="U164" s="191">
        <f>O164*IFERROR(VLOOKUP(A164,[1]Tørstofindhold!A$2:B$24,2,FALSE),0)</f>
        <v>0</v>
      </c>
      <c r="V164" s="192">
        <f>IF(D164=År1,P164,SUM(O164,P164))*IFERROR(VLOOKUP(A164,[1]Tørstofindhold!A$2:B$24,2,FALSE),0)</f>
        <v>135703.9537013004</v>
      </c>
      <c r="W164" s="192">
        <f>J164*IFERROR(VLOOKUP(A164,[1]Tørstofindhold!A$2:B$24,2,FALSE),0)</f>
        <v>10.77005642876839</v>
      </c>
      <c r="X164" s="193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x14ac:dyDescent="0.25">
      <c r="A165" s="192" t="s">
        <v>160</v>
      </c>
      <c r="B165" s="194"/>
      <c r="C165" s="194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4">
        <f t="shared" si="47"/>
        <v>2019</v>
      </c>
      <c r="E165" s="192" t="s">
        <v>24</v>
      </c>
      <c r="F165" s="195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2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5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4">
        <f t="shared" si="48"/>
        <v>-592646.72642582108</v>
      </c>
      <c r="O165" s="195">
        <f t="shared" si="39"/>
        <v>0</v>
      </c>
      <c r="P165" s="205">
        <f t="shared" si="49"/>
        <v>0</v>
      </c>
      <c r="Q165" s="192">
        <f>IFERROR(VLOOKUP(A165,[1]Energiindhold!$A$2:$C$11,3,FALSE),IFERROR(VLOOKUP(A165,[1]Biogasudbytte!$A$2:$B$18,2,FALSE)*[1]Energiindhold!$C$10,0))*O165</f>
        <v>0</v>
      </c>
      <c r="R165" s="192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2">
        <f>IFERROR(VLOOKUP(A165,[1]Biogasudbytte!$A$2:$B$18,2,FALSE)*[1]Energiindhold!$C$10,0)*J165*IFERROR(VLOOKUP(A165,Biogasanlæg!$F$3:$G$8,2,FALSE),1)</f>
        <v>0</v>
      </c>
      <c r="T165" s="193">
        <f t="shared" si="50"/>
        <v>0</v>
      </c>
      <c r="U165" s="191">
        <f>O165*IFERROR(VLOOKUP(A165,[1]Tørstofindhold!A$2:B$24,2,FALSE),0)</f>
        <v>0</v>
      </c>
      <c r="V165" s="192">
        <f>IF(D165=År1,P165,SUM(O165,P165))*IFERROR(VLOOKUP(A165,[1]Tørstofindhold!A$2:B$24,2,FALSE),0)</f>
        <v>0</v>
      </c>
      <c r="W165" s="192">
        <f>J165*IFERROR(VLOOKUP(A165,[1]Tørstofindhold!A$2:B$24,2,FALSE),0)</f>
        <v>0</v>
      </c>
      <c r="X165" s="193">
        <f t="shared" si="51"/>
        <v>0</v>
      </c>
      <c r="Y165" s="171">
        <f t="shared" si="43"/>
        <v>1</v>
      </c>
      <c r="Z165" s="103">
        <f t="shared" si="44"/>
        <v>0</v>
      </c>
    </row>
    <row r="166" spans="1:26" x14ac:dyDescent="0.25">
      <c r="A166" s="194" t="s">
        <v>104</v>
      </c>
      <c r="B166" s="194" t="s">
        <v>232</v>
      </c>
      <c r="C166" s="194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4">
        <f t="shared" si="47"/>
        <v>2019</v>
      </c>
      <c r="E166" s="192" t="s">
        <v>24</v>
      </c>
      <c r="F166" s="195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200279.74928693369</v>
      </c>
      <c r="G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2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5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4">
        <f t="shared" si="48"/>
        <v>-79270.498677373223</v>
      </c>
      <c r="O166" s="195">
        <f t="shared" si="39"/>
        <v>0</v>
      </c>
      <c r="P166" s="205">
        <f t="shared" si="49"/>
        <v>279550.24796430691</v>
      </c>
      <c r="Q166" s="192">
        <f>IFERROR(VLOOKUP(A166,[1]Energiindhold!$A$2:$C$11,3,FALSE),IFERROR(VLOOKUP(A166,[1]Biogasudbytte!$A$2:$B$18,2,FALSE)*[1]Energiindhold!$C$10,0))*O166</f>
        <v>0</v>
      </c>
      <c r="R166" s="192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2">
        <f>IFERROR(VLOOKUP(A166,[1]Biogasudbytte!$A$2:$B$18,2,FALSE)*[1]Energiindhold!$C$10,0)*J166*IFERROR(VLOOKUP(A166,Biogasanlæg!$F$3:$G$8,2,FALSE),1)</f>
        <v>1.0296284310673407</v>
      </c>
      <c r="T166" s="193">
        <f t="shared" si="50"/>
        <v>0</v>
      </c>
      <c r="U166" s="191">
        <f>O166*IFERROR(VLOOKUP(A166,[1]Tørstofindhold!A$2:B$24,2,FALSE),0)</f>
        <v>0</v>
      </c>
      <c r="V166" s="192">
        <f>IF(D166=År1,P166,SUM(O166,P166))*IFERROR(VLOOKUP(A166,[1]Tørstofindhold!A$2:B$24,2,FALSE),0)</f>
        <v>117411.1041450089</v>
      </c>
      <c r="W166" s="192">
        <f>J166*IFERROR(VLOOKUP(A166,[1]Tørstofindhold!A$2:B$24,2,FALSE),0)</f>
        <v>117411.1041450089</v>
      </c>
      <c r="X166" s="193">
        <f t="shared" si="51"/>
        <v>0</v>
      </c>
      <c r="Y166" s="171">
        <f t="shared" si="43"/>
        <v>1</v>
      </c>
      <c r="Z166" s="103">
        <f t="shared" si="44"/>
        <v>0</v>
      </c>
    </row>
    <row r="167" spans="1:26" x14ac:dyDescent="0.25">
      <c r="A167" s="194" t="s">
        <v>56</v>
      </c>
      <c r="B167" s="194"/>
      <c r="C167" s="194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4">
        <f t="shared" si="47"/>
        <v>2019</v>
      </c>
      <c r="E167" s="192" t="s">
        <v>24</v>
      </c>
      <c r="F167" s="195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145851.60720031991</v>
      </c>
      <c r="G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2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5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4">
        <f t="shared" si="48"/>
        <v>145851.60720031991</v>
      </c>
      <c r="O167" s="195">
        <f t="shared" si="39"/>
        <v>0</v>
      </c>
      <c r="P167" s="205">
        <f t="shared" si="49"/>
        <v>0</v>
      </c>
      <c r="Q167" s="192">
        <f>IFERROR(VLOOKUP(A167,[1]Energiindhold!$A$2:$C$11,3,FALSE),IFERROR(VLOOKUP(A167,[1]Biogasudbytte!$A$2:$B$18,2,FALSE)*[1]Energiindhold!$C$10,0))*O167</f>
        <v>0</v>
      </c>
      <c r="R167" s="192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2">
        <f>IFERROR(VLOOKUP(A167,[1]Biogasudbytte!$A$2:$B$18,2,FALSE)*[1]Energiindhold!$C$10,0)*J167*IFERROR(VLOOKUP(A167,Biogasanlæg!$F$3:$G$8,2,FALSE),1)</f>
        <v>0</v>
      </c>
      <c r="T167" s="193">
        <f t="shared" si="50"/>
        <v>0</v>
      </c>
      <c r="U167" s="191">
        <f>O167*IFERROR(VLOOKUP(A167,[1]Tørstofindhold!A$2:B$24,2,FALSE),0)</f>
        <v>0</v>
      </c>
      <c r="V167" s="192">
        <f>IF(D167=År1,P167,SUM(O167,P167))*IFERROR(VLOOKUP(A167,[1]Tørstofindhold!A$2:B$24,2,FALSE),0)</f>
        <v>0</v>
      </c>
      <c r="W167" s="192">
        <f>J167*IFERROR(VLOOKUP(A167,[1]Tørstofindhold!A$2:B$24,2,FALSE),0)</f>
        <v>0</v>
      </c>
      <c r="X167" s="193">
        <f t="shared" si="51"/>
        <v>0</v>
      </c>
      <c r="Y167" s="171">
        <f t="shared" si="43"/>
        <v>0</v>
      </c>
      <c r="Z167" s="103">
        <f t="shared" si="44"/>
        <v>1</v>
      </c>
    </row>
    <row r="168" spans="1:26" x14ac:dyDescent="0.25">
      <c r="A168" s="194" t="s">
        <v>12</v>
      </c>
      <c r="B168" s="194"/>
      <c r="C168" s="194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4">
        <f t="shared" si="47"/>
        <v>2019</v>
      </c>
      <c r="E168" s="192" t="s">
        <v>24</v>
      </c>
      <c r="F168" s="195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116414.7916544996</v>
      </c>
      <c r="G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2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5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4">
        <f t="shared" si="48"/>
        <v>14492.735557536857</v>
      </c>
      <c r="O168" s="195">
        <f t="shared" si="39"/>
        <v>0</v>
      </c>
      <c r="P168" s="205">
        <f t="shared" si="49"/>
        <v>0</v>
      </c>
      <c r="Q168" s="192">
        <f>IFERROR(VLOOKUP(A168,[1]Energiindhold!$A$2:$C$11,3,FALSE),IFERROR(VLOOKUP(A168,[1]Biogasudbytte!$A$2:$B$18,2,FALSE)*[1]Energiindhold!$C$10,0))*O168</f>
        <v>0</v>
      </c>
      <c r="R168" s="192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2">
        <f>IFERROR(VLOOKUP(A168,[1]Biogasudbytte!$A$2:$B$18,2,FALSE)*[1]Energiindhold!$C$10,0)*J168*IFERROR(VLOOKUP(A168,Biogasanlæg!$F$3:$G$8,2,FALSE),1)</f>
        <v>0</v>
      </c>
      <c r="T168" s="193">
        <f t="shared" si="50"/>
        <v>0</v>
      </c>
      <c r="U168" s="191">
        <f>O168*IFERROR(VLOOKUP(A168,[1]Tørstofindhold!A$2:B$24,2,FALSE),0)</f>
        <v>0</v>
      </c>
      <c r="V168" s="192">
        <f>IF(D168=År1,P168,SUM(O168,P168))*IFERROR(VLOOKUP(A168,[1]Tørstofindhold!A$2:B$24,2,FALSE),0)</f>
        <v>0</v>
      </c>
      <c r="W168" s="192">
        <f>J168*IFERROR(VLOOKUP(A168,[1]Tørstofindhold!A$2:B$24,2,FALSE),0)</f>
        <v>0</v>
      </c>
      <c r="X168" s="193">
        <f t="shared" si="51"/>
        <v>0</v>
      </c>
      <c r="Y168" s="171">
        <f t="shared" si="43"/>
        <v>0</v>
      </c>
      <c r="Z168" s="103">
        <f t="shared" si="44"/>
        <v>1</v>
      </c>
    </row>
    <row r="169" spans="1:26" x14ac:dyDescent="0.25">
      <c r="A169" s="194" t="s">
        <v>48</v>
      </c>
      <c r="B169" s="194" t="s">
        <v>229</v>
      </c>
      <c r="C169" s="194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4">
        <f t="shared" si="47"/>
        <v>2019</v>
      </c>
      <c r="E169" s="192" t="s">
        <v>24</v>
      </c>
      <c r="F169" s="195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2275797.9689121391</v>
      </c>
      <c r="G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2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5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4">
        <f t="shared" si="48"/>
        <v>1309065.6209408126</v>
      </c>
      <c r="O169" s="195">
        <f t="shared" si="39"/>
        <v>1309065.6209408126</v>
      </c>
      <c r="P169" s="205">
        <f t="shared" si="49"/>
        <v>945.81467090137289</v>
      </c>
      <c r="Q169" s="192">
        <f>IFERROR(VLOOKUP(A169,[1]Energiindhold!$A$2:$C$11,3,FALSE),IFERROR(VLOOKUP(A169,[1]Biogasudbytte!$A$2:$B$18,2,FALSE)*[1]Energiindhold!$C$10,0))*O169</f>
        <v>4.4833664825353523</v>
      </c>
      <c r="R169" s="192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2">
        <f>IFERROR(VLOOKUP(A169,[1]Biogasudbytte!$A$2:$B$18,2,FALSE)*[1]Energiindhold!$C$10,0)*J169*IFERROR(VLOOKUP(A169,Biogasanlæg!$F$3:$G$8,2,FALSE),1)</f>
        <v>3.2392828337832764E-3</v>
      </c>
      <c r="T169" s="193">
        <f t="shared" si="50"/>
        <v>0</v>
      </c>
      <c r="U169" s="191">
        <f>O169*IFERROR(VLOOKUP(A169,[1]Tørstofindhold!A$2:B$24,2,FALSE),0)</f>
        <v>405810.34249165189</v>
      </c>
      <c r="V169" s="192">
        <f>IF(D169=År1,P169,SUM(O169,P169))*IFERROR(VLOOKUP(A169,[1]Tørstofindhold!A$2:B$24,2,FALSE),0)</f>
        <v>293.20254797942562</v>
      </c>
      <c r="W169" s="192">
        <f>J169*IFERROR(VLOOKUP(A169,[1]Tørstofindhold!A$2:B$24,2,FALSE),0)</f>
        <v>293.20254797942562</v>
      </c>
      <c r="X169" s="193">
        <f t="shared" si="51"/>
        <v>0</v>
      </c>
      <c r="Y169" s="171">
        <f t="shared" si="43"/>
        <v>0</v>
      </c>
      <c r="Z169" s="103">
        <f t="shared" si="44"/>
        <v>1</v>
      </c>
    </row>
    <row r="170" spans="1:26" x14ac:dyDescent="0.25">
      <c r="A170" s="194" t="s">
        <v>116</v>
      </c>
      <c r="B170" s="194"/>
      <c r="C170" s="194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4">
        <f t="shared" si="47"/>
        <v>2019</v>
      </c>
      <c r="E170" s="192" t="s">
        <v>24</v>
      </c>
      <c r="F170" s="195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2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5" t="e">
        <f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#REF!</v>
      </c>
      <c r="L170" s="195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4" t="e">
        <f t="shared" si="48"/>
        <v>#REF!</v>
      </c>
      <c r="O170" s="195">
        <f t="shared" si="39"/>
        <v>0</v>
      </c>
      <c r="P170" s="205">
        <f t="shared" si="49"/>
        <v>0</v>
      </c>
      <c r="Q170" s="192">
        <f>IFERROR(VLOOKUP(A170,[1]Energiindhold!$A$2:$C$11,3,FALSE),IFERROR(VLOOKUP(A170,[1]Biogasudbytte!$A$2:$B$18,2,FALSE)*[1]Energiindhold!$C$10,0))*O170</f>
        <v>0</v>
      </c>
      <c r="R170" s="192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2">
        <f>IFERROR(VLOOKUP(A170,[1]Biogasudbytte!$A$2:$B$18,2,FALSE)*[1]Energiindhold!$C$10,0)*J170*IFERROR(VLOOKUP(A170,Biogasanlæg!$F$3:$G$8,2,FALSE),1)</f>
        <v>0</v>
      </c>
      <c r="T170" s="193">
        <f t="shared" si="50"/>
        <v>0</v>
      </c>
      <c r="U170" s="191">
        <f>O170*IFERROR(VLOOKUP(A170,[1]Tørstofindhold!A$2:B$24,2,FALSE),0)</f>
        <v>0</v>
      </c>
      <c r="V170" s="192">
        <f>IF(D170=År1,P170,SUM(O170,P170))*IFERROR(VLOOKUP(A170,[1]Tørstofindhold!A$2:B$24,2,FALSE),0)</f>
        <v>0</v>
      </c>
      <c r="W170" s="192">
        <f>J170*IFERROR(VLOOKUP(A170,[1]Tørstofindhold!A$2:B$24,2,FALSE),0)</f>
        <v>0</v>
      </c>
      <c r="X170" s="193">
        <f t="shared" si="51"/>
        <v>0</v>
      </c>
      <c r="Y170" s="171" t="e">
        <f t="shared" si="43"/>
        <v>#REF!</v>
      </c>
      <c r="Z170" s="103" t="e">
        <f t="shared" si="44"/>
        <v>#REF!</v>
      </c>
    </row>
    <row r="171" spans="1:26" x14ac:dyDescent="0.25">
      <c r="A171" s="194" t="s">
        <v>137</v>
      </c>
      <c r="B171" s="194" t="s">
        <v>224</v>
      </c>
      <c r="C171" s="194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4">
        <f t="shared" si="47"/>
        <v>2019</v>
      </c>
      <c r="E171" s="192" t="s">
        <v>24</v>
      </c>
      <c r="F171" s="195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925084.21922943438</v>
      </c>
      <c r="G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2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422965.94308870414</v>
      </c>
      <c r="L171" s="195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4">
        <f t="shared" si="48"/>
        <v>215473.21629047208</v>
      </c>
      <c r="O171" s="195">
        <f t="shared" si="39"/>
        <v>215473.21629047208</v>
      </c>
      <c r="P171" s="205">
        <f t="shared" si="49"/>
        <v>286645.05985025823</v>
      </c>
      <c r="Q171" s="192">
        <f>IFERROR(VLOOKUP(A171,[1]Energiindhold!$A$2:$C$11,3,FALSE),IFERROR(VLOOKUP(A171,[1]Biogasudbytte!$A$2:$B$18,2,FALSE)*[1]Energiindhold!$C$10,0))*O171</f>
        <v>0.10907038735407407</v>
      </c>
      <c r="R171" s="192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2">
        <f>IFERROR(VLOOKUP(A171,[1]Biogasudbytte!$A$2:$B$18,2,FALSE)*[1]Energiindhold!$C$10,0)*J171*IFERROR(VLOOKUP(A171,Biogasanlæg!$F$3:$G$8,2,FALSE),1)</f>
        <v>0.14509686284560222</v>
      </c>
      <c r="T171" s="193">
        <f t="shared" si="50"/>
        <v>0</v>
      </c>
      <c r="U171" s="191">
        <f>O171*IFERROR(VLOOKUP(A171,[1]Tørstofindhold!A$2:B$24,2,FALSE),0)</f>
        <v>16375.964438075878</v>
      </c>
      <c r="V171" s="192">
        <f>IF(D171=År1,P171,SUM(O171,P171))*IFERROR(VLOOKUP(A171,[1]Tørstofindhold!A$2:B$24,2,FALSE),0)</f>
        <v>21785.024548619625</v>
      </c>
      <c r="W171" s="192">
        <f>J171*IFERROR(VLOOKUP(A171,[1]Tørstofindhold!A$2:B$24,2,FALSE),0)</f>
        <v>21785.024548619625</v>
      </c>
      <c r="X171" s="193">
        <f t="shared" si="51"/>
        <v>0</v>
      </c>
      <c r="Y171" s="171">
        <f t="shared" si="43"/>
        <v>0</v>
      </c>
      <c r="Z171" s="103">
        <f t="shared" si="44"/>
        <v>1</v>
      </c>
    </row>
    <row r="172" spans="1:26" x14ac:dyDescent="0.25">
      <c r="A172" s="194" t="s">
        <v>109</v>
      </c>
      <c r="B172" s="194"/>
      <c r="C172" s="194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4">
        <f t="shared" si="47"/>
        <v>2019</v>
      </c>
      <c r="E172" s="192" t="s">
        <v>24</v>
      </c>
      <c r="F172" s="195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115489.08079619991</v>
      </c>
      <c r="G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2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5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4">
        <f t="shared" si="48"/>
        <v>-70551.412916692323</v>
      </c>
      <c r="O172" s="195">
        <f t="shared" si="39"/>
        <v>0</v>
      </c>
      <c r="P172" s="205">
        <f t="shared" si="49"/>
        <v>0</v>
      </c>
      <c r="Q172" s="192">
        <f>IFERROR(VLOOKUP(A172,[1]Energiindhold!$A$2:$C$11,3,FALSE),IFERROR(VLOOKUP(A172,[1]Biogasudbytte!$A$2:$B$18,2,FALSE)*[1]Energiindhold!$C$10,0))*O172</f>
        <v>0</v>
      </c>
      <c r="R172" s="192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2">
        <f>IFERROR(VLOOKUP(A172,[1]Biogasudbytte!$A$2:$B$18,2,FALSE)*[1]Energiindhold!$C$10,0)*J172*IFERROR(VLOOKUP(A172,Biogasanlæg!$F$3:$G$8,2,FALSE),1)</f>
        <v>0</v>
      </c>
      <c r="T172" s="193">
        <f t="shared" si="50"/>
        <v>0</v>
      </c>
      <c r="U172" s="191">
        <f>O172*IFERROR(VLOOKUP(A172,[1]Tørstofindhold!A$2:B$24,2,FALSE),0)</f>
        <v>0</v>
      </c>
      <c r="V172" s="192">
        <f>IF(D172=År1,P172,SUM(O172,P172))*IFERROR(VLOOKUP(A172,[1]Tørstofindhold!A$2:B$24,2,FALSE),0)</f>
        <v>0</v>
      </c>
      <c r="W172" s="192">
        <f>J172*IFERROR(VLOOKUP(A172,[1]Tørstofindhold!A$2:B$24,2,FALSE),0)</f>
        <v>0</v>
      </c>
      <c r="X172" s="193">
        <f t="shared" si="51"/>
        <v>0</v>
      </c>
      <c r="Y172" s="171">
        <f t="shared" si="43"/>
        <v>0</v>
      </c>
      <c r="Z172" s="103">
        <f t="shared" si="44"/>
        <v>1</v>
      </c>
    </row>
    <row r="173" spans="1:26" x14ac:dyDescent="0.25">
      <c r="A173" s="192" t="s">
        <v>53</v>
      </c>
      <c r="B173" s="194" t="s">
        <v>226</v>
      </c>
      <c r="C173" s="194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4">
        <f t="shared" si="47"/>
        <v>2019</v>
      </c>
      <c r="E173" s="192" t="s">
        <v>24</v>
      </c>
      <c r="F173" s="195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366156.75807184458</v>
      </c>
      <c r="G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2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5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4">
        <f t="shared" si="48"/>
        <v>-343401.0681058818</v>
      </c>
      <c r="O173" s="195">
        <f t="shared" si="39"/>
        <v>0</v>
      </c>
      <c r="P173" s="205">
        <f t="shared" si="49"/>
        <v>15204.565068438918</v>
      </c>
      <c r="Q173" s="192">
        <f>IFERROR(VLOOKUP(A173,[1]Energiindhold!$A$2:$C$11,3,FALSE),IFERROR(VLOOKUP(A173,[1]Biogasudbytte!$A$2:$B$18,2,FALSE)*[1]Energiindhold!$C$10,0))*O173</f>
        <v>0</v>
      </c>
      <c r="R173" s="192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2">
        <f>IFERROR(VLOOKUP(A173,[1]Biogasudbytte!$A$2:$B$18,2,FALSE)*[1]Energiindhold!$C$10,0)*J173*IFERROR(VLOOKUP(A173,Biogasanlæg!$F$3:$G$8,2,FALSE),1)</f>
        <v>5.4584388595695719E-2</v>
      </c>
      <c r="T173" s="193">
        <f t="shared" si="50"/>
        <v>0</v>
      </c>
      <c r="U173" s="191">
        <f>O173*IFERROR(VLOOKUP(A173,[1]Tørstofindhold!A$2:B$24,2,FALSE),0)</f>
        <v>0</v>
      </c>
      <c r="V173" s="192">
        <f>IF(D173=År1,P173,SUM(O173,P173))*IFERROR(VLOOKUP(A173,[1]Tørstofindhold!A$2:B$24,2,FALSE),0)</f>
        <v>4561.3695205316753</v>
      </c>
      <c r="W173" s="192">
        <f>J173*IFERROR(VLOOKUP(A173,[1]Tørstofindhold!A$2:B$24,2,FALSE),0)</f>
        <v>4561.3695205316753</v>
      </c>
      <c r="X173" s="193">
        <f t="shared" si="51"/>
        <v>0</v>
      </c>
      <c r="Y173" s="171">
        <f t="shared" si="43"/>
        <v>0</v>
      </c>
      <c r="Z173" s="103">
        <f t="shared" si="44"/>
        <v>1</v>
      </c>
    </row>
    <row r="174" spans="1:26" x14ac:dyDescent="0.25">
      <c r="A174" s="194" t="s">
        <v>117</v>
      </c>
      <c r="B174" s="194"/>
      <c r="C174" s="194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4">
        <f t="shared" si="47"/>
        <v>2019</v>
      </c>
      <c r="E174" s="192" t="s">
        <v>24</v>
      </c>
      <c r="F174" s="195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222833.98833453824</v>
      </c>
      <c r="G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2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5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4">
        <f t="shared" si="48"/>
        <v>-166933.87454175885</v>
      </c>
      <c r="O174" s="195">
        <f t="shared" si="39"/>
        <v>0</v>
      </c>
      <c r="P174" s="205">
        <f t="shared" si="49"/>
        <v>0</v>
      </c>
      <c r="Q174" s="192">
        <f>IFERROR(VLOOKUP(A174,[1]Energiindhold!$A$2:$C$11,3,FALSE),IFERROR(VLOOKUP(A174,[1]Biogasudbytte!$A$2:$B$18,2,FALSE)*[1]Energiindhold!$C$10,0))*O174</f>
        <v>0</v>
      </c>
      <c r="R174" s="192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2">
        <f>IFERROR(VLOOKUP(A174,[1]Biogasudbytte!$A$2:$B$18,2,FALSE)*[1]Energiindhold!$C$10,0)*J174*IFERROR(VLOOKUP(A174,Biogasanlæg!$F$3:$G$8,2,FALSE),1)</f>
        <v>0</v>
      </c>
      <c r="T174" s="193">
        <f t="shared" si="50"/>
        <v>0</v>
      </c>
      <c r="U174" s="191">
        <f>O174*IFERROR(VLOOKUP(A174,[1]Tørstofindhold!A$2:B$24,2,FALSE),0)</f>
        <v>0</v>
      </c>
      <c r="V174" s="192">
        <f>IF(D174=År1,P174,SUM(O174,P174))*IFERROR(VLOOKUP(A174,[1]Tørstofindhold!A$2:B$24,2,FALSE),0)</f>
        <v>0</v>
      </c>
      <c r="W174" s="192">
        <f>J174*IFERROR(VLOOKUP(A174,[1]Tørstofindhold!A$2:B$24,2,FALSE),0)</f>
        <v>0</v>
      </c>
      <c r="X174" s="193">
        <f t="shared" si="51"/>
        <v>0</v>
      </c>
      <c r="Y174" s="171">
        <f t="shared" si="43"/>
        <v>0</v>
      </c>
      <c r="Z174" s="103">
        <f t="shared" si="44"/>
        <v>1</v>
      </c>
    </row>
    <row r="175" spans="1:26" x14ac:dyDescent="0.25">
      <c r="A175" s="194" t="s">
        <v>107</v>
      </c>
      <c r="B175" s="194" t="s">
        <v>228</v>
      </c>
      <c r="C175" s="194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4">
        <f t="shared" si="47"/>
        <v>2019</v>
      </c>
      <c r="E175" s="192" t="s">
        <v>24</v>
      </c>
      <c r="F175" s="195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1.1976865502381491</v>
      </c>
      <c r="G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2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5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4">
        <f t="shared" si="48"/>
        <v>1.1976865502381491</v>
      </c>
      <c r="O175" s="195">
        <f t="shared" si="39"/>
        <v>1.1976865502381491</v>
      </c>
      <c r="P175" s="205">
        <f t="shared" si="49"/>
        <v>0</v>
      </c>
      <c r="Q175" s="192">
        <f>IFERROR(VLOOKUP(A175,[1]Energiindhold!$A$2:$C$11,3,FALSE),IFERROR(VLOOKUP(A175,[1]Biogasudbytte!$A$2:$B$18,2,FALSE)*[1]Energiindhold!$C$10,0))*O175</f>
        <v>1.0749236788387388E-6</v>
      </c>
      <c r="R175" s="192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2">
        <f>IFERROR(VLOOKUP(A175,[1]Biogasudbytte!$A$2:$B$18,2,FALSE)*[1]Energiindhold!$C$10,0)*J175*IFERROR(VLOOKUP(A175,Biogasanlæg!$F$3:$G$8,2,FALSE),1)</f>
        <v>0</v>
      </c>
      <c r="T175" s="193">
        <f t="shared" si="50"/>
        <v>0</v>
      </c>
      <c r="U175" s="191">
        <f>O175*IFERROR(VLOOKUP(A175,[1]Tørstofindhold!A$2:B$24,2,FALSE),0)</f>
        <v>0.17965298253572234</v>
      </c>
      <c r="V175" s="192">
        <f>IF(D175=År1,P175,SUM(O175,P175))*IFERROR(VLOOKUP(A175,[1]Tørstofindhold!A$2:B$24,2,FALSE),0)</f>
        <v>0</v>
      </c>
      <c r="W175" s="192">
        <f>J175*IFERROR(VLOOKUP(A175,[1]Tørstofindhold!A$2:B$24,2,FALSE),0)</f>
        <v>0</v>
      </c>
      <c r="X175" s="193">
        <f t="shared" si="51"/>
        <v>0</v>
      </c>
      <c r="Y175" s="171">
        <f t="shared" si="43"/>
        <v>0</v>
      </c>
      <c r="Z175" s="103">
        <f t="shared" si="44"/>
        <v>1</v>
      </c>
    </row>
    <row r="176" spans="1:26" x14ac:dyDescent="0.25">
      <c r="A176" s="194" t="s">
        <v>14</v>
      </c>
      <c r="B176" s="194"/>
      <c r="C176" s="194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4">
        <f t="shared" si="47"/>
        <v>2019</v>
      </c>
      <c r="E176" s="192" t="s">
        <v>24</v>
      </c>
      <c r="F176" s="195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7577.0634215631153</v>
      </c>
      <c r="G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2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5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4">
        <f t="shared" si="48"/>
        <v>-41950.335705993944</v>
      </c>
      <c r="O176" s="195">
        <f t="shared" si="39"/>
        <v>0</v>
      </c>
      <c r="P176" s="205">
        <f t="shared" si="49"/>
        <v>0</v>
      </c>
      <c r="Q176" s="192">
        <f>IFERROR(VLOOKUP(A176,[1]Energiindhold!$A$2:$C$11,3,FALSE),IFERROR(VLOOKUP(A176,[1]Biogasudbytte!$A$2:$B$18,2,FALSE)*[1]Energiindhold!$C$10,0))*O176</f>
        <v>0</v>
      </c>
      <c r="R176" s="192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2">
        <f>IFERROR(VLOOKUP(A176,[1]Biogasudbytte!$A$2:$B$18,2,FALSE)*[1]Energiindhold!$C$10,0)*J176*IFERROR(VLOOKUP(A176,Biogasanlæg!$F$3:$G$8,2,FALSE),1)</f>
        <v>0</v>
      </c>
      <c r="T176" s="193">
        <f t="shared" si="50"/>
        <v>0</v>
      </c>
      <c r="U176" s="191">
        <f>O176*IFERROR(VLOOKUP(A176,[1]Tørstofindhold!A$2:B$24,2,FALSE),0)</f>
        <v>0</v>
      </c>
      <c r="V176" s="192">
        <f>IF(D176=År1,P176,SUM(O176,P176))*IFERROR(VLOOKUP(A176,[1]Tørstofindhold!A$2:B$24,2,FALSE),0)</f>
        <v>0</v>
      </c>
      <c r="W176" s="192">
        <f>J176*IFERROR(VLOOKUP(A176,[1]Tørstofindhold!A$2:B$24,2,FALSE),0)</f>
        <v>0</v>
      </c>
      <c r="X176" s="193">
        <f t="shared" si="51"/>
        <v>0</v>
      </c>
      <c r="Y176" s="171">
        <f t="shared" si="43"/>
        <v>0</v>
      </c>
      <c r="Z176" s="103">
        <f t="shared" si="44"/>
        <v>1</v>
      </c>
    </row>
    <row r="177" spans="1:26" x14ac:dyDescent="0.25">
      <c r="A177" s="194" t="s">
        <v>55</v>
      </c>
      <c r="B177" s="194"/>
      <c r="C177" s="194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4">
        <f t="shared" si="47"/>
        <v>2019</v>
      </c>
      <c r="E177" s="192" t="s">
        <v>24</v>
      </c>
      <c r="F177" s="195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396057.87190930446</v>
      </c>
      <c r="G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2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5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4">
        <f t="shared" si="48"/>
        <v>396057.87190930446</v>
      </c>
      <c r="O177" s="195">
        <f t="shared" si="39"/>
        <v>0</v>
      </c>
      <c r="P177" s="205">
        <f t="shared" si="49"/>
        <v>0</v>
      </c>
      <c r="Q177" s="192">
        <f>IFERROR(VLOOKUP(A177,[1]Energiindhold!$A$2:$C$11,3,FALSE),IFERROR(VLOOKUP(A177,[1]Biogasudbytte!$A$2:$B$18,2,FALSE)*[1]Energiindhold!$C$10,0))*O177</f>
        <v>0</v>
      </c>
      <c r="R177" s="192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2">
        <f>IFERROR(VLOOKUP(A177,[1]Biogasudbytte!$A$2:$B$18,2,FALSE)*[1]Energiindhold!$C$10,0)*J177*IFERROR(VLOOKUP(A177,Biogasanlæg!$F$3:$G$8,2,FALSE),1)</f>
        <v>0</v>
      </c>
      <c r="T177" s="193">
        <f t="shared" si="50"/>
        <v>0</v>
      </c>
      <c r="U177" s="191">
        <f>O177*IFERROR(VLOOKUP(A177,[1]Tørstofindhold!A$2:B$24,2,FALSE),0)</f>
        <v>0</v>
      </c>
      <c r="V177" s="192">
        <f>IF(D177=År1,P177,SUM(O177,P177))*IFERROR(VLOOKUP(A177,[1]Tørstofindhold!A$2:B$24,2,FALSE),0)</f>
        <v>0</v>
      </c>
      <c r="W177" s="192">
        <f>J177*IFERROR(VLOOKUP(A177,[1]Tørstofindhold!A$2:B$24,2,FALSE),0)</f>
        <v>0</v>
      </c>
      <c r="X177" s="193">
        <f t="shared" si="51"/>
        <v>0</v>
      </c>
      <c r="Y177" s="171">
        <f t="shared" si="43"/>
        <v>0</v>
      </c>
      <c r="Z177" s="103">
        <f t="shared" si="44"/>
        <v>1</v>
      </c>
    </row>
    <row r="178" spans="1:26" x14ac:dyDescent="0.25">
      <c r="A178" s="194" t="s">
        <v>96</v>
      </c>
      <c r="B178" s="194" t="s">
        <v>227</v>
      </c>
      <c r="C178" s="194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4">
        <f t="shared" si="47"/>
        <v>2019</v>
      </c>
      <c r="E178" s="192" t="s">
        <v>24</v>
      </c>
      <c r="F178" s="195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37577.319945022478</v>
      </c>
      <c r="G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2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5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4">
        <f t="shared" si="48"/>
        <v>0</v>
      </c>
      <c r="O178" s="195">
        <f t="shared" si="39"/>
        <v>0</v>
      </c>
      <c r="P178" s="205">
        <f t="shared" si="49"/>
        <v>37577.319945022478</v>
      </c>
      <c r="Q178" s="192">
        <f>IFERROR(VLOOKUP(A178,[1]Energiindhold!$A$2:$C$11,3,FALSE),IFERROR(VLOOKUP(A178,[1]Biogasudbytte!$A$2:$B$18,2,FALSE)*[1]Energiindhold!$C$10,0))*O178</f>
        <v>0</v>
      </c>
      <c r="R178" s="192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2">
        <f>IFERROR(VLOOKUP(A178,[1]Biogasudbytte!$A$2:$B$18,2,FALSE)*[1]Energiindhold!$C$10,0)*J178*IFERROR(VLOOKUP(A178,Biogasanlæg!$F$3:$G$8,2,FALSE),1)</f>
        <v>0</v>
      </c>
      <c r="T178" s="193">
        <f t="shared" si="50"/>
        <v>0.69142268698841347</v>
      </c>
      <c r="U178" s="191">
        <f>O178*IFERROR(VLOOKUP(A178,[1]Tørstofindhold!A$2:B$24,2,FALSE),0)</f>
        <v>0</v>
      </c>
      <c r="V178" s="192">
        <f>IF(D178=År1,P178,SUM(O178,P178))*IFERROR(VLOOKUP(A178,[1]Tørstofindhold!A$2:B$24,2,FALSE),0)</f>
        <v>15594.58777718433</v>
      </c>
      <c r="W178" s="192">
        <f>J178*IFERROR(VLOOKUP(A178,[1]Tørstofindhold!A$2:B$24,2,FALSE),0)</f>
        <v>0</v>
      </c>
      <c r="X178" s="193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x14ac:dyDescent="0.25">
      <c r="A179" s="194" t="s">
        <v>316</v>
      </c>
      <c r="B179" s="194" t="s">
        <v>322</v>
      </c>
      <c r="C179" s="194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4">
        <f t="shared" si="47"/>
        <v>2019</v>
      </c>
      <c r="E179" s="192" t="s">
        <v>24</v>
      </c>
      <c r="F179" s="195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2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5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4">
        <f t="shared" ref="N179:N180" si="52">F179-SUM(G179:M179)</f>
        <v>0</v>
      </c>
      <c r="O179" s="195">
        <f t="shared" si="39"/>
        <v>0</v>
      </c>
      <c r="P179" s="205">
        <f t="shared" ref="P179:P180" si="53">SUM(J179,L179)</f>
        <v>0</v>
      </c>
      <c r="Q179" s="192">
        <f>IFERROR(VLOOKUP(A179,[1]Energiindhold!$A$2:$C$11,3,FALSE),IFERROR(VLOOKUP(A179,[1]Biogasudbytte!$A$2:$B$18,2,FALSE)*[1]Energiindhold!$C$10,0))*O179</f>
        <v>0</v>
      </c>
      <c r="R179" s="192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2">
        <f>IFERROR(VLOOKUP(A179,[1]Biogasudbytte!$A$2:$B$18,2,FALSE)*[1]Energiindhold!$C$10,0)*J179*IFERROR(VLOOKUP(A179,Biogasanlæg!$F$3:$G$8,2,FALSE),1)</f>
        <v>0</v>
      </c>
      <c r="T179" s="193">
        <f t="shared" ref="T179:T180" si="54">R179-S179</f>
        <v>0</v>
      </c>
      <c r="U179" s="191">
        <f>O179*IFERROR(VLOOKUP(A179,[1]Tørstofindhold!A$2:B$24,2,FALSE),0)</f>
        <v>0</v>
      </c>
      <c r="V179" s="192">
        <f>IF(D179=År1,P179,SUM(O179,P179))*IFERROR(VLOOKUP(A179,[1]Tørstofindhold!A$2:B$24,2,FALSE),0)</f>
        <v>0</v>
      </c>
      <c r="W179" s="192">
        <f>J179*IFERROR(VLOOKUP(A179,[1]Tørstofindhold!A$2:B$24,2,FALSE),0)</f>
        <v>0</v>
      </c>
      <c r="X179" s="193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x14ac:dyDescent="0.25">
      <c r="A180" s="194" t="s">
        <v>317</v>
      </c>
      <c r="B180" s="194" t="s">
        <v>322</v>
      </c>
      <c r="C180" s="194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4">
        <f t="shared" si="47"/>
        <v>2019</v>
      </c>
      <c r="E180" s="192" t="s">
        <v>24</v>
      </c>
      <c r="F180" s="195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2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5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4">
        <f t="shared" si="52"/>
        <v>0</v>
      </c>
      <c r="O180" s="195">
        <f t="shared" si="39"/>
        <v>0</v>
      </c>
      <c r="P180" s="205">
        <f t="shared" si="53"/>
        <v>0</v>
      </c>
      <c r="Q180" s="192">
        <f>IFERROR(VLOOKUP(A180,[1]Energiindhold!$A$2:$C$11,3,FALSE),IFERROR(VLOOKUP(A180,[1]Biogasudbytte!$A$2:$B$18,2,FALSE)*[1]Energiindhold!$C$10,0))*O180</f>
        <v>0</v>
      </c>
      <c r="R180" s="192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2">
        <f>IFERROR(VLOOKUP(A180,[1]Biogasudbytte!$A$2:$B$18,2,FALSE)*[1]Energiindhold!$C$10,0)*J180*IFERROR(VLOOKUP(A180,Biogasanlæg!$F$3:$G$8,2,FALSE),1)</f>
        <v>0</v>
      </c>
      <c r="T180" s="193">
        <f t="shared" si="54"/>
        <v>0</v>
      </c>
      <c r="U180" s="191">
        <f>O180*IFERROR(VLOOKUP(A180,[1]Tørstofindhold!A$2:B$24,2,FALSE),0)</f>
        <v>0</v>
      </c>
      <c r="V180" s="192">
        <f>IF(D180=År1,P180,SUM(O180,P180))*IFERROR(VLOOKUP(A180,[1]Tørstofindhold!A$2:B$24,2,FALSE),0)</f>
        <v>0</v>
      </c>
      <c r="W180" s="192">
        <f>J180*IFERROR(VLOOKUP(A180,[1]Tørstofindhold!A$2:B$24,2,FALSE),0)</f>
        <v>0</v>
      </c>
      <c r="X180" s="193">
        <f t="shared" si="55"/>
        <v>0</v>
      </c>
      <c r="Y180" s="171">
        <f t="shared" si="43"/>
        <v>0</v>
      </c>
      <c r="Z180" s="103">
        <f t="shared" si="44"/>
        <v>0</v>
      </c>
    </row>
    <row r="181" spans="1:26" x14ac:dyDescent="0.25">
      <c r="A181" s="194" t="s">
        <v>118</v>
      </c>
      <c r="B181" s="194"/>
      <c r="C181" s="194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4">
        <f t="shared" si="47"/>
        <v>2019</v>
      </c>
      <c r="E181" s="192" t="s">
        <v>24</v>
      </c>
      <c r="F181" s="195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346998.01962126989</v>
      </c>
      <c r="G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2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5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4">
        <f t="shared" si="48"/>
        <v>346998.01962126989</v>
      </c>
      <c r="O181" s="195">
        <f t="shared" si="39"/>
        <v>0</v>
      </c>
      <c r="P181" s="205">
        <f t="shared" si="49"/>
        <v>0</v>
      </c>
      <c r="Q181" s="192">
        <f>IFERROR(VLOOKUP(A181,[1]Energiindhold!$A$2:$C$11,3,FALSE),IFERROR(VLOOKUP(A181,[1]Biogasudbytte!$A$2:$B$18,2,FALSE)*[1]Energiindhold!$C$10,0))*O181</f>
        <v>0</v>
      </c>
      <c r="R181" s="192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2">
        <f>IFERROR(VLOOKUP(A181,[1]Biogasudbytte!$A$2:$B$18,2,FALSE)*[1]Energiindhold!$C$10,0)*J181*IFERROR(VLOOKUP(A181,Biogasanlæg!$F$3:$G$8,2,FALSE),1)</f>
        <v>0</v>
      </c>
      <c r="T181" s="193">
        <f t="shared" si="50"/>
        <v>0</v>
      </c>
      <c r="U181" s="191">
        <f>O181*IFERROR(VLOOKUP(A181,[1]Tørstofindhold!A$2:B$24,2,FALSE),0)</f>
        <v>0</v>
      </c>
      <c r="V181" s="192">
        <f>IF(D181=År1,P181,SUM(O181,P181))*IFERROR(VLOOKUP(A181,[1]Tørstofindhold!A$2:B$24,2,FALSE),0)</f>
        <v>0</v>
      </c>
      <c r="W181" s="192">
        <f>J181*IFERROR(VLOOKUP(A181,[1]Tørstofindhold!A$2:B$24,2,FALSE),0)</f>
        <v>0</v>
      </c>
      <c r="X181" s="193">
        <f t="shared" si="51"/>
        <v>0</v>
      </c>
      <c r="Y181" s="171">
        <f t="shared" si="43"/>
        <v>0</v>
      </c>
      <c r="Z181" s="103">
        <f t="shared" si="44"/>
        <v>1</v>
      </c>
    </row>
    <row r="182" spans="1:26" x14ac:dyDescent="0.25">
      <c r="A182" s="192" t="s">
        <v>50</v>
      </c>
      <c r="B182" s="194"/>
      <c r="C182" s="194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4">
        <f t="shared" si="47"/>
        <v>2019</v>
      </c>
      <c r="E182" s="192" t="s">
        <v>24</v>
      </c>
      <c r="F182" s="195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193574.13238370849</v>
      </c>
      <c r="G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2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5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4">
        <f t="shared" si="48"/>
        <v>0</v>
      </c>
      <c r="O182" s="195">
        <f t="shared" si="39"/>
        <v>0</v>
      </c>
      <c r="P182" s="205">
        <f t="shared" si="49"/>
        <v>0</v>
      </c>
      <c r="Q182" s="192">
        <f>IFERROR(VLOOKUP(A182,[1]Energiindhold!$A$2:$C$11,3,FALSE),IFERROR(VLOOKUP(A182,[1]Biogasudbytte!$A$2:$B$18,2,FALSE)*[1]Energiindhold!$C$10,0))*O182</f>
        <v>0</v>
      </c>
      <c r="R182" s="192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2">
        <f>IFERROR(VLOOKUP(A182,[1]Biogasudbytte!$A$2:$B$18,2,FALSE)*[1]Energiindhold!$C$10,0)*J182*IFERROR(VLOOKUP(A182,Biogasanlæg!$F$3:$G$8,2,FALSE),1)</f>
        <v>0</v>
      </c>
      <c r="T182" s="193">
        <f t="shared" si="50"/>
        <v>0</v>
      </c>
      <c r="U182" s="191">
        <f>O182*IFERROR(VLOOKUP(A182,[1]Tørstofindhold!A$2:B$24,2,FALSE),0)</f>
        <v>0</v>
      </c>
      <c r="V182" s="192">
        <f>IF(D182=År1,P182,SUM(O182,P182))*IFERROR(VLOOKUP(A182,[1]Tørstofindhold!A$2:B$24,2,FALSE),0)</f>
        <v>0</v>
      </c>
      <c r="W182" s="192">
        <f>J182*IFERROR(VLOOKUP(A182,[1]Tørstofindhold!A$2:B$24,2,FALSE),0)</f>
        <v>0</v>
      </c>
      <c r="X182" s="193">
        <f t="shared" si="51"/>
        <v>0</v>
      </c>
      <c r="Y182" s="171">
        <f t="shared" si="43"/>
        <v>0</v>
      </c>
      <c r="Z182" s="103">
        <f t="shared" si="44"/>
        <v>0</v>
      </c>
    </row>
    <row r="183" spans="1:26" x14ac:dyDescent="0.25">
      <c r="A183" s="192" t="s">
        <v>240</v>
      </c>
      <c r="B183" s="194"/>
      <c r="C183" s="194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4">
        <f t="shared" si="47"/>
        <v>2019</v>
      </c>
      <c r="E183" s="192" t="s">
        <v>24</v>
      </c>
      <c r="F183" s="195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96787.066191854246</v>
      </c>
      <c r="G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2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5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4">
        <f t="shared" si="48"/>
        <v>70508.296689855866</v>
      </c>
      <c r="O183" s="195">
        <f t="shared" si="39"/>
        <v>0</v>
      </c>
      <c r="P183" s="205">
        <f t="shared" si="49"/>
        <v>0</v>
      </c>
      <c r="Q183" s="192">
        <f>IFERROR(VLOOKUP(A183,[1]Energiindhold!$A$2:$C$11,3,FALSE),IFERROR(VLOOKUP(A183,[1]Biogasudbytte!$A$2:$B$18,2,FALSE)*[1]Energiindhold!$C$10,0))*O183</f>
        <v>0</v>
      </c>
      <c r="R183" s="192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2">
        <f>IFERROR(VLOOKUP(A183,[1]Biogasudbytte!$A$2:$B$18,2,FALSE)*[1]Energiindhold!$C$10,0)*J183*IFERROR(VLOOKUP(A183,Biogasanlæg!$F$3:$G$8,2,FALSE),1)</f>
        <v>0</v>
      </c>
      <c r="T183" s="193">
        <f t="shared" si="50"/>
        <v>0</v>
      </c>
      <c r="U183" s="191">
        <f>O183*IFERROR(VLOOKUP(A183,[1]Tørstofindhold!A$2:B$24,2,FALSE),0)</f>
        <v>0</v>
      </c>
      <c r="V183" s="192">
        <f>IF(D183=År1,P183,SUM(O183,P183))*IFERROR(VLOOKUP(A183,[1]Tørstofindhold!A$2:B$24,2,FALSE),0)</f>
        <v>0</v>
      </c>
      <c r="W183" s="192">
        <f>J183*IFERROR(VLOOKUP(A183,[1]Tørstofindhold!A$2:B$24,2,FALSE),0)</f>
        <v>0</v>
      </c>
      <c r="X183" s="193">
        <f t="shared" si="51"/>
        <v>0</v>
      </c>
      <c r="Y183" s="171">
        <f t="shared" si="43"/>
        <v>0</v>
      </c>
      <c r="Z183" s="103">
        <f t="shared" si="44"/>
        <v>1</v>
      </c>
    </row>
    <row r="184" spans="1:26" x14ac:dyDescent="0.25">
      <c r="A184" s="192" t="s">
        <v>233</v>
      </c>
      <c r="B184" s="194" t="s">
        <v>233</v>
      </c>
      <c r="C184" s="194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4">
        <f t="shared" si="47"/>
        <v>2019</v>
      </c>
      <c r="E184" s="192" t="s">
        <v>24</v>
      </c>
      <c r="F184" s="195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61943.722362786721</v>
      </c>
      <c r="G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2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5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4">
        <f t="shared" si="48"/>
        <v>0</v>
      </c>
      <c r="O184" s="195">
        <f t="shared" si="39"/>
        <v>0</v>
      </c>
      <c r="P184" s="205">
        <f t="shared" si="49"/>
        <v>32210.735628649098</v>
      </c>
      <c r="Q184" s="192">
        <f>IFERROR(VLOOKUP(A184,[1]Energiindhold!$A$2:$C$11,3,FALSE),IFERROR(VLOOKUP(A184,[1]Biogasudbytte!$A$2:$B$18,2,FALSE)*[1]Energiindhold!$C$10,0))*O184</f>
        <v>0</v>
      </c>
      <c r="R184" s="192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92">
        <f>IFERROR(VLOOKUP(A184,[1]Biogasudbytte!$A$2:$B$18,2,FALSE)*[1]Energiindhold!$C$10,0)*J184*IFERROR(VLOOKUP(A184,Biogasanlæg!$F$3:$G$8,2,FALSE),1)</f>
        <v>0</v>
      </c>
      <c r="T184" s="193">
        <f t="shared" si="50"/>
        <v>1.1273757470027184</v>
      </c>
      <c r="U184" s="191">
        <f>O184*IFERROR(VLOOKUP(A184,[1]Tørstofindhold!A$2:B$24,2,FALSE),0)</f>
        <v>0</v>
      </c>
      <c r="V184" s="192">
        <f>IF(D184=År1,P184,SUM(O184,P184))*IFERROR(VLOOKUP(A184,[1]Tørstofindhold!A$2:B$24,2,FALSE),0)</f>
        <v>0</v>
      </c>
      <c r="W184" s="192">
        <f>J184*IFERROR(VLOOKUP(A184,[1]Tørstofindhold!A$2:B$24,2,FALSE),0)</f>
        <v>0</v>
      </c>
      <c r="X184" s="193">
        <f t="shared" si="51"/>
        <v>0</v>
      </c>
      <c r="Y184" s="171">
        <f t="shared" si="43"/>
        <v>0</v>
      </c>
      <c r="Z184" s="103">
        <f t="shared" si="44"/>
        <v>0</v>
      </c>
    </row>
    <row r="185" spans="1:26" x14ac:dyDescent="0.25">
      <c r="A185" s="192" t="s">
        <v>52</v>
      </c>
      <c r="B185" s="194" t="s">
        <v>226</v>
      </c>
      <c r="C185" s="194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4">
        <f t="shared" si="47"/>
        <v>2019</v>
      </c>
      <c r="E185" s="192" t="s">
        <v>24</v>
      </c>
      <c r="F185" s="195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2252973.7408705982</v>
      </c>
      <c r="G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2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5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4">
        <f t="shared" si="48"/>
        <v>2125183.9129647682</v>
      </c>
      <c r="O185" s="195">
        <f t="shared" si="39"/>
        <v>1656364.6415009145</v>
      </c>
      <c r="P185" s="205">
        <f t="shared" si="49"/>
        <v>24543.951075802775</v>
      </c>
      <c r="Q185" s="192">
        <f>IFERROR(VLOOKUP(A185,[1]Energiindhold!$A$2:$C$11,3,FALSE),IFERROR(VLOOKUP(A185,[1]Biogasudbytte!$A$2:$B$18,2,FALSE)*[1]Energiindhold!$C$10,0))*O185</f>
        <v>4.4954398916191423</v>
      </c>
      <c r="R185" s="192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2">
        <f>IFERROR(VLOOKUP(A185,[1]Biogasudbytte!$A$2:$B$18,2,FALSE)*[1]Energiindhold!$C$10,0)*J185*IFERROR(VLOOKUP(A185,Biogasanlæg!$F$3:$G$8,2,FALSE),1)</f>
        <v>6.6613264977771772E-2</v>
      </c>
      <c r="T185" s="193">
        <f t="shared" si="50"/>
        <v>0</v>
      </c>
      <c r="U185" s="191">
        <f>O185*IFERROR(VLOOKUP(A185,[1]Tørstofindhold!A$2:B$24,2,FALSE),0)</f>
        <v>331272.92830018292</v>
      </c>
      <c r="V185" s="192">
        <f>IF(D185=År1,P185,SUM(O185,P185))*IFERROR(VLOOKUP(A185,[1]Tørstofindhold!A$2:B$24,2,FALSE),0)</f>
        <v>4908.7902151605549</v>
      </c>
      <c r="W185" s="192">
        <f>J185*IFERROR(VLOOKUP(A185,[1]Tørstofindhold!A$2:B$24,2,FALSE),0)</f>
        <v>4908.7902151605549</v>
      </c>
      <c r="X185" s="193">
        <f t="shared" si="51"/>
        <v>0</v>
      </c>
      <c r="Y185" s="171">
        <f t="shared" si="43"/>
        <v>0</v>
      </c>
      <c r="Z185" s="103">
        <f t="shared" si="44"/>
        <v>1</v>
      </c>
    </row>
    <row r="186" spans="1:26" x14ac:dyDescent="0.25">
      <c r="A186" s="192" t="s">
        <v>122</v>
      </c>
      <c r="B186" s="194"/>
      <c r="C186" s="194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4">
        <f t="shared" si="47"/>
        <v>2019</v>
      </c>
      <c r="E186" s="192" t="s">
        <v>24</v>
      </c>
      <c r="F186" s="195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23179.475218292017</v>
      </c>
      <c r="G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2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5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4">
        <f t="shared" si="48"/>
        <v>23179.475218292017</v>
      </c>
      <c r="O186" s="195">
        <f t="shared" si="39"/>
        <v>0</v>
      </c>
      <c r="P186" s="205">
        <f t="shared" si="49"/>
        <v>0</v>
      </c>
      <c r="Q186" s="192">
        <f>IFERROR(VLOOKUP(A186,[1]Energiindhold!$A$2:$C$11,3,FALSE),IFERROR(VLOOKUP(A186,[1]Biogasudbytte!$A$2:$B$18,2,FALSE)*[1]Energiindhold!$C$10,0))*O186</f>
        <v>0</v>
      </c>
      <c r="R186" s="192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2">
        <f>IFERROR(VLOOKUP(A186,[1]Biogasudbytte!$A$2:$B$18,2,FALSE)*[1]Energiindhold!$C$10,0)*J186*IFERROR(VLOOKUP(A186,Biogasanlæg!$F$3:$G$8,2,FALSE),1)</f>
        <v>0</v>
      </c>
      <c r="T186" s="193">
        <f t="shared" si="50"/>
        <v>0</v>
      </c>
      <c r="U186" s="191">
        <f>O186*IFERROR(VLOOKUP(A186,[1]Tørstofindhold!A$2:B$24,2,FALSE),0)</f>
        <v>0</v>
      </c>
      <c r="V186" s="192">
        <f>IF(D186=År1,P186,SUM(O186,P186))*IFERROR(VLOOKUP(A186,[1]Tørstofindhold!A$2:B$24,2,FALSE),0)</f>
        <v>0</v>
      </c>
      <c r="W186" s="192">
        <f>J186*IFERROR(VLOOKUP(A186,[1]Tørstofindhold!A$2:B$24,2,FALSE),0)</f>
        <v>0</v>
      </c>
      <c r="X186" s="193">
        <f t="shared" si="51"/>
        <v>0</v>
      </c>
      <c r="Y186" s="171">
        <f t="shared" si="43"/>
        <v>0</v>
      </c>
      <c r="Z186" s="103">
        <f t="shared" si="44"/>
        <v>1</v>
      </c>
    </row>
    <row r="187" spans="1:26" x14ac:dyDescent="0.25">
      <c r="A187" s="192" t="s">
        <v>108</v>
      </c>
      <c r="B187" s="194"/>
      <c r="C187" s="194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4">
        <f t="shared" si="47"/>
        <v>2019</v>
      </c>
      <c r="E187" s="192" t="s">
        <v>24</v>
      </c>
      <c r="F187" s="195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18923.903166389329</v>
      </c>
      <c r="G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2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5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4">
        <f t="shared" si="48"/>
        <v>14085.970705770382</v>
      </c>
      <c r="O187" s="195">
        <f t="shared" si="39"/>
        <v>0</v>
      </c>
      <c r="P187" s="205">
        <f t="shared" si="49"/>
        <v>0</v>
      </c>
      <c r="Q187" s="192">
        <f>IFERROR(VLOOKUP(A187,[1]Energiindhold!$A$2:$C$11,3,FALSE),IFERROR(VLOOKUP(A187,[1]Biogasudbytte!$A$2:$B$18,2,FALSE)*[1]Energiindhold!$C$10,0))*O187</f>
        <v>0</v>
      </c>
      <c r="R187" s="192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2">
        <f>IFERROR(VLOOKUP(A187,[1]Biogasudbytte!$A$2:$B$18,2,FALSE)*[1]Energiindhold!$C$10,0)*J187*IFERROR(VLOOKUP(A187,Biogasanlæg!$F$3:$G$8,2,FALSE),1)</f>
        <v>0</v>
      </c>
      <c r="T187" s="193">
        <f t="shared" si="50"/>
        <v>0</v>
      </c>
      <c r="U187" s="191">
        <f>O187*IFERROR(VLOOKUP(A187,[1]Tørstofindhold!A$2:B$24,2,FALSE),0)</f>
        <v>0</v>
      </c>
      <c r="V187" s="192">
        <f>IF(D187=År1,P187,SUM(O187,P187))*IFERROR(VLOOKUP(A187,[1]Tørstofindhold!A$2:B$24,2,FALSE),0)</f>
        <v>0</v>
      </c>
      <c r="W187" s="192">
        <f>J187*IFERROR(VLOOKUP(A187,[1]Tørstofindhold!A$2:B$24,2,FALSE),0)</f>
        <v>0</v>
      </c>
      <c r="X187" s="193">
        <f t="shared" si="51"/>
        <v>0</v>
      </c>
      <c r="Y187" s="171">
        <f t="shared" si="43"/>
        <v>0</v>
      </c>
      <c r="Z187" s="103">
        <f t="shared" si="44"/>
        <v>1</v>
      </c>
    </row>
    <row r="188" spans="1:26" x14ac:dyDescent="0.25">
      <c r="A188" s="194" t="s">
        <v>141</v>
      </c>
      <c r="B188" s="194" t="s">
        <v>232</v>
      </c>
      <c r="C188" s="194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4">
        <f t="shared" si="47"/>
        <v>2019</v>
      </c>
      <c r="E188" s="192" t="s">
        <v>24</v>
      </c>
      <c r="F188" s="195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3186961.3614372411</v>
      </c>
      <c r="G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2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5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4">
        <f t="shared" si="48"/>
        <v>1978309.9489030582</v>
      </c>
      <c r="O188" s="195">
        <f t="shared" si="39"/>
        <v>1978309.9489030582</v>
      </c>
      <c r="P188" s="205">
        <f t="shared" si="49"/>
        <v>1208651.4125341829</v>
      </c>
      <c r="Q188" s="192">
        <f>IFERROR(VLOOKUP(A188,[1]Energiindhold!$A$2:$C$11,3,FALSE),IFERROR(VLOOKUP(A188,[1]Biogasudbytte!$A$2:$B$18,2,FALSE)*[1]Energiindhold!$C$10,0))*O188</f>
        <v>0.98719644760211522</v>
      </c>
      <c r="R188" s="192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2">
        <f>IFERROR(VLOOKUP(A188,[1]Biogasudbytte!$A$2:$B$18,2,FALSE)*[1]Energiindhold!$C$10,0)*J188*IFERROR(VLOOKUP(A188,Biogasanlæg!$F$3:$G$8,2,FALSE),1)</f>
        <v>0.60312914136868268</v>
      </c>
      <c r="T188" s="193">
        <f t="shared" si="50"/>
        <v>0</v>
      </c>
      <c r="U188" s="191">
        <f>O188*IFERROR(VLOOKUP(A188,[1]Tørstofindhold!A$2:B$24,2,FALSE),0)</f>
        <v>118698.59693418349</v>
      </c>
      <c r="V188" s="192">
        <f>IF(D188=År1,P188,SUM(O188,P188))*IFERROR(VLOOKUP(A188,[1]Tørstofindhold!A$2:B$24,2,FALSE),0)</f>
        <v>72519.084752050971</v>
      </c>
      <c r="W188" s="192">
        <f>J188*IFERROR(VLOOKUP(A188,[1]Tørstofindhold!A$2:B$24,2,FALSE),0)</f>
        <v>72519.084752050971</v>
      </c>
      <c r="X188" s="193">
        <f t="shared" si="51"/>
        <v>0</v>
      </c>
      <c r="Y188" s="171">
        <f t="shared" si="43"/>
        <v>0</v>
      </c>
      <c r="Z188" s="103">
        <f t="shared" si="44"/>
        <v>1</v>
      </c>
    </row>
    <row r="189" spans="1:26" x14ac:dyDescent="0.25">
      <c r="A189" s="194" t="s">
        <v>136</v>
      </c>
      <c r="B189" s="194" t="s">
        <v>224</v>
      </c>
      <c r="C189" s="194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4">
        <f t="shared" si="47"/>
        <v>2019</v>
      </c>
      <c r="E189" s="192" t="s">
        <v>24</v>
      </c>
      <c r="F189" s="195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2304461.4931079326</v>
      </c>
      <c r="G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2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5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4">
        <f t="shared" si="48"/>
        <v>0</v>
      </c>
      <c r="O189" s="195">
        <f t="shared" si="39"/>
        <v>0</v>
      </c>
      <c r="P189" s="205">
        <f t="shared" si="49"/>
        <v>380427.26035611134</v>
      </c>
      <c r="Q189" s="192">
        <f>IFERROR(VLOOKUP(A189,[1]Energiindhold!$A$2:$C$11,3,FALSE),IFERROR(VLOOKUP(A189,[1]Biogasudbytte!$A$2:$B$18,2,FALSE)*[1]Energiindhold!$C$10,0))*O189</f>
        <v>0</v>
      </c>
      <c r="R189" s="192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2">
        <f>IFERROR(VLOOKUP(A189,[1]Biogasudbytte!$A$2:$B$18,2,FALSE)*[1]Energiindhold!$C$10,0)*J189*IFERROR(VLOOKUP(A189,Biogasanlæg!$F$3:$G$8,2,FALSE),1)</f>
        <v>0.16388806376141279</v>
      </c>
      <c r="T189" s="193">
        <f t="shared" si="50"/>
        <v>0</v>
      </c>
      <c r="U189" s="191">
        <f>O189*IFERROR(VLOOKUP(A189,[1]Tørstofindhold!A$2:B$24,2,FALSE),0)</f>
        <v>0</v>
      </c>
      <c r="V189" s="192">
        <f>IF(D189=År1,P189,SUM(O189,P189))*IFERROR(VLOOKUP(A189,[1]Tørstofindhold!A$2:B$24,2,FALSE),0)</f>
        <v>19021.363017805568</v>
      </c>
      <c r="W189" s="192">
        <f>J189*IFERROR(VLOOKUP(A189,[1]Tørstofindhold!A$2:B$24,2,FALSE),0)</f>
        <v>19021.363017805568</v>
      </c>
      <c r="X189" s="193">
        <f t="shared" si="51"/>
        <v>0</v>
      </c>
      <c r="Y189" s="171">
        <f t="shared" si="43"/>
        <v>0</v>
      </c>
      <c r="Z189" s="103">
        <f t="shared" si="44"/>
        <v>0</v>
      </c>
    </row>
    <row r="190" spans="1:26" x14ac:dyDescent="0.25">
      <c r="A190" s="194" t="s">
        <v>13</v>
      </c>
      <c r="B190" s="194"/>
      <c r="C190" s="194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4">
        <f t="shared" si="47"/>
        <v>2019</v>
      </c>
      <c r="E190" s="192" t="s">
        <v>24</v>
      </c>
      <c r="F190" s="195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206750.71206041813</v>
      </c>
      <c r="G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2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5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4">
        <f t="shared" si="48"/>
        <v>106195.08352871139</v>
      </c>
      <c r="O190" s="195">
        <f t="shared" si="39"/>
        <v>0</v>
      </c>
      <c r="P190" s="205">
        <f t="shared" si="49"/>
        <v>0</v>
      </c>
      <c r="Q190" s="192">
        <f>IFERROR(VLOOKUP(A190,[1]Energiindhold!$A$2:$C$11,3,FALSE),IFERROR(VLOOKUP(A190,[1]Biogasudbytte!$A$2:$B$18,2,FALSE)*[1]Energiindhold!$C$10,0))*O190</f>
        <v>0</v>
      </c>
      <c r="R190" s="192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2">
        <f>IFERROR(VLOOKUP(A190,[1]Biogasudbytte!$A$2:$B$18,2,FALSE)*[1]Energiindhold!$C$10,0)*J190*IFERROR(VLOOKUP(A190,Biogasanlæg!$F$3:$G$8,2,FALSE),1)</f>
        <v>0</v>
      </c>
      <c r="T190" s="193">
        <f t="shared" si="50"/>
        <v>0</v>
      </c>
      <c r="U190" s="191">
        <f>O190*IFERROR(VLOOKUP(A190,[1]Tørstofindhold!A$2:B$24,2,FALSE),0)</f>
        <v>0</v>
      </c>
      <c r="V190" s="192">
        <f>IF(D190=År1,P190,SUM(O190,P190))*IFERROR(VLOOKUP(A190,[1]Tørstofindhold!A$2:B$24,2,FALSE),0)</f>
        <v>0</v>
      </c>
      <c r="W190" s="192">
        <f>J190*IFERROR(VLOOKUP(A190,[1]Tørstofindhold!A$2:B$24,2,FALSE),0)</f>
        <v>0</v>
      </c>
      <c r="X190" s="193">
        <f t="shared" si="51"/>
        <v>0</v>
      </c>
      <c r="Y190" s="171">
        <f t="shared" si="43"/>
        <v>0</v>
      </c>
      <c r="Z190" s="103">
        <f t="shared" si="44"/>
        <v>1</v>
      </c>
    </row>
    <row r="191" spans="1:26" x14ac:dyDescent="0.25">
      <c r="A191" s="194" t="s">
        <v>100</v>
      </c>
      <c r="B191" s="194" t="s">
        <v>228</v>
      </c>
      <c r="C191" s="194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4">
        <f t="shared" si="47"/>
        <v>2019</v>
      </c>
      <c r="E191" s="192" t="s">
        <v>24</v>
      </c>
      <c r="F191" s="195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2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5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4">
        <f t="shared" si="48"/>
        <v>0</v>
      </c>
      <c r="O191" s="195">
        <f t="shared" si="39"/>
        <v>0</v>
      </c>
      <c r="P191" s="205">
        <f t="shared" si="49"/>
        <v>0</v>
      </c>
      <c r="Q191" s="192">
        <f>IFERROR(VLOOKUP(A191,[1]Energiindhold!$A$2:$C$11,3,FALSE),IFERROR(VLOOKUP(A191,[1]Biogasudbytte!$A$2:$B$18,2,FALSE)*[1]Energiindhold!$C$10,0))*O191</f>
        <v>0</v>
      </c>
      <c r="R191" s="192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2">
        <f>IFERROR(VLOOKUP(A191,[1]Biogasudbytte!$A$2:$B$18,2,FALSE)*[1]Energiindhold!$C$10,0)*J191*IFERROR(VLOOKUP(A191,Biogasanlæg!$F$3:$G$8,2,FALSE),1)</f>
        <v>0</v>
      </c>
      <c r="T191" s="193">
        <f t="shared" si="50"/>
        <v>0</v>
      </c>
      <c r="U191" s="191">
        <f>O191*IFERROR(VLOOKUP(A191,[1]Tørstofindhold!A$2:B$24,2,FALSE),0)</f>
        <v>0</v>
      </c>
      <c r="V191" s="192">
        <f>IF(D191=År1,P191,SUM(O191,P191))*IFERROR(VLOOKUP(A191,[1]Tørstofindhold!A$2:B$24,2,FALSE),0)</f>
        <v>0</v>
      </c>
      <c r="W191" s="192">
        <f>J191*IFERROR(VLOOKUP(A191,[1]Tørstofindhold!A$2:B$24,2,FALSE),0)</f>
        <v>0</v>
      </c>
      <c r="X191" s="193">
        <f t="shared" si="51"/>
        <v>0</v>
      </c>
      <c r="Y191" s="171">
        <f t="shared" si="43"/>
        <v>0</v>
      </c>
      <c r="Z191" s="103">
        <f t="shared" si="44"/>
        <v>1</v>
      </c>
    </row>
    <row r="192" spans="1:26" x14ac:dyDescent="0.25">
      <c r="A192" s="194" t="s">
        <v>105</v>
      </c>
      <c r="B192" s="194"/>
      <c r="C192" s="194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4">
        <f t="shared" si="47"/>
        <v>2019</v>
      </c>
      <c r="E192" s="192" t="s">
        <v>24</v>
      </c>
      <c r="F192" s="195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2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5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4">
        <f t="shared" si="48"/>
        <v>0</v>
      </c>
      <c r="O192" s="195">
        <f t="shared" si="39"/>
        <v>0</v>
      </c>
      <c r="P192" s="205">
        <f t="shared" si="49"/>
        <v>0</v>
      </c>
      <c r="Q192" s="192">
        <f>IFERROR(VLOOKUP(A192,[1]Energiindhold!$A$2:$C$11,3,FALSE),IFERROR(VLOOKUP(A192,[1]Biogasudbytte!$A$2:$B$18,2,FALSE)*[1]Energiindhold!$C$10,0))*O192</f>
        <v>0</v>
      </c>
      <c r="R192" s="192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2">
        <f>IFERROR(VLOOKUP(A192,[1]Biogasudbytte!$A$2:$B$18,2,FALSE)*[1]Energiindhold!$C$10,0)*J192*IFERROR(VLOOKUP(A192,Biogasanlæg!$F$3:$G$8,2,FALSE),1)</f>
        <v>0</v>
      </c>
      <c r="T192" s="193">
        <f t="shared" si="50"/>
        <v>0</v>
      </c>
      <c r="U192" s="191">
        <f>O192*IFERROR(VLOOKUP(A192,[1]Tørstofindhold!A$2:B$24,2,FALSE),0)</f>
        <v>0</v>
      </c>
      <c r="V192" s="192">
        <f>IF(D192=År1,P192,SUM(O192,P192))*IFERROR(VLOOKUP(A192,[1]Tørstofindhold!A$2:B$24,2,FALSE),0)</f>
        <v>0</v>
      </c>
      <c r="W192" s="192">
        <f>J192*IFERROR(VLOOKUP(A192,[1]Tørstofindhold!A$2:B$24,2,FALSE),0)</f>
        <v>0</v>
      </c>
      <c r="X192" s="193">
        <f t="shared" si="51"/>
        <v>0</v>
      </c>
      <c r="Y192" s="171">
        <f t="shared" si="43"/>
        <v>0</v>
      </c>
      <c r="Z192" s="103">
        <f t="shared" si="44"/>
        <v>0</v>
      </c>
    </row>
    <row r="193" spans="1:26" x14ac:dyDescent="0.25">
      <c r="A193" s="194" t="s">
        <v>120</v>
      </c>
      <c r="B193" s="194" t="s">
        <v>227</v>
      </c>
      <c r="C193" s="194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4">
        <f t="shared" si="47"/>
        <v>2019</v>
      </c>
      <c r="E193" s="192" t="s">
        <v>24</v>
      </c>
      <c r="F193" s="195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681602.85349434032</v>
      </c>
      <c r="G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2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5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4">
        <f t="shared" si="48"/>
        <v>0</v>
      </c>
      <c r="O193" s="195">
        <f t="shared" si="39"/>
        <v>0</v>
      </c>
      <c r="P193" s="205">
        <f t="shared" si="49"/>
        <v>681602.85349434032</v>
      </c>
      <c r="Q193" s="192">
        <f>IFERROR(VLOOKUP(A193,[1]Energiindhold!$A$2:$C$11,3,FALSE),IFERROR(VLOOKUP(A193,[1]Biogasudbytte!$A$2:$B$18,2,FALSE)*[1]Energiindhold!$C$10,0))*O193</f>
        <v>0</v>
      </c>
      <c r="R193" s="192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2">
        <f>IFERROR(VLOOKUP(A193,[1]Biogasudbytte!$A$2:$B$18,2,FALSE)*[1]Energiindhold!$C$10,0)*J193*IFERROR(VLOOKUP(A193,Biogasanlæg!$F$3:$G$8,2,FALSE),1)</f>
        <v>0</v>
      </c>
      <c r="T193" s="193">
        <f t="shared" si="50"/>
        <v>9.878857920085288</v>
      </c>
      <c r="U193" s="191">
        <f>O193*IFERROR(VLOOKUP(A193,[1]Tørstofindhold!A$2:B$24,2,FALSE),0)</f>
        <v>0</v>
      </c>
      <c r="V193" s="192">
        <f>IF(D193=År1,P193,SUM(O193,P193))*IFERROR(VLOOKUP(A193,[1]Tørstofindhold!A$2:B$24,2,FALSE),0)</f>
        <v>337109.41129074246</v>
      </c>
      <c r="W193" s="192">
        <f>J193*IFERROR(VLOOKUP(A193,[1]Tørstofindhold!A$2:B$24,2,FALSE),0)</f>
        <v>0</v>
      </c>
      <c r="X193" s="193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x14ac:dyDescent="0.25">
      <c r="A194" s="194" t="s">
        <v>119</v>
      </c>
      <c r="B194" s="194"/>
      <c r="C194" s="194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4">
        <f t="shared" si="47"/>
        <v>2019</v>
      </c>
      <c r="E194" s="192" t="s">
        <v>24</v>
      </c>
      <c r="F194" s="195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187413.07432328182</v>
      </c>
      <c r="G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2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5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0</v>
      </c>
      <c r="N194" s="204">
        <f t="shared" si="48"/>
        <v>187413.07432328182</v>
      </c>
      <c r="O194" s="195">
        <f t="shared" si="39"/>
        <v>0</v>
      </c>
      <c r="P194" s="205">
        <f t="shared" si="49"/>
        <v>0</v>
      </c>
      <c r="Q194" s="192">
        <f>IFERROR(VLOOKUP(A194,[1]Energiindhold!$A$2:$C$11,3,FALSE),IFERROR(VLOOKUP(A194,[1]Biogasudbytte!$A$2:$B$18,2,FALSE)*[1]Energiindhold!$C$10,0))*O194</f>
        <v>0</v>
      </c>
      <c r="R194" s="192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2">
        <f>IFERROR(VLOOKUP(A194,[1]Biogasudbytte!$A$2:$B$18,2,FALSE)*[1]Energiindhold!$C$10,0)*J194*IFERROR(VLOOKUP(A194,Biogasanlæg!$F$3:$G$8,2,FALSE),1)</f>
        <v>0</v>
      </c>
      <c r="T194" s="193">
        <f t="shared" si="50"/>
        <v>0</v>
      </c>
      <c r="U194" s="191">
        <f>O194*IFERROR(VLOOKUP(A194,[1]Tørstofindhold!A$2:B$24,2,FALSE),0)</f>
        <v>0</v>
      </c>
      <c r="V194" s="192">
        <f>IF(D194=År1,P194,SUM(O194,P194))*IFERROR(VLOOKUP(A194,[1]Tørstofindhold!A$2:B$24,2,FALSE),0)</f>
        <v>0</v>
      </c>
      <c r="W194" s="192">
        <f>J194*IFERROR(VLOOKUP(A194,[1]Tørstofindhold!A$2:B$24,2,FALSE),0)</f>
        <v>0</v>
      </c>
      <c r="X194" s="193">
        <f t="shared" si="51"/>
        <v>0</v>
      </c>
      <c r="Y194" s="171">
        <f t="shared" si="43"/>
        <v>0</v>
      </c>
      <c r="Z194" s="103">
        <f t="shared" si="44"/>
        <v>1</v>
      </c>
    </row>
    <row r="195" spans="1:26" x14ac:dyDescent="0.25">
      <c r="A195" s="194" t="str">
        <f t="shared" ref="A195:A226" si="56">A147</f>
        <v>Æg</v>
      </c>
      <c r="B195" s="194" t="str">
        <f t="shared" ref="B195:B226" si="57">IF(B147&lt;&gt;"",B147,"")</f>
        <v/>
      </c>
      <c r="C195" s="194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4">
        <f t="shared" ref="D195:D242" si="58">År2</f>
        <v>2030</v>
      </c>
      <c r="E195" s="192" t="s">
        <v>24</v>
      </c>
      <c r="F195" s="195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14354.783550318367</v>
      </c>
      <c r="G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2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5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4">
        <f t="shared" si="48"/>
        <v>-13854.556574310172</v>
      </c>
      <c r="O195" s="195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5">
        <f t="shared" si="49"/>
        <v>0</v>
      </c>
      <c r="Q195" s="192">
        <f>IFERROR(VLOOKUP(A195,[1]Energiindhold!$A$2:$C$11,3,FALSE),IFERROR(VLOOKUP(A195,[1]Biogasudbytte!$A$2:$B$18,2,FALSE)*[1]Energiindhold!$C$10,0))*O195</f>
        <v>0</v>
      </c>
      <c r="R195" s="192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2">
        <f>IFERROR(VLOOKUP(A195,[1]Biogasudbytte!$A$2:$B$18,2,FALSE)*[1]Energiindhold!$C$10,0)*J195*IFERROR(VLOOKUP(A195,Biogasanlæg!$F$3:$G$8,2,FALSE),1)</f>
        <v>0</v>
      </c>
      <c r="T195" s="193">
        <f t="shared" si="50"/>
        <v>0</v>
      </c>
      <c r="U195" s="191">
        <f>O195*IFERROR(VLOOKUP(A195,[1]Tørstofindhold!A$2:B$24,2,FALSE),0)</f>
        <v>0</v>
      </c>
      <c r="V195" s="192">
        <f>IF(D195=År1,P195,SUM(O195,P195))*IFERROR(VLOOKUP(A195,[1]Tørstofindhold!A$2:B$24,2,FALSE),0)</f>
        <v>0</v>
      </c>
      <c r="W195" s="192">
        <f>J195*IFERROR(VLOOKUP(A195,[1]Tørstofindhold!A$2:B$24,2,FALSE),0)</f>
        <v>0</v>
      </c>
      <c r="X195" s="193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4" t="str">
        <f t="shared" si="56"/>
        <v>Bælgsæd</v>
      </c>
      <c r="B196" s="194" t="str">
        <f t="shared" si="57"/>
        <v/>
      </c>
      <c r="C196" s="194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4">
        <f t="shared" si="58"/>
        <v>2030</v>
      </c>
      <c r="E196" s="192" t="s">
        <v>24</v>
      </c>
      <c r="F196" s="195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66320.575580958233</v>
      </c>
      <c r="G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6333.2934029920762</v>
      </c>
      <c r="H196" s="192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5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4">
        <f t="shared" si="48"/>
        <v>59987.282177966161</v>
      </c>
      <c r="O196" s="195">
        <f t="shared" si="59"/>
        <v>0</v>
      </c>
      <c r="P196" s="205">
        <f t="shared" si="49"/>
        <v>0</v>
      </c>
      <c r="Q196" s="192">
        <f>IFERROR(VLOOKUP(A196,[1]Energiindhold!$A$2:$C$11,3,FALSE),IFERROR(VLOOKUP(A196,[1]Biogasudbytte!$A$2:$B$18,2,FALSE)*[1]Energiindhold!$C$10,0))*O196</f>
        <v>0</v>
      </c>
      <c r="R196" s="192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2">
        <f>IFERROR(VLOOKUP(A196,[1]Biogasudbytte!$A$2:$B$18,2,FALSE)*[1]Energiindhold!$C$10,0)*J196*IFERROR(VLOOKUP(A196,Biogasanlæg!$F$3:$G$8,2,FALSE),1)</f>
        <v>0</v>
      </c>
      <c r="T196" s="193">
        <f t="shared" si="50"/>
        <v>0</v>
      </c>
      <c r="U196" s="191">
        <f>O196*IFERROR(VLOOKUP(A196,[1]Tørstofindhold!A$2:B$24,2,FALSE),0)</f>
        <v>0</v>
      </c>
      <c r="V196" s="192">
        <f>IF(D196=År1,P196,SUM(O196,P196))*IFERROR(VLOOKUP(A196,[1]Tørstofindhold!A$2:B$24,2,FALSE),0)</f>
        <v>0</v>
      </c>
      <c r="W196" s="192">
        <f>J196*IFERROR(VLOOKUP(A196,[1]Tørstofindhold!A$2:B$24,2,FALSE),0)</f>
        <v>0</v>
      </c>
      <c r="X196" s="193">
        <f t="shared" si="51"/>
        <v>0</v>
      </c>
      <c r="Y196" s="171">
        <f t="shared" si="60"/>
        <v>0</v>
      </c>
      <c r="Z196" s="103">
        <f t="shared" si="61"/>
        <v>1</v>
      </c>
    </row>
    <row r="197" spans="1:26" x14ac:dyDescent="0.25">
      <c r="A197" s="194" t="str">
        <f t="shared" si="56"/>
        <v>Bioaffald</v>
      </c>
      <c r="B197" s="194" t="str">
        <f t="shared" si="57"/>
        <v>Bionedbrydeligt affald</v>
      </c>
      <c r="C197" s="194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4">
        <f t="shared" si="58"/>
        <v>2030</v>
      </c>
      <c r="E197" s="192" t="s">
        <v>24</v>
      </c>
      <c r="F197" s="195">
        <f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0</v>
      </c>
      <c r="G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2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5" t="e">
        <f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#REF!</v>
      </c>
      <c r="K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5" t="e">
        <f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#REF!</v>
      </c>
      <c r="M197" s="157" t="e">
        <f>SUMIFS('Forbrug af biomasse'!E:E,'Forbrug af biomasse'!C:C,'Resultat-Produktion &amp; forbrug'!$A197,'Forbrug af biomasse'!D:D,'Resultat-Produktion &amp; forbrug'!$D197,'Forbrug af biomasse'!G:G,1,'Forbrug af biomasse'!B:B,$E197)</f>
        <v>#REF!</v>
      </c>
      <c r="N197" s="204" t="e">
        <f t="shared" si="48"/>
        <v>#REF!</v>
      </c>
      <c r="O197" s="195" t="e">
        <f t="shared" si="59"/>
        <v>#REF!</v>
      </c>
      <c r="P197" s="205" t="e">
        <f t="shared" si="49"/>
        <v>#REF!</v>
      </c>
      <c r="Q197" s="192" t="e">
        <f>IFERROR(VLOOKUP(A197,[1]Energiindhold!$A$2:$C$11,3,FALSE),IFERROR(VLOOKUP(A197,[1]Biogasudbytte!$A$2:$B$18,2,FALSE)*[1]Energiindhold!$C$10,0))*O197</f>
        <v>#REF!</v>
      </c>
      <c r="R197" s="192" t="e">
        <f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#REF!</v>
      </c>
      <c r="S197" s="192" t="e">
        <f>IFERROR(VLOOKUP(A197,[1]Biogasudbytte!$A$2:$B$18,2,FALSE)*[1]Energiindhold!$C$10,0)*J197*IFERROR(VLOOKUP(A197,Biogasanlæg!$F$3:$G$8,2,FALSE),1)</f>
        <v>#REF!</v>
      </c>
      <c r="T197" s="193" t="e">
        <f t="shared" si="50"/>
        <v>#REF!</v>
      </c>
      <c r="U197" s="191" t="e">
        <f>O197*IFERROR(VLOOKUP(A197,[1]Tørstofindhold!A$2:B$24,2,FALSE),0)</f>
        <v>#REF!</v>
      </c>
      <c r="V197" s="192" t="e">
        <f>IF(D197=År1,P197,SUM(O197,P197))*IFERROR(VLOOKUP(A197,[1]Tørstofindhold!A$2:B$24,2,FALSE),0)</f>
        <v>#REF!</v>
      </c>
      <c r="W197" s="192" t="e">
        <f>J197*IFERROR(VLOOKUP(A197,[1]Tørstofindhold!A$2:B$24,2,FALSE),0)</f>
        <v>#REF!</v>
      </c>
      <c r="X197" s="193" t="e">
        <f t="shared" si="51"/>
        <v>#REF!</v>
      </c>
      <c r="Y197" s="171" t="e">
        <f t="shared" si="60"/>
        <v>#REF!</v>
      </c>
      <c r="Z197" s="103" t="e">
        <f t="shared" si="61"/>
        <v>#REF!</v>
      </c>
    </row>
    <row r="198" spans="1:26" x14ac:dyDescent="0.25">
      <c r="A198" s="194" t="str">
        <f t="shared" si="56"/>
        <v>Biogas</v>
      </c>
      <c r="B198" s="194" t="str">
        <f t="shared" si="57"/>
        <v/>
      </c>
      <c r="C198" s="194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4">
        <f t="shared" si="58"/>
        <v>2030</v>
      </c>
      <c r="E198" s="192" t="s">
        <v>24</v>
      </c>
      <c r="F198" s="195">
        <f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100971211.6391862</v>
      </c>
      <c r="G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2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5">
        <f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100971211.6391862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4">
        <f t="shared" si="48"/>
        <v>0</v>
      </c>
      <c r="O198" s="195">
        <f t="shared" si="59"/>
        <v>0</v>
      </c>
      <c r="P198" s="205">
        <f t="shared" si="49"/>
        <v>100971211.6391862</v>
      </c>
      <c r="Q198" s="192">
        <f>IFERROR(VLOOKUP(A198,[1]Energiindhold!$A$2:$C$11,3,FALSE),IFERROR(VLOOKUP(A198,[1]Biogasudbytte!$A$2:$B$18,2,FALSE)*[1]Energiindhold!$C$10,0))*O198</f>
        <v>0</v>
      </c>
      <c r="R198" s="192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2">
        <f>IFERROR(VLOOKUP(A198,[1]Biogasudbytte!$A$2:$B$18,2,FALSE)*[1]Energiindhold!$C$10,0)*J198*IFERROR(VLOOKUP(A198,Biogasanlæg!$F$3:$G$8,2,FALSE),1)</f>
        <v>0</v>
      </c>
      <c r="T198" s="193">
        <f t="shared" si="50"/>
        <v>0</v>
      </c>
      <c r="U198" s="191">
        <f>O198*IFERROR(VLOOKUP(A198,[1]Tørstofindhold!A$2:B$24,2,FALSE),0)</f>
        <v>0</v>
      </c>
      <c r="V198" s="192">
        <f>IF(D198=År1,P198,SUM(O198,P198))*IFERROR(VLOOKUP(A198,[1]Tørstofindhold!A$2:B$24,2,FALSE),0)</f>
        <v>0</v>
      </c>
      <c r="W198" s="192">
        <f>J198*IFERROR(VLOOKUP(A198,[1]Tørstofindhold!A$2:B$24,2,FALSE),0)</f>
        <v>0</v>
      </c>
      <c r="X198" s="193">
        <f t="shared" si="51"/>
        <v>0</v>
      </c>
      <c r="Y198" s="171">
        <f t="shared" si="60"/>
        <v>0</v>
      </c>
      <c r="Z198" s="103">
        <f t="shared" si="61"/>
        <v>0</v>
      </c>
    </row>
    <row r="199" spans="1:26" x14ac:dyDescent="0.25">
      <c r="A199" s="194" t="str">
        <f t="shared" si="56"/>
        <v>Biogasgylle</v>
      </c>
      <c r="B199" s="194" t="str">
        <f t="shared" si="57"/>
        <v/>
      </c>
      <c r="C199" s="194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4">
        <f t="shared" si="58"/>
        <v>2030</v>
      </c>
      <c r="E199" s="192" t="s">
        <v>24</v>
      </c>
      <c r="F199" s="195">
        <f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0</v>
      </c>
      <c r="G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2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5" t="e">
        <f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#REF!</v>
      </c>
      <c r="L199" s="195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4" t="e">
        <f t="shared" si="48"/>
        <v>#REF!</v>
      </c>
      <c r="O199" s="195">
        <f t="shared" si="59"/>
        <v>0</v>
      </c>
      <c r="P199" s="205">
        <f t="shared" si="49"/>
        <v>0</v>
      </c>
      <c r="Q199" s="192">
        <f>IFERROR(VLOOKUP(A199,[1]Energiindhold!$A$2:$C$11,3,FALSE),IFERROR(VLOOKUP(A199,[1]Biogasudbytte!$A$2:$B$18,2,FALSE)*[1]Energiindhold!$C$10,0))*O199</f>
        <v>0</v>
      </c>
      <c r="R199" s="192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2">
        <f>IFERROR(VLOOKUP(A199,[1]Biogasudbytte!$A$2:$B$18,2,FALSE)*[1]Energiindhold!$C$10,0)*J199*IFERROR(VLOOKUP(A199,Biogasanlæg!$F$3:$G$8,2,FALSE),1)</f>
        <v>0</v>
      </c>
      <c r="T199" s="193">
        <f t="shared" si="50"/>
        <v>0</v>
      </c>
      <c r="U199" s="191">
        <f>O199*IFERROR(VLOOKUP(A199,[1]Tørstofindhold!A$2:B$24,2,FALSE),0)</f>
        <v>0</v>
      </c>
      <c r="V199" s="192">
        <f>IF(D199=År1,P199,SUM(O199,P199))*IFERROR(VLOOKUP(A199,[1]Tørstofindhold!A$2:B$24,2,FALSE),0)</f>
        <v>0</v>
      </c>
      <c r="W199" s="192">
        <f>J199*IFERROR(VLOOKUP(A199,[1]Tørstofindhold!A$2:B$24,2,FALSE),0)</f>
        <v>0</v>
      </c>
      <c r="X199" s="193">
        <f t="shared" si="51"/>
        <v>0</v>
      </c>
      <c r="Y199" s="171" t="e">
        <f t="shared" si="60"/>
        <v>#REF!</v>
      </c>
      <c r="Z199" s="103" t="e">
        <f t="shared" si="61"/>
        <v>#REF!</v>
      </c>
    </row>
    <row r="200" spans="1:26" x14ac:dyDescent="0.25">
      <c r="A200" s="194" t="str">
        <f t="shared" si="56"/>
        <v>Brun saft</v>
      </c>
      <c r="B200" s="194" t="str">
        <f t="shared" si="57"/>
        <v>Bionedbrydeligt affald</v>
      </c>
      <c r="C200" s="194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4">
        <f t="shared" si="58"/>
        <v>2030</v>
      </c>
      <c r="E200" s="192" t="s">
        <v>24</v>
      </c>
      <c r="F200" s="195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0</v>
      </c>
      <c r="G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2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5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4">
        <f t="shared" si="48"/>
        <v>0</v>
      </c>
      <c r="O200" s="195">
        <f t="shared" si="59"/>
        <v>0</v>
      </c>
      <c r="P200" s="205">
        <f t="shared" si="49"/>
        <v>0</v>
      </c>
      <c r="Q200" s="192">
        <f>IFERROR(VLOOKUP(A200,[1]Energiindhold!$A$2:$C$11,3,FALSE),IFERROR(VLOOKUP(A200,[1]Biogasudbytte!$A$2:$B$18,2,FALSE)*[1]Energiindhold!$C$10,0))*O200</f>
        <v>0</v>
      </c>
      <c r="R200" s="192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2">
        <f>IFERROR(VLOOKUP(A200,[1]Biogasudbytte!$A$2:$B$18,2,FALSE)*[1]Energiindhold!$C$10,0)*J200*IFERROR(VLOOKUP(A200,Biogasanlæg!$F$3:$G$8,2,FALSE),1)</f>
        <v>0</v>
      </c>
      <c r="T200" s="193">
        <f t="shared" si="50"/>
        <v>0</v>
      </c>
      <c r="U200" s="191">
        <f>O200*IFERROR(VLOOKUP(A200,[1]Tørstofindhold!A$2:B$24,2,FALSE),0)</f>
        <v>0</v>
      </c>
      <c r="V200" s="192">
        <f>IF(D200=År1,P200,SUM(O200,P200))*IFERROR(VLOOKUP(A200,[1]Tørstofindhold!A$2:B$24,2,FALSE),0)</f>
        <v>0</v>
      </c>
      <c r="W200" s="192">
        <f>J200*IFERROR(VLOOKUP(A200,[1]Tørstofindhold!A$2:B$24,2,FALSE),0)</f>
        <v>0</v>
      </c>
      <c r="X200" s="193">
        <f t="shared" si="51"/>
        <v>0</v>
      </c>
      <c r="Y200" s="171">
        <f t="shared" si="60"/>
        <v>0</v>
      </c>
      <c r="Z200" s="103">
        <f t="shared" si="61"/>
        <v>0</v>
      </c>
    </row>
    <row r="201" spans="1:26" x14ac:dyDescent="0.25">
      <c r="A201" s="194" t="str">
        <f t="shared" si="56"/>
        <v>Dybstrøelse</v>
      </c>
      <c r="B201" s="194" t="str">
        <f t="shared" si="57"/>
        <v>Husdyrgødning</v>
      </c>
      <c r="C201" s="194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4">
        <f t="shared" si="58"/>
        <v>2030</v>
      </c>
      <c r="E201" s="192" t="s">
        <v>24</v>
      </c>
      <c r="F201" s="195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286444.08767374518</v>
      </c>
      <c r="G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2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143222.04383687259</v>
      </c>
      <c r="K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54219.773738244621</v>
      </c>
      <c r="L201" s="195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4">
        <f t="shared" si="48"/>
        <v>89002.270098627952</v>
      </c>
      <c r="O201" s="195">
        <f t="shared" si="59"/>
        <v>89002.270098627952</v>
      </c>
      <c r="P201" s="205">
        <f t="shared" si="49"/>
        <v>143222.04383687259</v>
      </c>
      <c r="Q201" s="192">
        <f>IFERROR(VLOOKUP(A201,[1]Energiindhold!$A$2:$C$11,3,FALSE),IFERROR(VLOOKUP(A201,[1]Biogasudbytte!$A$2:$B$18,2,FALSE)*[1]Energiindhold!$C$10,0))*O201</f>
        <v>0.19171088979244461</v>
      </c>
      <c r="R201" s="192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0.50021117221706812</v>
      </c>
      <c r="S201" s="192">
        <f>IFERROR(VLOOKUP(A201,[1]Biogasudbytte!$A$2:$B$18,2,FALSE)*[1]Energiindhold!$C$10,0)*J201*IFERROR(VLOOKUP(A201,Biogasanlæg!$F$3:$G$8,2,FALSE),1)</f>
        <v>0.30850028242462357</v>
      </c>
      <c r="T201" s="193">
        <f t="shared" si="50"/>
        <v>0.19171088979244455</v>
      </c>
      <c r="U201" s="191">
        <f>O201*IFERROR(VLOOKUP(A201,[1]Tørstofindhold!A$2:B$24,2,FALSE),0)</f>
        <v>26700.681029588384</v>
      </c>
      <c r="V201" s="192">
        <f>IF(D201=År1,P201,SUM(O201,P201))*IFERROR(VLOOKUP(A201,[1]Tørstofindhold!A$2:B$24,2,FALSE),0)</f>
        <v>69667.294180650162</v>
      </c>
      <c r="W201" s="192">
        <f>J201*IFERROR(VLOOKUP(A201,[1]Tørstofindhold!A$2:B$24,2,FALSE),0)</f>
        <v>42966.613151061778</v>
      </c>
      <c r="X201" s="193">
        <f t="shared" si="51"/>
        <v>26700.681029588384</v>
      </c>
      <c r="Y201" s="171">
        <f t="shared" si="60"/>
        <v>0</v>
      </c>
      <c r="Z201" s="103">
        <f t="shared" si="61"/>
        <v>1</v>
      </c>
    </row>
    <row r="202" spans="1:26" x14ac:dyDescent="0.25">
      <c r="A202" s="194" t="str">
        <f t="shared" si="56"/>
        <v>Fiberfraktion</v>
      </c>
      <c r="B202" s="194" t="str">
        <f t="shared" si="57"/>
        <v/>
      </c>
      <c r="C202" s="194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4">
        <f t="shared" si="58"/>
        <v>2030</v>
      </c>
      <c r="E202" s="192" t="s">
        <v>24</v>
      </c>
      <c r="F202" s="195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0</v>
      </c>
      <c r="G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2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5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4">
        <f t="shared" si="48"/>
        <v>0</v>
      </c>
      <c r="O202" s="195">
        <f t="shared" si="59"/>
        <v>0</v>
      </c>
      <c r="P202" s="205">
        <f t="shared" si="49"/>
        <v>0</v>
      </c>
      <c r="Q202" s="192">
        <f>IFERROR(VLOOKUP(A202,[1]Energiindhold!$A$2:$C$11,3,FALSE),IFERROR(VLOOKUP(A202,[1]Biogasudbytte!$A$2:$B$18,2,FALSE)*[1]Energiindhold!$C$10,0))*O202</f>
        <v>0</v>
      </c>
      <c r="R202" s="192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2">
        <f>IFERROR(VLOOKUP(A202,[1]Biogasudbytte!$A$2:$B$18,2,FALSE)*[1]Energiindhold!$C$10,0)*J202*IFERROR(VLOOKUP(A202,Biogasanlæg!$F$3:$G$8,2,FALSE),1)</f>
        <v>0</v>
      </c>
      <c r="T202" s="193">
        <f t="shared" si="50"/>
        <v>0</v>
      </c>
      <c r="U202" s="191">
        <f>O202*IFERROR(VLOOKUP(A202,[1]Tørstofindhold!A$2:B$24,2,FALSE),0)</f>
        <v>0</v>
      </c>
      <c r="V202" s="192">
        <f>IF(D202=År1,P202,SUM(O202,P202))*IFERROR(VLOOKUP(A202,[1]Tørstofindhold!A$2:B$24,2,FALSE),0)</f>
        <v>0</v>
      </c>
      <c r="W202" s="192">
        <f>J202*IFERROR(VLOOKUP(A202,[1]Tørstofindhold!A$2:B$24,2,FALSE),0)</f>
        <v>0</v>
      </c>
      <c r="X202" s="193">
        <f t="shared" si="51"/>
        <v>0</v>
      </c>
      <c r="Y202" s="171">
        <f t="shared" si="60"/>
        <v>0</v>
      </c>
      <c r="Z202" s="103">
        <f t="shared" si="61"/>
        <v>0</v>
      </c>
    </row>
    <row r="203" spans="1:26" x14ac:dyDescent="0.25">
      <c r="A203" s="194" t="str">
        <f t="shared" si="56"/>
        <v>Fjerkrægylle</v>
      </c>
      <c r="B203" s="194" t="str">
        <f t="shared" si="57"/>
        <v>Husdyrgødning</v>
      </c>
      <c r="C203" s="194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4">
        <f t="shared" si="58"/>
        <v>2030</v>
      </c>
      <c r="E203" s="192" t="s">
        <v>24</v>
      </c>
      <c r="F203" s="195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560.16154012228367</v>
      </c>
      <c r="G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2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504.14538611005531</v>
      </c>
      <c r="K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42.412230894972893</v>
      </c>
      <c r="L203" s="195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4">
        <f t="shared" si="48"/>
        <v>13.603923117255476</v>
      </c>
      <c r="O203" s="195">
        <f t="shared" si="59"/>
        <v>13.603923117255476</v>
      </c>
      <c r="P203" s="205">
        <f t="shared" si="49"/>
        <v>504.14538611005531</v>
      </c>
      <c r="Q203" s="192">
        <f>IFERROR(VLOOKUP(A203,[1]Energiindhold!$A$2:$C$11,3,FALSE),IFERROR(VLOOKUP(A203,[1]Biogasudbytte!$A$2:$B$18,2,FALSE)*[1]Energiindhold!$C$10,0))*O203</f>
        <v>6.397789002814078E-6</v>
      </c>
      <c r="R203" s="192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2.4349232263651198E-4</v>
      </c>
      <c r="S203" s="192">
        <f>IFERROR(VLOOKUP(A203,[1]Biogasudbytte!$A$2:$B$18,2,FALSE)*[1]Energiindhold!$C$10,0)*J203*IFERROR(VLOOKUP(A203,Biogasanlæg!$F$3:$G$8,2,FALSE),1)</f>
        <v>2.3709453363369792E-4</v>
      </c>
      <c r="T203" s="193">
        <f t="shared" si="50"/>
        <v>6.3977890028140653E-6</v>
      </c>
      <c r="U203" s="191">
        <f>O203*IFERROR(VLOOKUP(A203,[1]Tørstofindhold!A$2:B$24,2,FALSE),0)</f>
        <v>0.85704715638709505</v>
      </c>
      <c r="V203" s="192">
        <f>IF(D203=År1,P203,SUM(O203,P203))*IFERROR(VLOOKUP(A203,[1]Tørstofindhold!A$2:B$24,2,FALSE),0)</f>
        <v>32.618206481320577</v>
      </c>
      <c r="W203" s="192">
        <f>J203*IFERROR(VLOOKUP(A203,[1]Tørstofindhold!A$2:B$24,2,FALSE),0)</f>
        <v>31.761159324933484</v>
      </c>
      <c r="X203" s="193">
        <f t="shared" si="51"/>
        <v>0.85704715638709317</v>
      </c>
      <c r="Y203" s="171">
        <f t="shared" si="60"/>
        <v>0</v>
      </c>
      <c r="Z203" s="103">
        <f t="shared" si="61"/>
        <v>1</v>
      </c>
    </row>
    <row r="204" spans="1:26" x14ac:dyDescent="0.25">
      <c r="A204" s="194" t="str">
        <f t="shared" si="56"/>
        <v>Fjerkrækød</v>
      </c>
      <c r="B204" s="194" t="str">
        <f t="shared" si="57"/>
        <v/>
      </c>
      <c r="C204" s="194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4">
        <f t="shared" si="58"/>
        <v>2030</v>
      </c>
      <c r="E204" s="192" t="s">
        <v>24</v>
      </c>
      <c r="F204" s="195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12195.236527675561</v>
      </c>
      <c r="G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2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5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4">
        <f t="shared" si="48"/>
        <v>-18364.881940672021</v>
      </c>
      <c r="O204" s="195">
        <f t="shared" si="59"/>
        <v>0</v>
      </c>
      <c r="P204" s="205">
        <f t="shared" si="49"/>
        <v>0</v>
      </c>
      <c r="Q204" s="192">
        <f>IFERROR(VLOOKUP(A204,[1]Energiindhold!$A$2:$C$11,3,FALSE),IFERROR(VLOOKUP(A204,[1]Biogasudbytte!$A$2:$B$18,2,FALSE)*[1]Energiindhold!$C$10,0))*O204</f>
        <v>0</v>
      </c>
      <c r="R204" s="192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2">
        <f>IFERROR(VLOOKUP(A204,[1]Biogasudbytte!$A$2:$B$18,2,FALSE)*[1]Energiindhold!$C$10,0)*J204*IFERROR(VLOOKUP(A204,Biogasanlæg!$F$3:$G$8,2,FALSE),1)</f>
        <v>0</v>
      </c>
      <c r="T204" s="193">
        <f t="shared" si="50"/>
        <v>0</v>
      </c>
      <c r="U204" s="191">
        <f>O204*IFERROR(VLOOKUP(A204,[1]Tørstofindhold!A$2:B$24,2,FALSE),0)</f>
        <v>0</v>
      </c>
      <c r="V204" s="192">
        <f>IF(D204=År1,P204,SUM(O204,P204))*IFERROR(VLOOKUP(A204,[1]Tørstofindhold!A$2:B$24,2,FALSE),0)</f>
        <v>0</v>
      </c>
      <c r="W204" s="192">
        <f>J204*IFERROR(VLOOKUP(A204,[1]Tørstofindhold!A$2:B$24,2,FALSE),0)</f>
        <v>0</v>
      </c>
      <c r="X204" s="193">
        <f t="shared" si="51"/>
        <v>0</v>
      </c>
      <c r="Y204" s="171">
        <f t="shared" si="60"/>
        <v>0</v>
      </c>
      <c r="Z204" s="103">
        <f t="shared" si="61"/>
        <v>1</v>
      </c>
    </row>
    <row r="205" spans="1:26" x14ac:dyDescent="0.25">
      <c r="A205" s="194" t="str">
        <f t="shared" si="56"/>
        <v>Frø</v>
      </c>
      <c r="B205" s="194" t="str">
        <f t="shared" si="57"/>
        <v/>
      </c>
      <c r="C205" s="194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4">
        <f t="shared" si="58"/>
        <v>2030</v>
      </c>
      <c r="E205" s="192" t="s">
        <v>24</v>
      </c>
      <c r="F205" s="195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342757.79858178977</v>
      </c>
      <c r="G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2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5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4">
        <f t="shared" si="48"/>
        <v>342757.79858178977</v>
      </c>
      <c r="O205" s="195">
        <f t="shared" si="59"/>
        <v>0</v>
      </c>
      <c r="P205" s="205">
        <f t="shared" si="49"/>
        <v>0</v>
      </c>
      <c r="Q205" s="192">
        <f>IFERROR(VLOOKUP(A205,[1]Energiindhold!$A$2:$C$11,3,FALSE),IFERROR(VLOOKUP(A205,[1]Biogasudbytte!$A$2:$B$18,2,FALSE)*[1]Energiindhold!$C$10,0))*O205</f>
        <v>0</v>
      </c>
      <c r="R205" s="192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2">
        <f>IFERROR(VLOOKUP(A205,[1]Biogasudbytte!$A$2:$B$18,2,FALSE)*[1]Energiindhold!$C$10,0)*J205*IFERROR(VLOOKUP(A205,Biogasanlæg!$F$3:$G$8,2,FALSE),1)</f>
        <v>0</v>
      </c>
      <c r="T205" s="193">
        <f t="shared" si="50"/>
        <v>0</v>
      </c>
      <c r="U205" s="191">
        <f>O205*IFERROR(VLOOKUP(A205,[1]Tørstofindhold!A$2:B$24,2,FALSE),0)</f>
        <v>0</v>
      </c>
      <c r="V205" s="192">
        <f>IF(D205=År1,P205,SUM(O205,P205))*IFERROR(VLOOKUP(A205,[1]Tørstofindhold!A$2:B$24,2,FALSE),0)</f>
        <v>0</v>
      </c>
      <c r="W205" s="192">
        <f>J205*IFERROR(VLOOKUP(A205,[1]Tørstofindhold!A$2:B$24,2,FALSE),0)</f>
        <v>0</v>
      </c>
      <c r="X205" s="193">
        <f t="shared" si="51"/>
        <v>0</v>
      </c>
      <c r="Y205" s="171">
        <f t="shared" si="60"/>
        <v>0</v>
      </c>
      <c r="Z205" s="103">
        <f t="shared" si="61"/>
        <v>1</v>
      </c>
    </row>
    <row r="206" spans="1:26" x14ac:dyDescent="0.25">
      <c r="A206" s="194" t="str">
        <f t="shared" si="56"/>
        <v>Frugt</v>
      </c>
      <c r="B206" s="194" t="str">
        <f t="shared" si="57"/>
        <v/>
      </c>
      <c r="C206" s="194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4">
        <f t="shared" si="58"/>
        <v>2030</v>
      </c>
      <c r="E206" s="192" t="s">
        <v>24</v>
      </c>
      <c r="F206" s="195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9754.2866982633659</v>
      </c>
      <c r="G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2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5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4">
        <f t="shared" si="48"/>
        <v>-213569.65595504592</v>
      </c>
      <c r="O206" s="195">
        <f t="shared" si="59"/>
        <v>0</v>
      </c>
      <c r="P206" s="205">
        <f t="shared" si="49"/>
        <v>0</v>
      </c>
      <c r="Q206" s="192">
        <f>IFERROR(VLOOKUP(A206,[1]Energiindhold!$A$2:$C$11,3,FALSE),IFERROR(VLOOKUP(A206,[1]Biogasudbytte!$A$2:$B$18,2,FALSE)*[1]Energiindhold!$C$10,0))*O206</f>
        <v>0</v>
      </c>
      <c r="R206" s="192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2">
        <f>IFERROR(VLOOKUP(A206,[1]Biogasudbytte!$A$2:$B$18,2,FALSE)*[1]Energiindhold!$C$10,0)*J206*IFERROR(VLOOKUP(A206,Biogasanlæg!$F$3:$G$8,2,FALSE),1)</f>
        <v>0</v>
      </c>
      <c r="T206" s="193">
        <f t="shared" si="50"/>
        <v>0</v>
      </c>
      <c r="U206" s="191">
        <f>O206*IFERROR(VLOOKUP(A206,[1]Tørstofindhold!A$2:B$24,2,FALSE),0)</f>
        <v>0</v>
      </c>
      <c r="V206" s="192">
        <f>IF(D206=År1,P206,SUM(O206,P206))*IFERROR(VLOOKUP(A206,[1]Tørstofindhold!A$2:B$24,2,FALSE),0)</f>
        <v>0</v>
      </c>
      <c r="W206" s="192">
        <f>J206*IFERROR(VLOOKUP(A206,[1]Tørstofindhold!A$2:B$24,2,FALSE),0)</f>
        <v>0</v>
      </c>
      <c r="X206" s="193">
        <f t="shared" si="51"/>
        <v>0</v>
      </c>
      <c r="Y206" s="171">
        <f t="shared" si="60"/>
        <v>1</v>
      </c>
      <c r="Z206" s="103">
        <f t="shared" si="61"/>
        <v>0</v>
      </c>
    </row>
    <row r="207" spans="1:26" x14ac:dyDescent="0.25">
      <c r="A207" s="194" t="str">
        <f t="shared" si="56"/>
        <v>Glycerin</v>
      </c>
      <c r="B207" s="194" t="str">
        <f t="shared" si="57"/>
        <v>Glycerin</v>
      </c>
      <c r="C207" s="194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4">
        <f t="shared" si="58"/>
        <v>2030</v>
      </c>
      <c r="E207" s="192" t="s">
        <v>24</v>
      </c>
      <c r="F207" s="195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2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5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4">
        <f t="shared" si="48"/>
        <v>-28548.400000000001</v>
      </c>
      <c r="O207" s="195">
        <f t="shared" si="59"/>
        <v>0</v>
      </c>
      <c r="P207" s="205">
        <f t="shared" si="49"/>
        <v>28548.400000000001</v>
      </c>
      <c r="Q207" s="192">
        <f>IFERROR(VLOOKUP(A207,[1]Energiindhold!$A$2:$C$11,3,FALSE),IFERROR(VLOOKUP(A207,[1]Biogasudbytte!$A$2:$B$18,2,FALSE)*[1]Energiindhold!$C$10,0))*O207</f>
        <v>0</v>
      </c>
      <c r="R207" s="192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2">
        <f>IFERROR(VLOOKUP(A207,[1]Biogasudbytte!$A$2:$B$18,2,FALSE)*[1]Energiindhold!$C$10,0)*J207*IFERROR(VLOOKUP(A207,Biogasanlæg!$F$3:$G$8,2,FALSE),1)</f>
        <v>0.43389639740160008</v>
      </c>
      <c r="T207" s="193">
        <f t="shared" si="50"/>
        <v>0</v>
      </c>
      <c r="U207" s="191">
        <f>O207*IFERROR(VLOOKUP(A207,[1]Tørstofindhold!A$2:B$24,2,FALSE),0)</f>
        <v>0</v>
      </c>
      <c r="V207" s="192">
        <f>IF(D207=År1,P207,SUM(O207,P207))*IFERROR(VLOOKUP(A207,[1]Tørstofindhold!A$2:B$24,2,FALSE),0)</f>
        <v>25693.56</v>
      </c>
      <c r="W207" s="192">
        <f>J207*IFERROR(VLOOKUP(A207,[1]Tørstofindhold!A$2:B$24,2,FALSE),0)</f>
        <v>25693.56</v>
      </c>
      <c r="X207" s="193">
        <f t="shared" si="51"/>
        <v>0</v>
      </c>
      <c r="Y207" s="171">
        <f t="shared" si="60"/>
        <v>1</v>
      </c>
      <c r="Z207" s="103">
        <f t="shared" si="61"/>
        <v>0</v>
      </c>
    </row>
    <row r="208" spans="1:26" x14ac:dyDescent="0.25">
      <c r="A208" s="194" t="str">
        <f t="shared" si="56"/>
        <v>Græs</v>
      </c>
      <c r="B208" s="194" t="str">
        <f t="shared" si="57"/>
        <v>Græs og urter</v>
      </c>
      <c r="C208" s="194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4">
        <f t="shared" si="58"/>
        <v>2030</v>
      </c>
      <c r="E208" s="192" t="s">
        <v>24</v>
      </c>
      <c r="F208" s="195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7915785.5258047525</v>
      </c>
      <c r="G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1201654.4608093714</v>
      </c>
      <c r="H208" s="192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18670.90350678641</v>
      </c>
      <c r="K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5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4">
        <f t="shared" si="48"/>
        <v>6695460.1614885945</v>
      </c>
      <c r="O208" s="195">
        <f t="shared" si="59"/>
        <v>6695460.1614885945</v>
      </c>
      <c r="P208" s="205">
        <f t="shared" si="49"/>
        <v>18670.90350678641</v>
      </c>
      <c r="Q208" s="192">
        <f>IFERROR(VLOOKUP(A208,[1]Energiindhold!$A$2:$C$11,3,FALSE),IFERROR(VLOOKUP(A208,[1]Biogasudbytte!$A$2:$B$18,2,FALSE)*[1]Energiindhold!$C$10,0))*O208</f>
        <v>12.318809764618829</v>
      </c>
      <c r="R208" s="192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12.353161893208377</v>
      </c>
      <c r="S208" s="192">
        <f>IFERROR(VLOOKUP(A208,[1]Biogasudbytte!$A$2:$B$18,2,FALSE)*[1]Energiindhold!$C$10,0)*J208*IFERROR(VLOOKUP(A208,Biogasanlæg!$F$3:$G$8,2,FALSE),1)</f>
        <v>3.4352128589548649E-2</v>
      </c>
      <c r="T208" s="193">
        <f t="shared" si="50"/>
        <v>12.318809764618829</v>
      </c>
      <c r="U208" s="191">
        <f>O208*IFERROR(VLOOKUP(A208,[1]Tørstofindhold!A$2:B$24,2,FALSE),0)</f>
        <v>1874728.8452168067</v>
      </c>
      <c r="V208" s="192">
        <f>IF(D208=År1,P208,SUM(O208,P208))*IFERROR(VLOOKUP(A208,[1]Tørstofindhold!A$2:B$24,2,FALSE),0)</f>
        <v>1879956.6981987068</v>
      </c>
      <c r="W208" s="192">
        <f>J208*IFERROR(VLOOKUP(A208,[1]Tørstofindhold!A$2:B$24,2,FALSE),0)</f>
        <v>5227.8529819001951</v>
      </c>
      <c r="X208" s="193">
        <f t="shared" si="51"/>
        <v>1874728.8452168067</v>
      </c>
      <c r="Y208" s="171">
        <f t="shared" si="60"/>
        <v>0</v>
      </c>
      <c r="Z208" s="103">
        <f t="shared" si="61"/>
        <v>1</v>
      </c>
    </row>
    <row r="209" spans="1:26" x14ac:dyDescent="0.25">
      <c r="A209" s="194" t="str">
        <f t="shared" si="56"/>
        <v>Græsprotein</v>
      </c>
      <c r="B209" s="194" t="str">
        <f t="shared" si="57"/>
        <v/>
      </c>
      <c r="C209" s="194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4">
        <f t="shared" si="58"/>
        <v>2030</v>
      </c>
      <c r="E209" s="192" t="s">
        <v>24</v>
      </c>
      <c r="F209" s="195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0</v>
      </c>
      <c r="G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2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5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4">
        <f t="shared" si="48"/>
        <v>0</v>
      </c>
      <c r="O209" s="195">
        <f t="shared" si="59"/>
        <v>0</v>
      </c>
      <c r="P209" s="205">
        <f t="shared" si="49"/>
        <v>0</v>
      </c>
      <c r="Q209" s="192">
        <f>IFERROR(VLOOKUP(A209,[1]Energiindhold!$A$2:$C$11,3,FALSE),IFERROR(VLOOKUP(A209,[1]Biogasudbytte!$A$2:$B$18,2,FALSE)*[1]Energiindhold!$C$10,0))*O209</f>
        <v>0</v>
      </c>
      <c r="R209" s="192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2">
        <f>IFERROR(VLOOKUP(A209,[1]Biogasudbytte!$A$2:$B$18,2,FALSE)*[1]Energiindhold!$C$10,0)*J209*IFERROR(VLOOKUP(A209,Biogasanlæg!$F$3:$G$8,2,FALSE),1)</f>
        <v>0</v>
      </c>
      <c r="T209" s="193">
        <f t="shared" si="50"/>
        <v>0</v>
      </c>
      <c r="U209" s="191">
        <f>O209*IFERROR(VLOOKUP(A209,[1]Tørstofindhold!A$2:B$24,2,FALSE),0)</f>
        <v>0</v>
      </c>
      <c r="V209" s="192">
        <f>IF(D209=År1,P209,SUM(O209,P209))*IFERROR(VLOOKUP(A209,[1]Tørstofindhold!A$2:B$24,2,FALSE),0)</f>
        <v>0</v>
      </c>
      <c r="W209" s="192">
        <f>J209*IFERROR(VLOOKUP(A209,[1]Tørstofindhold!A$2:B$24,2,FALSE),0)</f>
        <v>0</v>
      </c>
      <c r="X209" s="193">
        <f t="shared" si="51"/>
        <v>0</v>
      </c>
      <c r="Y209" s="171">
        <f t="shared" si="60"/>
        <v>0</v>
      </c>
      <c r="Z209" s="103">
        <f t="shared" si="61"/>
        <v>0</v>
      </c>
    </row>
    <row r="210" spans="1:26" x14ac:dyDescent="0.25">
      <c r="A210" s="194" t="str">
        <f t="shared" si="56"/>
        <v>Grøntsager</v>
      </c>
      <c r="B210" s="194" t="str">
        <f t="shared" si="57"/>
        <v/>
      </c>
      <c r="C210" s="194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4">
        <f t="shared" si="58"/>
        <v>2030</v>
      </c>
      <c r="E210" s="192" t="s">
        <v>24</v>
      </c>
      <c r="F210" s="195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66219.734583524318</v>
      </c>
      <c r="G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2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5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4">
        <f t="shared" si="48"/>
        <v>-167682.71061652066</v>
      </c>
      <c r="O210" s="195">
        <f t="shared" si="59"/>
        <v>0</v>
      </c>
      <c r="P210" s="205">
        <f t="shared" si="49"/>
        <v>0</v>
      </c>
      <c r="Q210" s="192">
        <f>IFERROR(VLOOKUP(A210,[1]Energiindhold!$A$2:$C$11,3,FALSE),IFERROR(VLOOKUP(A210,[1]Biogasudbytte!$A$2:$B$18,2,FALSE)*[1]Energiindhold!$C$10,0))*O210</f>
        <v>0</v>
      </c>
      <c r="R210" s="192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2">
        <f>IFERROR(VLOOKUP(A210,[1]Biogasudbytte!$A$2:$B$18,2,FALSE)*[1]Energiindhold!$C$10,0)*J210*IFERROR(VLOOKUP(A210,Biogasanlæg!$F$3:$G$8,2,FALSE),1)</f>
        <v>0</v>
      </c>
      <c r="T210" s="193">
        <f t="shared" si="50"/>
        <v>0</v>
      </c>
      <c r="U210" s="191">
        <f>O210*IFERROR(VLOOKUP(A210,[1]Tørstofindhold!A$2:B$24,2,FALSE),0)</f>
        <v>0</v>
      </c>
      <c r="V210" s="192">
        <f>IF(D210=År1,P210,SUM(O210,P210))*IFERROR(VLOOKUP(A210,[1]Tørstofindhold!A$2:B$24,2,FALSE),0)</f>
        <v>0</v>
      </c>
      <c r="W210" s="192">
        <f>J210*IFERROR(VLOOKUP(A210,[1]Tørstofindhold!A$2:B$24,2,FALSE),0)</f>
        <v>0</v>
      </c>
      <c r="X210" s="193">
        <f t="shared" si="51"/>
        <v>0</v>
      </c>
      <c r="Y210" s="171">
        <f t="shared" si="60"/>
        <v>1</v>
      </c>
      <c r="Z210" s="103">
        <f t="shared" si="61"/>
        <v>0</v>
      </c>
    </row>
    <row r="211" spans="1:26" x14ac:dyDescent="0.25">
      <c r="A211" s="194" t="str">
        <f t="shared" si="56"/>
        <v>Halm</v>
      </c>
      <c r="B211" s="194" t="str">
        <f t="shared" si="57"/>
        <v>Halm og strå</v>
      </c>
      <c r="C211" s="194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4">
        <f t="shared" si="58"/>
        <v>2030</v>
      </c>
      <c r="E211" s="192" t="s">
        <v>24</v>
      </c>
      <c r="F211" s="195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888494.96140285372</v>
      </c>
      <c r="G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75911.558427530035</v>
      </c>
      <c r="H211" s="192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82816.687681498166</v>
      </c>
      <c r="I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19176.116683861201</v>
      </c>
      <c r="K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5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710590.59860996436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4">
        <f t="shared" si="48"/>
        <v>0</v>
      </c>
      <c r="O211" s="195">
        <f t="shared" si="59"/>
        <v>0</v>
      </c>
      <c r="P211" s="205">
        <f t="shared" si="49"/>
        <v>729766.7152938256</v>
      </c>
      <c r="Q211" s="192">
        <f>IFERROR(VLOOKUP(A211,[1]Energiindhold!$A$2:$C$11,3,FALSE),IFERROR(VLOOKUP(A211,[1]Biogasudbytte!$A$2:$B$18,2,FALSE)*[1]Energiindhold!$C$10,0))*O211</f>
        <v>0</v>
      </c>
      <c r="R211" s="192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7.455087481427622</v>
      </c>
      <c r="S211" s="192">
        <f>IFERROR(VLOOKUP(A211,[1]Biogasudbytte!$A$2:$B$18,2,FALSE)*[1]Energiindhold!$C$10,0)*J211*IFERROR(VLOOKUP(A211,Biogasanlæg!$F$3:$G$8,2,FALSE),1)</f>
        <v>0.11056066778546911</v>
      </c>
      <c r="T211" s="193">
        <f t="shared" si="50"/>
        <v>7.3445268136421529</v>
      </c>
      <c r="U211" s="191">
        <f>O211*IFERROR(VLOOKUP(A211,[1]Tørstofindhold!A$2:B$24,2,FALSE),0)</f>
        <v>0</v>
      </c>
      <c r="V211" s="192">
        <f>IF(D211=År1,P211,SUM(O211,P211))*IFERROR(VLOOKUP(A211,[1]Tørstofindhold!A$2:B$24,2,FALSE),0)</f>
        <v>620301.70799975179</v>
      </c>
      <c r="W211" s="192">
        <f>J211*IFERROR(VLOOKUP(A211,[1]Tørstofindhold!A$2:B$24,2,FALSE),0)</f>
        <v>16299.69918128202</v>
      </c>
      <c r="X211" s="193">
        <f t="shared" si="51"/>
        <v>604002.00881846971</v>
      </c>
      <c r="Y211" s="171">
        <f t="shared" si="60"/>
        <v>0</v>
      </c>
      <c r="Z211" s="103">
        <f t="shared" si="61"/>
        <v>0</v>
      </c>
    </row>
    <row r="212" spans="1:26" x14ac:dyDescent="0.25">
      <c r="A212" s="194" t="str">
        <f t="shared" si="56"/>
        <v>Have/parkaffald</v>
      </c>
      <c r="B212" s="194" t="str">
        <f t="shared" si="57"/>
        <v>Bionedbrydeligt affald</v>
      </c>
      <c r="C212" s="194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4">
        <f t="shared" si="58"/>
        <v>2030</v>
      </c>
      <c r="E212" s="192" t="s">
        <v>24</v>
      </c>
      <c r="F212" s="195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456074.89013160887</v>
      </c>
      <c r="G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2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5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4">
        <f t="shared" si="48"/>
        <v>0</v>
      </c>
      <c r="O212" s="195">
        <f t="shared" si="59"/>
        <v>0</v>
      </c>
      <c r="P212" s="205">
        <f t="shared" si="49"/>
        <v>456074.89013160887</v>
      </c>
      <c r="Q212" s="192">
        <f>IFERROR(VLOOKUP(A212,[1]Energiindhold!$A$2:$C$11,3,FALSE),IFERROR(VLOOKUP(A212,[1]Biogasudbytte!$A$2:$B$18,2,FALSE)*[1]Energiindhold!$C$10,0))*O212</f>
        <v>0</v>
      </c>
      <c r="R212" s="192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2">
        <f>IFERROR(VLOOKUP(A212,[1]Biogasudbytte!$A$2:$B$18,2,FALSE)*[1]Energiindhold!$C$10,0)*J212*IFERROR(VLOOKUP(A212,Biogasanlæg!$F$3:$G$8,2,FALSE),1)</f>
        <v>6.1463491805112617E-5</v>
      </c>
      <c r="T212" s="193">
        <f t="shared" si="50"/>
        <v>8.1413033320197155</v>
      </c>
      <c r="U212" s="191">
        <f>O212*IFERROR(VLOOKUP(A212,[1]Tørstofindhold!A$2:B$24,2,FALSE),0)</f>
        <v>0</v>
      </c>
      <c r="V212" s="192">
        <f>IF(D212=År1,P212,SUM(O212,P212))*IFERROR(VLOOKUP(A212,[1]Tørstofindhold!A$2:B$24,2,FALSE),0)</f>
        <v>136822.46703948267</v>
      </c>
      <c r="W212" s="192">
        <f>J212*IFERROR(VLOOKUP(A212,[1]Tørstofindhold!A$2:B$24,2,FALSE),0)</f>
        <v>10.858826515711238</v>
      </c>
      <c r="X212" s="193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x14ac:dyDescent="0.25">
      <c r="A213" s="194" t="str">
        <f t="shared" si="56"/>
        <v>Import af foder</v>
      </c>
      <c r="B213" s="194" t="str">
        <f t="shared" si="57"/>
        <v/>
      </c>
      <c r="C213" s="194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4">
        <f t="shared" si="58"/>
        <v>2030</v>
      </c>
      <c r="E213" s="192" t="s">
        <v>24</v>
      </c>
      <c r="F213" s="195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474117.38114065683</v>
      </c>
      <c r="H213" s="192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5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4">
        <f t="shared" si="48"/>
        <v>-474117.38114065683</v>
      </c>
      <c r="O213" s="195">
        <f t="shared" si="59"/>
        <v>0</v>
      </c>
      <c r="P213" s="205">
        <f t="shared" si="49"/>
        <v>0</v>
      </c>
      <c r="Q213" s="192">
        <f>IFERROR(VLOOKUP(A213,[1]Energiindhold!$A$2:$C$11,3,FALSE),IFERROR(VLOOKUP(A213,[1]Biogasudbytte!$A$2:$B$18,2,FALSE)*[1]Energiindhold!$C$10,0))*O213</f>
        <v>0</v>
      </c>
      <c r="R213" s="192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2">
        <f>IFERROR(VLOOKUP(A213,[1]Biogasudbytte!$A$2:$B$18,2,FALSE)*[1]Energiindhold!$C$10,0)*J213*IFERROR(VLOOKUP(A213,Biogasanlæg!$F$3:$G$8,2,FALSE),1)</f>
        <v>0</v>
      </c>
      <c r="T213" s="193">
        <f t="shared" si="50"/>
        <v>0</v>
      </c>
      <c r="U213" s="191">
        <f>O213*IFERROR(VLOOKUP(A213,[1]Tørstofindhold!A$2:B$24,2,FALSE),0)</f>
        <v>0</v>
      </c>
      <c r="V213" s="192">
        <f>IF(D213=År1,P213,SUM(O213,P213))*IFERROR(VLOOKUP(A213,[1]Tørstofindhold!A$2:B$24,2,FALSE),0)</f>
        <v>0</v>
      </c>
      <c r="W213" s="192">
        <f>J213*IFERROR(VLOOKUP(A213,[1]Tørstofindhold!A$2:B$24,2,FALSE),0)</f>
        <v>0</v>
      </c>
      <c r="X213" s="193">
        <f t="shared" si="51"/>
        <v>0</v>
      </c>
      <c r="Y213" s="171">
        <f t="shared" si="60"/>
        <v>1</v>
      </c>
      <c r="Z213" s="103">
        <f t="shared" si="61"/>
        <v>0</v>
      </c>
    </row>
    <row r="214" spans="1:26" x14ac:dyDescent="0.25">
      <c r="A214" s="194" t="str">
        <f t="shared" si="56"/>
        <v>Industriaffald</v>
      </c>
      <c r="B214" s="194" t="str">
        <f t="shared" si="57"/>
        <v>Bionedbrydeligt affald</v>
      </c>
      <c r="C214" s="194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4">
        <f t="shared" si="58"/>
        <v>2030</v>
      </c>
      <c r="E214" s="192" t="s">
        <v>24</v>
      </c>
      <c r="F214" s="195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195278.17736560528</v>
      </c>
      <c r="G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2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217506.01855496093</v>
      </c>
      <c r="K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5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4">
        <f t="shared" si="48"/>
        <v>-22227.841189355648</v>
      </c>
      <c r="O214" s="195">
        <f t="shared" si="59"/>
        <v>0</v>
      </c>
      <c r="P214" s="205">
        <f t="shared" si="49"/>
        <v>217506.01855496093</v>
      </c>
      <c r="Q214" s="192">
        <f>IFERROR(VLOOKUP(A214,[1]Energiindhold!$A$2:$C$11,3,FALSE),IFERROR(VLOOKUP(A214,[1]Biogasudbytte!$A$2:$B$18,2,FALSE)*[1]Energiindhold!$C$10,0))*O214</f>
        <v>0</v>
      </c>
      <c r="R214" s="192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0.80110957605389932</v>
      </c>
      <c r="S214" s="192">
        <f>IFERROR(VLOOKUP(A214,[1]Biogasudbytte!$A$2:$B$18,2,FALSE)*[1]Energiindhold!$C$10,0)*J214*IFERROR(VLOOKUP(A214,Biogasanlæg!$F$3:$G$8,2,FALSE),1)</f>
        <v>0.80110957605389932</v>
      </c>
      <c r="T214" s="193">
        <f t="shared" si="50"/>
        <v>0</v>
      </c>
      <c r="U214" s="191">
        <f>O214*IFERROR(VLOOKUP(A214,[1]Tørstofindhold!A$2:B$24,2,FALSE),0)</f>
        <v>0</v>
      </c>
      <c r="V214" s="192">
        <f>IF(D214=År1,P214,SUM(O214,P214))*IFERROR(VLOOKUP(A214,[1]Tørstofindhold!A$2:B$24,2,FALSE),0)</f>
        <v>91352.527793083587</v>
      </c>
      <c r="W214" s="192">
        <f>J214*IFERROR(VLOOKUP(A214,[1]Tørstofindhold!A$2:B$24,2,FALSE),0)</f>
        <v>91352.527793083587</v>
      </c>
      <c r="X214" s="193">
        <f t="shared" si="51"/>
        <v>0</v>
      </c>
      <c r="Y214" s="171">
        <f t="shared" si="60"/>
        <v>1</v>
      </c>
      <c r="Z214" s="103">
        <f t="shared" si="61"/>
        <v>0</v>
      </c>
    </row>
    <row r="215" spans="1:26" x14ac:dyDescent="0.25">
      <c r="A215" s="194" t="str">
        <f t="shared" si="56"/>
        <v>Juletræer</v>
      </c>
      <c r="B215" s="194" t="str">
        <f t="shared" si="57"/>
        <v/>
      </c>
      <c r="C215" s="194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4">
        <f t="shared" si="58"/>
        <v>2030</v>
      </c>
      <c r="E215" s="192" t="s">
        <v>24</v>
      </c>
      <c r="F215" s="195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211505.55492892067</v>
      </c>
      <c r="G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2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5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4">
        <f t="shared" si="48"/>
        <v>211505.55492892067</v>
      </c>
      <c r="O215" s="195">
        <f t="shared" si="59"/>
        <v>0</v>
      </c>
      <c r="P215" s="205">
        <f t="shared" si="49"/>
        <v>0</v>
      </c>
      <c r="Q215" s="192">
        <f>IFERROR(VLOOKUP(A215,[1]Energiindhold!$A$2:$C$11,3,FALSE),IFERROR(VLOOKUP(A215,[1]Biogasudbytte!$A$2:$B$18,2,FALSE)*[1]Energiindhold!$C$10,0))*O215</f>
        <v>0</v>
      </c>
      <c r="R215" s="192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2">
        <f>IFERROR(VLOOKUP(A215,[1]Biogasudbytte!$A$2:$B$18,2,FALSE)*[1]Energiindhold!$C$10,0)*J215*IFERROR(VLOOKUP(A215,Biogasanlæg!$F$3:$G$8,2,FALSE),1)</f>
        <v>0</v>
      </c>
      <c r="T215" s="193">
        <f t="shared" si="50"/>
        <v>0</v>
      </c>
      <c r="U215" s="191">
        <f>O215*IFERROR(VLOOKUP(A215,[1]Tørstofindhold!A$2:B$24,2,FALSE),0)</f>
        <v>0</v>
      </c>
      <c r="V215" s="192">
        <f>IF(D215=År1,P215,SUM(O215,P215))*IFERROR(VLOOKUP(A215,[1]Tørstofindhold!A$2:B$24,2,FALSE),0)</f>
        <v>0</v>
      </c>
      <c r="W215" s="192">
        <f>J215*IFERROR(VLOOKUP(A215,[1]Tørstofindhold!A$2:B$24,2,FALSE),0)</f>
        <v>0</v>
      </c>
      <c r="X215" s="193">
        <f t="shared" si="51"/>
        <v>0</v>
      </c>
      <c r="Y215" s="171">
        <f t="shared" si="60"/>
        <v>0</v>
      </c>
      <c r="Z215" s="103">
        <f t="shared" si="61"/>
        <v>1</v>
      </c>
    </row>
    <row r="216" spans="1:26" x14ac:dyDescent="0.25">
      <c r="A216" s="194" t="str">
        <f t="shared" si="56"/>
        <v>Kartofler</v>
      </c>
      <c r="B216" s="194" t="str">
        <f t="shared" si="57"/>
        <v/>
      </c>
      <c r="C216" s="194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4">
        <f t="shared" si="58"/>
        <v>2030</v>
      </c>
      <c r="E216" s="192" t="s">
        <v>24</v>
      </c>
      <c r="F216" s="195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515263.04540454788</v>
      </c>
      <c r="G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2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5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4">
        <f t="shared" ref="N216:N281" si="62">F216-SUM(G216:M216)</f>
        <v>408302.63076533133</v>
      </c>
      <c r="O216" s="195">
        <f t="shared" si="59"/>
        <v>0</v>
      </c>
      <c r="P216" s="205">
        <f t="shared" ref="P216:P281" si="63">SUM(J216,L216)</f>
        <v>0</v>
      </c>
      <c r="Q216" s="192">
        <f>IFERROR(VLOOKUP(A216,[1]Energiindhold!$A$2:$C$11,3,FALSE),IFERROR(VLOOKUP(A216,[1]Biogasudbytte!$A$2:$B$18,2,FALSE)*[1]Energiindhold!$C$10,0))*O216</f>
        <v>0</v>
      </c>
      <c r="R216" s="192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2">
        <f>IFERROR(VLOOKUP(A216,[1]Biogasudbytte!$A$2:$B$18,2,FALSE)*[1]Energiindhold!$C$10,0)*J216*IFERROR(VLOOKUP(A216,Biogasanlæg!$F$3:$G$8,2,FALSE),1)</f>
        <v>0</v>
      </c>
      <c r="T216" s="193">
        <f t="shared" ref="T216:T281" si="64">R216-S216</f>
        <v>0</v>
      </c>
      <c r="U216" s="191">
        <f>O216*IFERROR(VLOOKUP(A216,[1]Tørstofindhold!A$2:B$24,2,FALSE),0)</f>
        <v>0</v>
      </c>
      <c r="V216" s="192">
        <f>IF(D216=År1,P216,SUM(O216,P216))*IFERROR(VLOOKUP(A216,[1]Tørstofindhold!A$2:B$24,2,FALSE),0)</f>
        <v>0</v>
      </c>
      <c r="W216" s="192">
        <f>J216*IFERROR(VLOOKUP(A216,[1]Tørstofindhold!A$2:B$24,2,FALSE),0)</f>
        <v>0</v>
      </c>
      <c r="X216" s="193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x14ac:dyDescent="0.25">
      <c r="A217" s="194" t="str">
        <f t="shared" si="56"/>
        <v>Korn</v>
      </c>
      <c r="B217" s="194" t="str">
        <f t="shared" si="57"/>
        <v>Halm og strå</v>
      </c>
      <c r="C217" s="194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4">
        <f t="shared" si="58"/>
        <v>2030</v>
      </c>
      <c r="E217" s="192" t="s">
        <v>24</v>
      </c>
      <c r="F217" s="195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1608239.7398434528</v>
      </c>
      <c r="G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577297.28616440261</v>
      </c>
      <c r="H217" s="192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871.08988076433457</v>
      </c>
      <c r="K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5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4">
        <f>F217-SUM(G217:M217)</f>
        <v>773836.52433290996</v>
      </c>
      <c r="O217" s="195">
        <f t="shared" si="59"/>
        <v>773836.52433290996</v>
      </c>
      <c r="P217" s="205">
        <f t="shared" si="63"/>
        <v>871.08988076433457</v>
      </c>
      <c r="Q217" s="192">
        <f>IFERROR(VLOOKUP(A217,[1]Energiindhold!$A$2:$C$11,3,FALSE),IFERROR(VLOOKUP(A217,[1]Biogasudbytte!$A$2:$B$18,2,FALSE)*[1]Energiindhold!$C$10,0))*O217</f>
        <v>2.6502817587268104</v>
      </c>
      <c r="R217" s="192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2.653265119615845</v>
      </c>
      <c r="S217" s="192">
        <f>IFERROR(VLOOKUP(A217,[1]Biogasudbytte!$A$2:$B$18,2,FALSE)*[1]Energiindhold!$C$10,0)*J217*IFERROR(VLOOKUP(A217,Biogasanlæg!$F$3:$G$8,2,FALSE),1)</f>
        <v>2.9833608890345396E-3</v>
      </c>
      <c r="T217" s="193">
        <f t="shared" si="64"/>
        <v>2.6502817587268104</v>
      </c>
      <c r="U217" s="191">
        <f>O217*IFERROR(VLOOKUP(A217,[1]Tørstofindhold!A$2:B$24,2,FALSE),0)</f>
        <v>239889.32254320208</v>
      </c>
      <c r="V217" s="192">
        <f>IF(D217=År1,P217,SUM(O217,P217))*IFERROR(VLOOKUP(A217,[1]Tørstofindhold!A$2:B$24,2,FALSE),0)</f>
        <v>240159.36040623905</v>
      </c>
      <c r="W217" s="192">
        <f>J217*IFERROR(VLOOKUP(A217,[1]Tørstofindhold!A$2:B$24,2,FALSE),0)</f>
        <v>270.03786303694369</v>
      </c>
      <c r="X217" s="193">
        <f t="shared" si="65"/>
        <v>239889.32254320211</v>
      </c>
      <c r="Y217" s="171">
        <f t="shared" si="60"/>
        <v>0</v>
      </c>
      <c r="Z217" s="103">
        <f t="shared" si="61"/>
        <v>1</v>
      </c>
    </row>
    <row r="218" spans="1:26" x14ac:dyDescent="0.25">
      <c r="A218" s="194" t="str">
        <f t="shared" si="56"/>
        <v>Kunstgødning</v>
      </c>
      <c r="B218" s="194" t="str">
        <f t="shared" si="57"/>
        <v/>
      </c>
      <c r="C218" s="194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4">
        <f t="shared" si="58"/>
        <v>2030</v>
      </c>
      <c r="E218" s="192" t="s">
        <v>24</v>
      </c>
      <c r="F218" s="195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2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5" t="e">
        <f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#REF!</v>
      </c>
      <c r="L218" s="195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4" t="e">
        <f t="shared" si="62"/>
        <v>#REF!</v>
      </c>
      <c r="O218" s="195">
        <f t="shared" si="59"/>
        <v>0</v>
      </c>
      <c r="P218" s="205">
        <f t="shared" si="63"/>
        <v>0</v>
      </c>
      <c r="Q218" s="192">
        <f>IFERROR(VLOOKUP(A218,[1]Energiindhold!$A$2:$C$11,3,FALSE),IFERROR(VLOOKUP(A218,[1]Biogasudbytte!$A$2:$B$18,2,FALSE)*[1]Energiindhold!$C$10,0))*O218</f>
        <v>0</v>
      </c>
      <c r="R218" s="192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2">
        <f>IFERROR(VLOOKUP(A218,[1]Biogasudbytte!$A$2:$B$18,2,FALSE)*[1]Energiindhold!$C$10,0)*J218*IFERROR(VLOOKUP(A218,Biogasanlæg!$F$3:$G$8,2,FALSE),1)</f>
        <v>0</v>
      </c>
      <c r="T218" s="193">
        <f t="shared" si="64"/>
        <v>0</v>
      </c>
      <c r="U218" s="191">
        <f>O218*IFERROR(VLOOKUP(A218,[1]Tørstofindhold!A$2:B$24,2,FALSE),0)</f>
        <v>0</v>
      </c>
      <c r="V218" s="192">
        <f>IF(D218=År1,P218,SUM(O218,P218))*IFERROR(VLOOKUP(A218,[1]Tørstofindhold!A$2:B$24,2,FALSE),0)</f>
        <v>0</v>
      </c>
      <c r="W218" s="192">
        <f>J218*IFERROR(VLOOKUP(A218,[1]Tørstofindhold!A$2:B$24,2,FALSE),0)</f>
        <v>0</v>
      </c>
      <c r="X218" s="193">
        <f t="shared" si="65"/>
        <v>0</v>
      </c>
      <c r="Y218" s="171" t="e">
        <f t="shared" si="60"/>
        <v>#REF!</v>
      </c>
      <c r="Z218" s="103" t="e">
        <f t="shared" si="61"/>
        <v>#REF!</v>
      </c>
    </row>
    <row r="219" spans="1:26" x14ac:dyDescent="0.25">
      <c r="A219" s="194" t="str">
        <f t="shared" si="56"/>
        <v>Kvæggylle</v>
      </c>
      <c r="B219" s="194" t="str">
        <f t="shared" si="57"/>
        <v>Husdyrgødning</v>
      </c>
      <c r="C219" s="194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4">
        <f t="shared" si="58"/>
        <v>2030</v>
      </c>
      <c r="E219" s="192" t="s">
        <v>24</v>
      </c>
      <c r="F219" s="195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738231.33813296724</v>
      </c>
      <c r="G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2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664408.20431967056</v>
      </c>
      <c r="K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48907.826151309069</v>
      </c>
      <c r="L219" s="195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4">
        <f t="shared" si="62"/>
        <v>24915.307661987608</v>
      </c>
      <c r="O219" s="195">
        <f t="shared" si="59"/>
        <v>24915.307661987608</v>
      </c>
      <c r="P219" s="205">
        <f t="shared" si="63"/>
        <v>664408.20431967056</v>
      </c>
      <c r="Q219" s="192">
        <f>IFERROR(VLOOKUP(A219,[1]Energiindhold!$A$2:$C$11,3,FALSE),IFERROR(VLOOKUP(A219,[1]Biogasudbytte!$A$2:$B$18,2,FALSE)*[1]Energiindhold!$C$10,0))*O219</f>
        <v>1.2611879585421509E-2</v>
      </c>
      <c r="R219" s="192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0.3489286685299956</v>
      </c>
      <c r="S219" s="192">
        <f>IFERROR(VLOOKUP(A219,[1]Biogasudbytte!$A$2:$B$18,2,FALSE)*[1]Energiindhold!$C$10,0)*J219*IFERROR(VLOOKUP(A219,Biogasanlæg!$F$3:$G$8,2,FALSE),1)</f>
        <v>0.33631678894457406</v>
      </c>
      <c r="T219" s="193">
        <f t="shared" si="64"/>
        <v>1.2611879585421537E-2</v>
      </c>
      <c r="U219" s="191">
        <f>O219*IFERROR(VLOOKUP(A219,[1]Tørstofindhold!A$2:B$24,2,FALSE),0)</f>
        <v>1893.5633823110581</v>
      </c>
      <c r="V219" s="192">
        <f>IF(D219=År1,P219,SUM(O219,P219))*IFERROR(VLOOKUP(A219,[1]Tørstofindhold!A$2:B$24,2,FALSE),0)</f>
        <v>52388.58691060602</v>
      </c>
      <c r="W219" s="192">
        <f>J219*IFERROR(VLOOKUP(A219,[1]Tørstofindhold!A$2:B$24,2,FALSE),0)</f>
        <v>50495.023528294958</v>
      </c>
      <c r="X219" s="193">
        <f t="shared" si="65"/>
        <v>1893.563382311062</v>
      </c>
      <c r="Y219" s="171">
        <f t="shared" si="60"/>
        <v>0</v>
      </c>
      <c r="Z219" s="103">
        <f t="shared" si="61"/>
        <v>1</v>
      </c>
    </row>
    <row r="220" spans="1:26" x14ac:dyDescent="0.25">
      <c r="A220" s="194" t="str">
        <f t="shared" si="56"/>
        <v>Mælk til foder</v>
      </c>
      <c r="B220" s="194" t="str">
        <f t="shared" si="57"/>
        <v/>
      </c>
      <c r="C220" s="194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4">
        <f t="shared" si="58"/>
        <v>2030</v>
      </c>
      <c r="E220" s="192" t="s">
        <v>24</v>
      </c>
      <c r="F220" s="195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92168.427114874314</v>
      </c>
      <c r="G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148832.39497031379</v>
      </c>
      <c r="H220" s="192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5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4">
        <f t="shared" si="62"/>
        <v>-56663.967855439478</v>
      </c>
      <c r="O220" s="195">
        <f t="shared" si="59"/>
        <v>0</v>
      </c>
      <c r="P220" s="205">
        <f t="shared" si="63"/>
        <v>0</v>
      </c>
      <c r="Q220" s="192">
        <f>IFERROR(VLOOKUP(A220,[1]Energiindhold!$A$2:$C$11,3,FALSE),IFERROR(VLOOKUP(A220,[1]Biogasudbytte!$A$2:$B$18,2,FALSE)*[1]Energiindhold!$C$10,0))*O220</f>
        <v>0</v>
      </c>
      <c r="R220" s="192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2">
        <f>IFERROR(VLOOKUP(A220,[1]Biogasudbytte!$A$2:$B$18,2,FALSE)*[1]Energiindhold!$C$10,0)*J220*IFERROR(VLOOKUP(A220,Biogasanlæg!$F$3:$G$8,2,FALSE),1)</f>
        <v>0</v>
      </c>
      <c r="T220" s="193">
        <f t="shared" si="64"/>
        <v>0</v>
      </c>
      <c r="U220" s="191">
        <f>O220*IFERROR(VLOOKUP(A220,[1]Tørstofindhold!A$2:B$24,2,FALSE),0)</f>
        <v>0</v>
      </c>
      <c r="V220" s="192">
        <f>IF(D220=År1,P220,SUM(O220,P220))*IFERROR(VLOOKUP(A220,[1]Tørstofindhold!A$2:B$24,2,FALSE),0)</f>
        <v>0</v>
      </c>
      <c r="W220" s="192">
        <f>J220*IFERROR(VLOOKUP(A220,[1]Tørstofindhold!A$2:B$24,2,FALSE),0)</f>
        <v>0</v>
      </c>
      <c r="X220" s="193">
        <f t="shared" si="65"/>
        <v>0</v>
      </c>
      <c r="Y220" s="171">
        <f t="shared" si="60"/>
        <v>0</v>
      </c>
      <c r="Z220" s="103">
        <f t="shared" si="61"/>
        <v>1</v>
      </c>
    </row>
    <row r="221" spans="1:26" x14ac:dyDescent="0.25">
      <c r="A221" s="194" t="str">
        <f t="shared" si="56"/>
        <v>Majs</v>
      </c>
      <c r="B221" s="194" t="str">
        <f t="shared" si="57"/>
        <v>Græs og urter</v>
      </c>
      <c r="C221" s="194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4">
        <f t="shared" si="58"/>
        <v>2030</v>
      </c>
      <c r="E221" s="192" t="s">
        <v>24</v>
      </c>
      <c r="F221" s="195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1730463.2966817433</v>
      </c>
      <c r="G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555482.60888742993</v>
      </c>
      <c r="H221" s="192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74810.246107047482</v>
      </c>
      <c r="K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5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4">
        <f t="shared" si="62"/>
        <v>1100170.4416872659</v>
      </c>
      <c r="O221" s="195">
        <f t="shared" si="59"/>
        <v>1100170.4416872659</v>
      </c>
      <c r="P221" s="205">
        <f t="shared" si="63"/>
        <v>74810.246107047482</v>
      </c>
      <c r="Q221" s="192">
        <f>IFERROR(VLOOKUP(A221,[1]Energiindhold!$A$2:$C$11,3,FALSE),IFERROR(VLOOKUP(A221,[1]Biogasudbytte!$A$2:$B$18,2,FALSE)*[1]Energiindhold!$C$10,0))*O221</f>
        <v>3.9496118856572848</v>
      </c>
      <c r="R221" s="192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4.2181806691815851</v>
      </c>
      <c r="S221" s="192">
        <f>IFERROR(VLOOKUP(A221,[1]Biogasudbytte!$A$2:$B$18,2,FALSE)*[1]Energiindhold!$C$10,0)*J221*IFERROR(VLOOKUP(A221,Biogasanlæg!$F$3:$G$8,2,FALSE),1)</f>
        <v>0.26856878352430047</v>
      </c>
      <c r="T221" s="193">
        <f t="shared" si="64"/>
        <v>3.9496118856572844</v>
      </c>
      <c r="U221" s="191">
        <f>O221*IFERROR(VLOOKUP(A221,[1]Tørstofindhold!A$2:B$24,2,FALSE),0)</f>
        <v>330051.13250617974</v>
      </c>
      <c r="V221" s="192">
        <f>IF(D221=År1,P221,SUM(O221,P221))*IFERROR(VLOOKUP(A221,[1]Tørstofindhold!A$2:B$24,2,FALSE),0)</f>
        <v>352494.20633829397</v>
      </c>
      <c r="W221" s="192">
        <f>J221*IFERROR(VLOOKUP(A221,[1]Tørstofindhold!A$2:B$24,2,FALSE),0)</f>
        <v>22443.073832114245</v>
      </c>
      <c r="X221" s="193">
        <f t="shared" si="65"/>
        <v>330051.13250617974</v>
      </c>
      <c r="Y221" s="171">
        <f t="shared" si="60"/>
        <v>0</v>
      </c>
      <c r="Z221" s="103">
        <f t="shared" si="61"/>
        <v>1</v>
      </c>
    </row>
    <row r="222" spans="1:26" x14ac:dyDescent="0.25">
      <c r="A222" s="194" t="str">
        <f t="shared" si="56"/>
        <v>Mejeriprodukter</v>
      </c>
      <c r="B222" s="194" t="str">
        <f t="shared" si="57"/>
        <v/>
      </c>
      <c r="C222" s="194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4">
        <f t="shared" si="58"/>
        <v>2030</v>
      </c>
      <c r="E222" s="192" t="s">
        <v>24</v>
      </c>
      <c r="F222" s="195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177837.22990030446</v>
      </c>
      <c r="G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2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5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4">
        <f t="shared" si="62"/>
        <v>-231198.20190680941</v>
      </c>
      <c r="O222" s="195">
        <f t="shared" si="59"/>
        <v>0</v>
      </c>
      <c r="P222" s="205">
        <f t="shared" si="63"/>
        <v>0</v>
      </c>
      <c r="Q222" s="192">
        <f>IFERROR(VLOOKUP(A222,[1]Energiindhold!$A$2:$C$11,3,FALSE),IFERROR(VLOOKUP(A222,[1]Biogasudbytte!$A$2:$B$18,2,FALSE)*[1]Energiindhold!$C$10,0))*O222</f>
        <v>0</v>
      </c>
      <c r="R222" s="192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2">
        <f>IFERROR(VLOOKUP(A222,[1]Biogasudbytte!$A$2:$B$18,2,FALSE)*[1]Energiindhold!$C$10,0)*J222*IFERROR(VLOOKUP(A222,Biogasanlæg!$F$3:$G$8,2,FALSE),1)</f>
        <v>0</v>
      </c>
      <c r="T222" s="193">
        <f t="shared" si="64"/>
        <v>0</v>
      </c>
      <c r="U222" s="191">
        <f>O222*IFERROR(VLOOKUP(A222,[1]Tørstofindhold!A$2:B$24,2,FALSE),0)</f>
        <v>0</v>
      </c>
      <c r="V222" s="192">
        <f>IF(D222=År1,P222,SUM(O222,P222))*IFERROR(VLOOKUP(A222,[1]Tørstofindhold!A$2:B$24,2,FALSE),0)</f>
        <v>0</v>
      </c>
      <c r="W222" s="192">
        <f>J222*IFERROR(VLOOKUP(A222,[1]Tørstofindhold!A$2:B$24,2,FALSE),0)</f>
        <v>0</v>
      </c>
      <c r="X222" s="193">
        <f t="shared" si="65"/>
        <v>0</v>
      </c>
      <c r="Y222" s="171">
        <f t="shared" si="60"/>
        <v>0</v>
      </c>
      <c r="Z222" s="103">
        <f t="shared" si="61"/>
        <v>1</v>
      </c>
    </row>
    <row r="223" spans="1:26" x14ac:dyDescent="0.25">
      <c r="A223" s="194" t="str">
        <f t="shared" si="56"/>
        <v>Muslinger</v>
      </c>
      <c r="B223" s="194" t="str">
        <f t="shared" si="57"/>
        <v>Havbiomasse</v>
      </c>
      <c r="C223" s="194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4">
        <f t="shared" si="58"/>
        <v>2030</v>
      </c>
      <c r="E223" s="192" t="s">
        <v>24</v>
      </c>
      <c r="F223" s="195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3243.3351780449079</v>
      </c>
      <c r="G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2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5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4">
        <f t="shared" si="62"/>
        <v>3243.3351780449079</v>
      </c>
      <c r="O223" s="195">
        <f t="shared" si="59"/>
        <v>3243.3351780449079</v>
      </c>
      <c r="P223" s="205">
        <f t="shared" si="63"/>
        <v>0</v>
      </c>
      <c r="Q223" s="192">
        <f>IFERROR(VLOOKUP(A223,[1]Energiindhold!$A$2:$C$11,3,FALSE),IFERROR(VLOOKUP(A223,[1]Biogasudbytte!$A$2:$B$18,2,FALSE)*[1]Energiindhold!$C$10,0))*O223</f>
        <v>2.9108933222953054E-3</v>
      </c>
      <c r="R223" s="192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2">
        <f>IFERROR(VLOOKUP(A223,[1]Biogasudbytte!$A$2:$B$18,2,FALSE)*[1]Energiindhold!$C$10,0)*J223*IFERROR(VLOOKUP(A223,Biogasanlæg!$F$3:$G$8,2,FALSE),1)</f>
        <v>0</v>
      </c>
      <c r="T223" s="193">
        <f t="shared" si="64"/>
        <v>2.9108933222953054E-3</v>
      </c>
      <c r="U223" s="191">
        <f>O223*IFERROR(VLOOKUP(A223,[1]Tørstofindhold!A$2:B$24,2,FALSE),0)</f>
        <v>486.50027670673614</v>
      </c>
      <c r="V223" s="192">
        <f>IF(D223=År1,P223,SUM(O223,P223))*IFERROR(VLOOKUP(A223,[1]Tørstofindhold!A$2:B$24,2,FALSE),0)</f>
        <v>486.50027670673614</v>
      </c>
      <c r="W223" s="192">
        <f>J223*IFERROR(VLOOKUP(A223,[1]Tørstofindhold!A$2:B$24,2,FALSE),0)</f>
        <v>0</v>
      </c>
      <c r="X223" s="193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x14ac:dyDescent="0.25">
      <c r="A224" s="194" t="str">
        <f t="shared" si="56"/>
        <v>Oksekød</v>
      </c>
      <c r="B224" s="194" t="str">
        <f t="shared" si="57"/>
        <v/>
      </c>
      <c r="C224" s="194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4">
        <f t="shared" si="58"/>
        <v>2030</v>
      </c>
      <c r="E224" s="192" t="s">
        <v>24</v>
      </c>
      <c r="F224" s="195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6036.6362564051497</v>
      </c>
      <c r="G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2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5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4">
        <f t="shared" si="62"/>
        <v>-45939.072923222928</v>
      </c>
      <c r="O224" s="195">
        <f t="shared" si="59"/>
        <v>0</v>
      </c>
      <c r="P224" s="205">
        <f t="shared" si="63"/>
        <v>0</v>
      </c>
      <c r="Q224" s="192">
        <f>IFERROR(VLOOKUP(A224,[1]Energiindhold!$A$2:$C$11,3,FALSE),IFERROR(VLOOKUP(A224,[1]Biogasudbytte!$A$2:$B$18,2,FALSE)*[1]Energiindhold!$C$10,0))*O224</f>
        <v>0</v>
      </c>
      <c r="R224" s="192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2">
        <f>IFERROR(VLOOKUP(A224,[1]Biogasudbytte!$A$2:$B$18,2,FALSE)*[1]Energiindhold!$C$10,0)*J224*IFERROR(VLOOKUP(A224,Biogasanlæg!$F$3:$G$8,2,FALSE),1)</f>
        <v>0</v>
      </c>
      <c r="T224" s="193">
        <f t="shared" si="64"/>
        <v>0</v>
      </c>
      <c r="U224" s="191">
        <f>O224*IFERROR(VLOOKUP(A224,[1]Tørstofindhold!A$2:B$24,2,FALSE),0)</f>
        <v>0</v>
      </c>
      <c r="V224" s="192">
        <f>IF(D224=År1,P224,SUM(O224,P224))*IFERROR(VLOOKUP(A224,[1]Tørstofindhold!A$2:B$24,2,FALSE),0)</f>
        <v>0</v>
      </c>
      <c r="W224" s="192">
        <f>J224*IFERROR(VLOOKUP(A224,[1]Tørstofindhold!A$2:B$24,2,FALSE),0)</f>
        <v>0</v>
      </c>
      <c r="X224" s="193">
        <f t="shared" si="65"/>
        <v>0</v>
      </c>
      <c r="Y224" s="171">
        <f t="shared" si="60"/>
        <v>1</v>
      </c>
      <c r="Z224" s="103">
        <f t="shared" si="61"/>
        <v>0</v>
      </c>
    </row>
    <row r="225" spans="1:26" x14ac:dyDescent="0.25">
      <c r="A225" s="194" t="str">
        <f t="shared" si="56"/>
        <v>Øvrige</v>
      </c>
      <c r="B225" s="194" t="str">
        <f t="shared" si="57"/>
        <v/>
      </c>
      <c r="C225" s="194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4">
        <f t="shared" si="58"/>
        <v>2030</v>
      </c>
      <c r="E225" s="192" t="s">
        <v>24</v>
      </c>
      <c r="F225" s="195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301497.09442768525</v>
      </c>
      <c r="G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2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5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4">
        <f t="shared" si="62"/>
        <v>301497.09442768525</v>
      </c>
      <c r="O225" s="195">
        <f t="shared" si="59"/>
        <v>0</v>
      </c>
      <c r="P225" s="205">
        <f t="shared" si="63"/>
        <v>0</v>
      </c>
      <c r="Q225" s="192">
        <f>IFERROR(VLOOKUP(A225,[1]Energiindhold!$A$2:$C$11,3,FALSE),IFERROR(VLOOKUP(A225,[1]Biogasudbytte!$A$2:$B$18,2,FALSE)*[1]Energiindhold!$C$10,0))*O225</f>
        <v>0</v>
      </c>
      <c r="R225" s="192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2">
        <f>IFERROR(VLOOKUP(A225,[1]Biogasudbytte!$A$2:$B$18,2,FALSE)*[1]Energiindhold!$C$10,0)*J225*IFERROR(VLOOKUP(A225,Biogasanlæg!$F$3:$G$8,2,FALSE),1)</f>
        <v>0</v>
      </c>
      <c r="T225" s="193">
        <f t="shared" si="64"/>
        <v>0</v>
      </c>
      <c r="U225" s="191">
        <f>O225*IFERROR(VLOOKUP(A225,[1]Tørstofindhold!A$2:B$24,2,FALSE),0)</f>
        <v>0</v>
      </c>
      <c r="V225" s="192">
        <f>IF(D225=År1,P225,SUM(O225,P225))*IFERROR(VLOOKUP(A225,[1]Tørstofindhold!A$2:B$24,2,FALSE),0)</f>
        <v>0</v>
      </c>
      <c r="W225" s="192">
        <f>J225*IFERROR(VLOOKUP(A225,[1]Tørstofindhold!A$2:B$24,2,FALSE),0)</f>
        <v>0</v>
      </c>
      <c r="X225" s="193">
        <f t="shared" si="65"/>
        <v>0</v>
      </c>
      <c r="Y225" s="171">
        <f t="shared" si="60"/>
        <v>0</v>
      </c>
      <c r="Z225" s="103">
        <f t="shared" si="61"/>
        <v>1</v>
      </c>
    </row>
    <row r="226" spans="1:26" x14ac:dyDescent="0.25">
      <c r="A226" s="194" t="str">
        <f t="shared" si="56"/>
        <v>Pil &amp; poppel</v>
      </c>
      <c r="B226" s="194" t="str">
        <f t="shared" si="57"/>
        <v>Vedmasse</v>
      </c>
      <c r="C226" s="194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4">
        <f t="shared" si="58"/>
        <v>2030</v>
      </c>
      <c r="E226" s="192" t="s">
        <v>24</v>
      </c>
      <c r="F226" s="195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42074.872472772768</v>
      </c>
      <c r="G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2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5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42074.872472772768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4">
        <f t="shared" si="62"/>
        <v>0</v>
      </c>
      <c r="O226" s="195">
        <f t="shared" si="59"/>
        <v>0</v>
      </c>
      <c r="P226" s="205">
        <f t="shared" si="63"/>
        <v>42074.872472772768</v>
      </c>
      <c r="Q226" s="192">
        <f>IFERROR(VLOOKUP(A226,[1]Energiindhold!$A$2:$C$11,3,FALSE),IFERROR(VLOOKUP(A226,[1]Biogasudbytte!$A$2:$B$18,2,FALSE)*[1]Energiindhold!$C$10,0))*O226</f>
        <v>0</v>
      </c>
      <c r="R226" s="192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0.77417765349901879</v>
      </c>
      <c r="S226" s="192">
        <f>IFERROR(VLOOKUP(A226,[1]Biogasudbytte!$A$2:$B$18,2,FALSE)*[1]Energiindhold!$C$10,0)*J226*IFERROR(VLOOKUP(A226,Biogasanlæg!$F$3:$G$8,2,FALSE),1)</f>
        <v>0</v>
      </c>
      <c r="T226" s="193">
        <f t="shared" si="64"/>
        <v>0.77417765349901879</v>
      </c>
      <c r="U226" s="191">
        <f>O226*IFERROR(VLOOKUP(A226,[1]Tørstofindhold!A$2:B$24,2,FALSE),0)</f>
        <v>0</v>
      </c>
      <c r="V226" s="192">
        <f>IF(D226=År1,P226,SUM(O226,P226))*IFERROR(VLOOKUP(A226,[1]Tørstofindhold!A$2:B$24,2,FALSE),0)</f>
        <v>17461.0720762007</v>
      </c>
      <c r="W226" s="192">
        <f>J226*IFERROR(VLOOKUP(A226,[1]Tørstofindhold!A$2:B$24,2,FALSE),0)</f>
        <v>0</v>
      </c>
      <c r="X226" s="193">
        <f t="shared" si="65"/>
        <v>17461.0720762007</v>
      </c>
      <c r="Y226" s="171">
        <f t="shared" si="60"/>
        <v>0</v>
      </c>
      <c r="Z226" s="103">
        <f t="shared" si="61"/>
        <v>0</v>
      </c>
    </row>
    <row r="227" spans="1:26" x14ac:dyDescent="0.25">
      <c r="A227" s="194" t="str">
        <f t="shared" ref="A227:A228" si="66">A179</f>
        <v>Pyrolysegas</v>
      </c>
      <c r="B227" s="194" t="str">
        <f t="shared" ref="B227:B228" si="67">IF(B179&lt;&gt;"",B179,"")</f>
        <v>Pyrolyseprodukter</v>
      </c>
      <c r="C227" s="194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4">
        <f t="shared" si="58"/>
        <v>2030</v>
      </c>
      <c r="E227" s="192" t="s">
        <v>24</v>
      </c>
      <c r="F227" s="195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0</v>
      </c>
      <c r="G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2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5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4">
        <f t="shared" ref="N227:N228" si="68">F227-SUM(G227:M227)</f>
        <v>0</v>
      </c>
      <c r="O227" s="195">
        <f t="shared" si="59"/>
        <v>0</v>
      </c>
      <c r="P227" s="205">
        <f t="shared" ref="P227:P228" si="69">SUM(J227,L227)</f>
        <v>0</v>
      </c>
      <c r="Q227" s="192">
        <f>IFERROR(VLOOKUP(A227,[1]Energiindhold!$A$2:$C$11,3,FALSE),IFERROR(VLOOKUP(A227,[1]Biogasudbytte!$A$2:$B$18,2,FALSE)*[1]Energiindhold!$C$10,0))*O227</f>
        <v>0</v>
      </c>
      <c r="R227" s="192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2">
        <f>IFERROR(VLOOKUP(A227,[1]Biogasudbytte!$A$2:$B$18,2,FALSE)*[1]Energiindhold!$C$10,0)*J227*IFERROR(VLOOKUP(A227,Biogasanlæg!$F$3:$G$8,2,FALSE),1)</f>
        <v>0</v>
      </c>
      <c r="T227" s="193">
        <f t="shared" ref="T227:T228" si="70">R227-S227</f>
        <v>0</v>
      </c>
      <c r="U227" s="191">
        <f>O227*IFERROR(VLOOKUP(A227,[1]Tørstofindhold!A$2:B$24,2,FALSE),0)</f>
        <v>0</v>
      </c>
      <c r="V227" s="192">
        <f>IF(D227=År1,P227,SUM(O227,P227))*IFERROR(VLOOKUP(A227,[1]Tørstofindhold!A$2:B$24,2,FALSE),0)</f>
        <v>0</v>
      </c>
      <c r="W227" s="192">
        <f>J227*IFERROR(VLOOKUP(A227,[1]Tørstofindhold!A$2:B$24,2,FALSE),0)</f>
        <v>0</v>
      </c>
      <c r="X227" s="193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x14ac:dyDescent="0.25">
      <c r="A228" s="194" t="str">
        <f t="shared" si="66"/>
        <v>Pyrolyseolie</v>
      </c>
      <c r="B228" s="194" t="str">
        <f t="shared" si="67"/>
        <v>Pyrolyseprodukter</v>
      </c>
      <c r="C228" s="194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4">
        <f t="shared" si="58"/>
        <v>2030</v>
      </c>
      <c r="E228" s="192" t="s">
        <v>24</v>
      </c>
      <c r="F228" s="195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0</v>
      </c>
      <c r="G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2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5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4">
        <f t="shared" si="68"/>
        <v>0</v>
      </c>
      <c r="O228" s="195">
        <f t="shared" si="59"/>
        <v>0</v>
      </c>
      <c r="P228" s="205">
        <f t="shared" si="69"/>
        <v>0</v>
      </c>
      <c r="Q228" s="192">
        <f>IFERROR(VLOOKUP(A228,[1]Energiindhold!$A$2:$C$11,3,FALSE),IFERROR(VLOOKUP(A228,[1]Biogasudbytte!$A$2:$B$18,2,FALSE)*[1]Energiindhold!$C$10,0))*O228</f>
        <v>0</v>
      </c>
      <c r="R228" s="192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2">
        <f>IFERROR(VLOOKUP(A228,[1]Biogasudbytte!$A$2:$B$18,2,FALSE)*[1]Energiindhold!$C$10,0)*J228*IFERROR(VLOOKUP(A228,Biogasanlæg!$F$3:$G$8,2,FALSE),1)</f>
        <v>0</v>
      </c>
      <c r="T228" s="193">
        <f t="shared" si="70"/>
        <v>0</v>
      </c>
      <c r="U228" s="191">
        <f>O228*IFERROR(VLOOKUP(A228,[1]Tørstofindhold!A$2:B$24,2,FALSE),0)</f>
        <v>0</v>
      </c>
      <c r="V228" s="192">
        <f>IF(D228=År1,P228,SUM(O228,P228))*IFERROR(VLOOKUP(A228,[1]Tørstofindhold!A$2:B$24,2,FALSE),0)</f>
        <v>0</v>
      </c>
      <c r="W228" s="192">
        <f>J228*IFERROR(VLOOKUP(A228,[1]Tørstofindhold!A$2:B$24,2,FALSE),0)</f>
        <v>0</v>
      </c>
      <c r="X228" s="193">
        <f t="shared" si="71"/>
        <v>0</v>
      </c>
      <c r="Y228" s="171">
        <f t="shared" si="60"/>
        <v>0</v>
      </c>
      <c r="Z228" s="103">
        <f t="shared" si="61"/>
        <v>0</v>
      </c>
    </row>
    <row r="229" spans="1:26" x14ac:dyDescent="0.25">
      <c r="A229" s="194" t="str">
        <f t="shared" ref="A229:A274" si="72">A181</f>
        <v>Råmælk</v>
      </c>
      <c r="B229" s="194" t="str">
        <f t="shared" ref="B229:B274" si="73">IF(B181&lt;&gt;"",B181,"")</f>
        <v/>
      </c>
      <c r="C229" s="194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4">
        <f t="shared" si="58"/>
        <v>2030</v>
      </c>
      <c r="E229" s="192" t="s">
        <v>24</v>
      </c>
      <c r="F229" s="195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276928.87898992695</v>
      </c>
      <c r="G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2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5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4">
        <f t="shared" si="62"/>
        <v>276928.87898992695</v>
      </c>
      <c r="O229" s="195">
        <f t="shared" si="59"/>
        <v>0</v>
      </c>
      <c r="P229" s="205">
        <f t="shared" si="63"/>
        <v>0</v>
      </c>
      <c r="Q229" s="192">
        <f>IFERROR(VLOOKUP(A229,[1]Energiindhold!$A$2:$C$11,3,FALSE),IFERROR(VLOOKUP(A229,[1]Biogasudbytte!$A$2:$B$18,2,FALSE)*[1]Energiindhold!$C$10,0))*O229</f>
        <v>0</v>
      </c>
      <c r="R229" s="192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2">
        <f>IFERROR(VLOOKUP(A229,[1]Biogasudbytte!$A$2:$B$18,2,FALSE)*[1]Energiindhold!$C$10,0)*J229*IFERROR(VLOOKUP(A229,Biogasanlæg!$F$3:$G$8,2,FALSE),1)</f>
        <v>0</v>
      </c>
      <c r="T229" s="193">
        <f t="shared" si="64"/>
        <v>0</v>
      </c>
      <c r="U229" s="191">
        <f>O229*IFERROR(VLOOKUP(A229,[1]Tørstofindhold!A$2:B$24,2,FALSE),0)</f>
        <v>0</v>
      </c>
      <c r="V229" s="192">
        <f>IF(D229=År1,P229,SUM(O229,P229))*IFERROR(VLOOKUP(A229,[1]Tørstofindhold!A$2:B$24,2,FALSE),0)</f>
        <v>0</v>
      </c>
      <c r="W229" s="192">
        <f>J229*IFERROR(VLOOKUP(A229,[1]Tørstofindhold!A$2:B$24,2,FALSE),0)</f>
        <v>0</v>
      </c>
      <c r="X229" s="193">
        <f t="shared" si="65"/>
        <v>0</v>
      </c>
      <c r="Y229" s="171">
        <f t="shared" si="60"/>
        <v>0</v>
      </c>
      <c r="Z229" s="103">
        <f t="shared" si="61"/>
        <v>1</v>
      </c>
    </row>
    <row r="230" spans="1:26" x14ac:dyDescent="0.25">
      <c r="A230" s="194" t="str">
        <f t="shared" si="72"/>
        <v>Raps</v>
      </c>
      <c r="B230" s="194" t="str">
        <f t="shared" si="73"/>
        <v/>
      </c>
      <c r="C230" s="194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4">
        <f t="shared" si="58"/>
        <v>2030</v>
      </c>
      <c r="E230" s="192" t="s">
        <v>24</v>
      </c>
      <c r="F230" s="195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111531.10220983687</v>
      </c>
      <c r="G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2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5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111531.10220983687</v>
      </c>
      <c r="N230" s="204">
        <f t="shared" si="62"/>
        <v>0</v>
      </c>
      <c r="O230" s="195">
        <f t="shared" si="59"/>
        <v>0</v>
      </c>
      <c r="P230" s="205">
        <f t="shared" si="63"/>
        <v>0</v>
      </c>
      <c r="Q230" s="192">
        <f>IFERROR(VLOOKUP(A230,[1]Energiindhold!$A$2:$C$11,3,FALSE),IFERROR(VLOOKUP(A230,[1]Biogasudbytte!$A$2:$B$18,2,FALSE)*[1]Energiindhold!$C$10,0))*O230</f>
        <v>0</v>
      </c>
      <c r="R230" s="192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2">
        <f>IFERROR(VLOOKUP(A230,[1]Biogasudbytte!$A$2:$B$18,2,FALSE)*[1]Energiindhold!$C$10,0)*J230*IFERROR(VLOOKUP(A230,Biogasanlæg!$F$3:$G$8,2,FALSE),1)</f>
        <v>0</v>
      </c>
      <c r="T230" s="193">
        <f t="shared" si="64"/>
        <v>0</v>
      </c>
      <c r="U230" s="191">
        <f>O230*IFERROR(VLOOKUP(A230,[1]Tørstofindhold!A$2:B$24,2,FALSE),0)</f>
        <v>0</v>
      </c>
      <c r="V230" s="192">
        <f>IF(D230=År1,P230,SUM(O230,P230))*IFERROR(VLOOKUP(A230,[1]Tørstofindhold!A$2:B$24,2,FALSE),0)</f>
        <v>0</v>
      </c>
      <c r="W230" s="192">
        <f>J230*IFERROR(VLOOKUP(A230,[1]Tørstofindhold!A$2:B$24,2,FALSE),0)</f>
        <v>0</v>
      </c>
      <c r="X230" s="193">
        <f t="shared" si="65"/>
        <v>0</v>
      </c>
      <c r="Y230" s="171">
        <f t="shared" si="60"/>
        <v>0</v>
      </c>
      <c r="Z230" s="103">
        <f t="shared" si="61"/>
        <v>0</v>
      </c>
    </row>
    <row r="231" spans="1:26" x14ac:dyDescent="0.25">
      <c r="A231" s="194" t="str">
        <f t="shared" si="72"/>
        <v>Rapskage</v>
      </c>
      <c r="B231" s="194" t="str">
        <f t="shared" si="73"/>
        <v/>
      </c>
      <c r="C231" s="194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4">
        <f t="shared" si="58"/>
        <v>2030</v>
      </c>
      <c r="E231" s="192" t="s">
        <v>24</v>
      </c>
      <c r="F231" s="195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55765.551104918435</v>
      </c>
      <c r="G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21023.015601598698</v>
      </c>
      <c r="H231" s="192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5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4">
        <f t="shared" si="62"/>
        <v>34742.535503319741</v>
      </c>
      <c r="O231" s="195">
        <f t="shared" si="59"/>
        <v>0</v>
      </c>
      <c r="P231" s="205">
        <f t="shared" si="63"/>
        <v>0</v>
      </c>
      <c r="Q231" s="192">
        <f>IFERROR(VLOOKUP(A231,[1]Energiindhold!$A$2:$C$11,3,FALSE),IFERROR(VLOOKUP(A231,[1]Biogasudbytte!$A$2:$B$18,2,FALSE)*[1]Energiindhold!$C$10,0))*O231</f>
        <v>0</v>
      </c>
      <c r="R231" s="192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2">
        <f>IFERROR(VLOOKUP(A231,[1]Biogasudbytte!$A$2:$B$18,2,FALSE)*[1]Energiindhold!$C$10,0)*J231*IFERROR(VLOOKUP(A231,Biogasanlæg!$F$3:$G$8,2,FALSE),1)</f>
        <v>0</v>
      </c>
      <c r="T231" s="193">
        <f t="shared" si="64"/>
        <v>0</v>
      </c>
      <c r="U231" s="191">
        <f>O231*IFERROR(VLOOKUP(A231,[1]Tørstofindhold!A$2:B$24,2,FALSE),0)</f>
        <v>0</v>
      </c>
      <c r="V231" s="192">
        <f>IF(D231=År1,P231,SUM(O231,P231))*IFERROR(VLOOKUP(A231,[1]Tørstofindhold!A$2:B$24,2,FALSE),0)</f>
        <v>0</v>
      </c>
      <c r="W231" s="192">
        <f>J231*IFERROR(VLOOKUP(A231,[1]Tørstofindhold!A$2:B$24,2,FALSE),0)</f>
        <v>0</v>
      </c>
      <c r="X231" s="193">
        <f t="shared" si="65"/>
        <v>0</v>
      </c>
      <c r="Y231" s="171">
        <f t="shared" si="60"/>
        <v>0</v>
      </c>
      <c r="Z231" s="103">
        <f t="shared" si="61"/>
        <v>1</v>
      </c>
    </row>
    <row r="232" spans="1:26" x14ac:dyDescent="0.25">
      <c r="A232" s="194" t="str">
        <f t="shared" si="72"/>
        <v>Rapsolie</v>
      </c>
      <c r="B232" s="194" t="str">
        <f t="shared" si="73"/>
        <v>Rapsolie</v>
      </c>
      <c r="C232" s="194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4">
        <f t="shared" si="58"/>
        <v>2030</v>
      </c>
      <c r="E232" s="192" t="s">
        <v>24</v>
      </c>
      <c r="F232" s="195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35689.952707147801</v>
      </c>
      <c r="G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2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5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35689.952707147801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4">
        <f t="shared" si="62"/>
        <v>0</v>
      </c>
      <c r="O232" s="195">
        <f t="shared" si="59"/>
        <v>0</v>
      </c>
      <c r="P232" s="205">
        <f t="shared" si="63"/>
        <v>35689.952707147801</v>
      </c>
      <c r="Q232" s="192">
        <f>IFERROR(VLOOKUP(A232,[1]Energiindhold!$A$2:$C$11,3,FALSE),IFERROR(VLOOKUP(A232,[1]Biogasudbytte!$A$2:$B$18,2,FALSE)*[1]Energiindhold!$C$10,0))*O232</f>
        <v>0</v>
      </c>
      <c r="R232" s="192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1.249148344750173</v>
      </c>
      <c r="S232" s="192">
        <f>IFERROR(VLOOKUP(A232,[1]Biogasudbytte!$A$2:$B$18,2,FALSE)*[1]Energiindhold!$C$10,0)*J232*IFERROR(VLOOKUP(A232,Biogasanlæg!$F$3:$G$8,2,FALSE),1)</f>
        <v>0</v>
      </c>
      <c r="T232" s="193">
        <f t="shared" si="64"/>
        <v>1.249148344750173</v>
      </c>
      <c r="U232" s="191">
        <f>O232*IFERROR(VLOOKUP(A232,[1]Tørstofindhold!A$2:B$24,2,FALSE),0)</f>
        <v>0</v>
      </c>
      <c r="V232" s="192">
        <f>IF(D232=År1,P232,SUM(O232,P232))*IFERROR(VLOOKUP(A232,[1]Tørstofindhold!A$2:B$24,2,FALSE),0)</f>
        <v>0</v>
      </c>
      <c r="W232" s="192">
        <f>J232*IFERROR(VLOOKUP(A232,[1]Tørstofindhold!A$2:B$24,2,FALSE),0)</f>
        <v>0</v>
      </c>
      <c r="X232" s="193">
        <f t="shared" si="65"/>
        <v>0</v>
      </c>
      <c r="Y232" s="171">
        <f t="shared" si="60"/>
        <v>0</v>
      </c>
      <c r="Z232" s="103">
        <f t="shared" si="61"/>
        <v>0</v>
      </c>
    </row>
    <row r="233" spans="1:26" x14ac:dyDescent="0.25">
      <c r="A233" s="194" t="str">
        <f t="shared" si="72"/>
        <v>Roer</v>
      </c>
      <c r="B233" s="194" t="str">
        <f t="shared" si="73"/>
        <v>Græs og urter</v>
      </c>
      <c r="C233" s="194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4">
        <f t="shared" si="58"/>
        <v>2030</v>
      </c>
      <c r="E233" s="192" t="s">
        <v>24</v>
      </c>
      <c r="F233" s="195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1508318.1394402247</v>
      </c>
      <c r="G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82596.701464021666</v>
      </c>
      <c r="H233" s="192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6717.4186381438076</v>
      </c>
      <c r="K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5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4">
        <f t="shared" si="62"/>
        <v>1419004.0193380592</v>
      </c>
      <c r="O233" s="195">
        <f t="shared" si="59"/>
        <v>1419004.0193380592</v>
      </c>
      <c r="P233" s="205">
        <f t="shared" si="63"/>
        <v>6717.4186381438076</v>
      </c>
      <c r="Q233" s="192">
        <f>IFERROR(VLOOKUP(A233,[1]Energiindhold!$A$2:$C$11,3,FALSE),IFERROR(VLOOKUP(A233,[1]Biogasudbytte!$A$2:$B$18,2,FALSE)*[1]Energiindhold!$C$10,0))*O233</f>
        <v>3.8512336686442663</v>
      </c>
      <c r="R233" s="192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3.8694650115249343</v>
      </c>
      <c r="S233" s="192">
        <f>IFERROR(VLOOKUP(A233,[1]Biogasudbytte!$A$2:$B$18,2,FALSE)*[1]Energiindhold!$C$10,0)*J233*IFERROR(VLOOKUP(A233,Biogasanlæg!$F$3:$G$8,2,FALSE),1)</f>
        <v>1.8231342880667821E-2</v>
      </c>
      <c r="T233" s="193">
        <f t="shared" si="64"/>
        <v>3.8512336686442663</v>
      </c>
      <c r="U233" s="191">
        <f>O233*IFERROR(VLOOKUP(A233,[1]Tørstofindhold!A$2:B$24,2,FALSE),0)</f>
        <v>283800.80386761186</v>
      </c>
      <c r="V233" s="192">
        <f>IF(D233=År1,P233,SUM(O233,P233))*IFERROR(VLOOKUP(A233,[1]Tørstofindhold!A$2:B$24,2,FALSE),0)</f>
        <v>285144.28759524063</v>
      </c>
      <c r="W233" s="192">
        <f>J233*IFERROR(VLOOKUP(A233,[1]Tørstofindhold!A$2:B$24,2,FALSE),0)</f>
        <v>1343.4837276287617</v>
      </c>
      <c r="X233" s="193">
        <f t="shared" si="65"/>
        <v>283800.80386761186</v>
      </c>
      <c r="Y233" s="171">
        <f t="shared" si="60"/>
        <v>0</v>
      </c>
      <c r="Z233" s="103">
        <f t="shared" si="61"/>
        <v>1</v>
      </c>
    </row>
    <row r="234" spans="1:26" x14ac:dyDescent="0.25">
      <c r="A234" s="194" t="str">
        <f t="shared" si="72"/>
        <v>Slagteriaffald til andet</v>
      </c>
      <c r="B234" s="194" t="str">
        <f t="shared" si="73"/>
        <v/>
      </c>
      <c r="C234" s="194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4">
        <f t="shared" si="58"/>
        <v>2030</v>
      </c>
      <c r="E234" s="192" t="s">
        <v>24</v>
      </c>
      <c r="F234" s="195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18028.658633856463</v>
      </c>
      <c r="G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2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5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4">
        <f t="shared" si="62"/>
        <v>18028.658633856463</v>
      </c>
      <c r="O234" s="195">
        <f t="shared" si="59"/>
        <v>0</v>
      </c>
      <c r="P234" s="205">
        <f t="shared" si="63"/>
        <v>0</v>
      </c>
      <c r="Q234" s="192">
        <f>IFERROR(VLOOKUP(A234,[1]Energiindhold!$A$2:$C$11,3,FALSE),IFERROR(VLOOKUP(A234,[1]Biogasudbytte!$A$2:$B$18,2,FALSE)*[1]Energiindhold!$C$10,0))*O234</f>
        <v>0</v>
      </c>
      <c r="R234" s="192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2">
        <f>IFERROR(VLOOKUP(A234,[1]Biogasudbytte!$A$2:$B$18,2,FALSE)*[1]Energiindhold!$C$10,0)*J234*IFERROR(VLOOKUP(A234,Biogasanlæg!$F$3:$G$8,2,FALSE),1)</f>
        <v>0</v>
      </c>
      <c r="T234" s="193">
        <f t="shared" si="64"/>
        <v>0</v>
      </c>
      <c r="U234" s="191">
        <f>O234*IFERROR(VLOOKUP(A234,[1]Tørstofindhold!A$2:B$24,2,FALSE),0)</f>
        <v>0</v>
      </c>
      <c r="V234" s="192">
        <f>IF(D234=År1,P234,SUM(O234,P234))*IFERROR(VLOOKUP(A234,[1]Tørstofindhold!A$2:B$24,2,FALSE),0)</f>
        <v>0</v>
      </c>
      <c r="W234" s="192">
        <f>J234*IFERROR(VLOOKUP(A234,[1]Tørstofindhold!A$2:B$24,2,FALSE),0)</f>
        <v>0</v>
      </c>
      <c r="X234" s="193">
        <f t="shared" si="65"/>
        <v>0</v>
      </c>
      <c r="Y234" s="171">
        <f t="shared" si="60"/>
        <v>0</v>
      </c>
      <c r="Z234" s="103">
        <f t="shared" si="61"/>
        <v>1</v>
      </c>
    </row>
    <row r="235" spans="1:26" x14ac:dyDescent="0.25">
      <c r="A235" s="194" t="str">
        <f t="shared" si="72"/>
        <v>Slagteriaffald til foder</v>
      </c>
      <c r="B235" s="194" t="str">
        <f t="shared" si="73"/>
        <v/>
      </c>
      <c r="C235" s="194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4">
        <f t="shared" si="58"/>
        <v>2030</v>
      </c>
      <c r="E235" s="192" t="s">
        <v>24</v>
      </c>
      <c r="F235" s="195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14632.341003448482</v>
      </c>
      <c r="G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3870.3459684951581</v>
      </c>
      <c r="H235" s="192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5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4">
        <f t="shared" si="62"/>
        <v>10761.995034953325</v>
      </c>
      <c r="O235" s="195">
        <f t="shared" si="59"/>
        <v>0</v>
      </c>
      <c r="P235" s="205">
        <f t="shared" si="63"/>
        <v>0</v>
      </c>
      <c r="Q235" s="192">
        <f>IFERROR(VLOOKUP(A235,[1]Energiindhold!$A$2:$C$11,3,FALSE),IFERROR(VLOOKUP(A235,[1]Biogasudbytte!$A$2:$B$18,2,FALSE)*[1]Energiindhold!$C$10,0))*O235</f>
        <v>0</v>
      </c>
      <c r="R235" s="192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2">
        <f>IFERROR(VLOOKUP(A235,[1]Biogasudbytte!$A$2:$B$18,2,FALSE)*[1]Energiindhold!$C$10,0)*J235*IFERROR(VLOOKUP(A235,Biogasanlæg!$F$3:$G$8,2,FALSE),1)</f>
        <v>0</v>
      </c>
      <c r="T235" s="193">
        <f t="shared" si="64"/>
        <v>0</v>
      </c>
      <c r="U235" s="191">
        <f>O235*IFERROR(VLOOKUP(A235,[1]Tørstofindhold!A$2:B$24,2,FALSE),0)</f>
        <v>0</v>
      </c>
      <c r="V235" s="192">
        <f>IF(D235=År1,P235,SUM(O235,P235))*IFERROR(VLOOKUP(A235,[1]Tørstofindhold!A$2:B$24,2,FALSE),0)</f>
        <v>0</v>
      </c>
      <c r="W235" s="192">
        <f>J235*IFERROR(VLOOKUP(A235,[1]Tørstofindhold!A$2:B$24,2,FALSE),0)</f>
        <v>0</v>
      </c>
      <c r="X235" s="193">
        <f t="shared" si="65"/>
        <v>0</v>
      </c>
      <c r="Y235" s="171">
        <f t="shared" si="60"/>
        <v>0</v>
      </c>
      <c r="Z235" s="103">
        <f t="shared" si="61"/>
        <v>1</v>
      </c>
    </row>
    <row r="236" spans="1:26" x14ac:dyDescent="0.25">
      <c r="A236" s="194" t="str">
        <f t="shared" si="72"/>
        <v>Spildevandsslam</v>
      </c>
      <c r="B236" s="194" t="str">
        <f t="shared" si="73"/>
        <v>Bionedbrydeligt affald</v>
      </c>
      <c r="C236" s="194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4">
        <f t="shared" si="58"/>
        <v>2030</v>
      </c>
      <c r="E236" s="192" t="s">
        <v>24</v>
      </c>
      <c r="F236" s="195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3342323.2852705466</v>
      </c>
      <c r="G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2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1267572.2425659813</v>
      </c>
      <c r="K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5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4">
        <f t="shared" si="62"/>
        <v>2074751.0427045652</v>
      </c>
      <c r="O236" s="195">
        <f t="shared" si="59"/>
        <v>2074751.0427045652</v>
      </c>
      <c r="P236" s="205">
        <f t="shared" si="63"/>
        <v>1267572.2425659813</v>
      </c>
      <c r="Q236" s="192">
        <f>IFERROR(VLOOKUP(A236,[1]Energiindhold!$A$2:$C$11,3,FALSE),IFERROR(VLOOKUP(A236,[1]Biogasudbytte!$A$2:$B$18,2,FALSE)*[1]Energiindhold!$C$10,0))*O236</f>
        <v>1.0353215178200053</v>
      </c>
      <c r="R236" s="192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1.6678527425828555</v>
      </c>
      <c r="S236" s="192">
        <f>IFERROR(VLOOKUP(A236,[1]Biogasudbytte!$A$2:$B$18,2,FALSE)*[1]Energiindhold!$C$10,0)*J236*IFERROR(VLOOKUP(A236,Biogasanlæg!$F$3:$G$8,2,FALSE),1)</f>
        <v>0.6325312247628504</v>
      </c>
      <c r="T236" s="193">
        <f t="shared" si="64"/>
        <v>1.0353215178200053</v>
      </c>
      <c r="U236" s="191">
        <f>O236*IFERROR(VLOOKUP(A236,[1]Tørstofindhold!A$2:B$24,2,FALSE),0)</f>
        <v>124485.0625622739</v>
      </c>
      <c r="V236" s="192">
        <f>IF(D236=År1,P236,SUM(O236,P236))*IFERROR(VLOOKUP(A236,[1]Tørstofindhold!A$2:B$24,2,FALSE),0)</f>
        <v>200539.39711623278</v>
      </c>
      <c r="W236" s="192">
        <f>J236*IFERROR(VLOOKUP(A236,[1]Tørstofindhold!A$2:B$24,2,FALSE),0)</f>
        <v>76054.334553958877</v>
      </c>
      <c r="X236" s="193">
        <f t="shared" si="65"/>
        <v>124485.0625622739</v>
      </c>
      <c r="Y236" s="171">
        <f t="shared" si="60"/>
        <v>0</v>
      </c>
      <c r="Z236" s="103">
        <f t="shared" si="61"/>
        <v>1</v>
      </c>
    </row>
    <row r="237" spans="1:26" x14ac:dyDescent="0.25">
      <c r="A237" s="194" t="str">
        <f t="shared" si="72"/>
        <v>Svinegylle</v>
      </c>
      <c r="B237" s="194" t="str">
        <f t="shared" si="73"/>
        <v>Husdyrgødning</v>
      </c>
      <c r="C237" s="194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4">
        <f t="shared" si="58"/>
        <v>2030</v>
      </c>
      <c r="E237" s="192" t="s">
        <v>24</v>
      </c>
      <c r="F237" s="195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1747439.8704342765</v>
      </c>
      <c r="G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2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1572695.883390849</v>
      </c>
      <c r="K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174743.98704342762</v>
      </c>
      <c r="L237" s="195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4">
        <f t="shared" si="62"/>
        <v>0</v>
      </c>
      <c r="O237" s="195">
        <f t="shared" si="59"/>
        <v>0</v>
      </c>
      <c r="P237" s="205">
        <f t="shared" si="63"/>
        <v>1572695.883390849</v>
      </c>
      <c r="Q237" s="192">
        <f>IFERROR(VLOOKUP(A237,[1]Energiindhold!$A$2:$C$11,3,FALSE),IFERROR(VLOOKUP(A237,[1]Biogasudbytte!$A$2:$B$18,2,FALSE)*[1]Energiindhold!$C$10,0))*O237</f>
        <v>0</v>
      </c>
      <c r="R237" s="192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0.67751738656477789</v>
      </c>
      <c r="S237" s="192">
        <f>IFERROR(VLOOKUP(A237,[1]Biogasudbytte!$A$2:$B$18,2,FALSE)*[1]Energiindhold!$C$10,0)*J237*IFERROR(VLOOKUP(A237,Biogasanlæg!$F$3:$G$8,2,FALSE),1)</f>
        <v>0.67751738656477789</v>
      </c>
      <c r="T237" s="193">
        <f t="shared" si="64"/>
        <v>0</v>
      </c>
      <c r="U237" s="191">
        <f>O237*IFERROR(VLOOKUP(A237,[1]Tørstofindhold!A$2:B$24,2,FALSE),0)</f>
        <v>0</v>
      </c>
      <c r="V237" s="192">
        <f>IF(D237=År1,P237,SUM(O237,P237))*IFERROR(VLOOKUP(A237,[1]Tørstofindhold!A$2:B$24,2,FALSE),0)</f>
        <v>78634.794169542452</v>
      </c>
      <c r="W237" s="192">
        <f>J237*IFERROR(VLOOKUP(A237,[1]Tørstofindhold!A$2:B$24,2,FALSE),0)</f>
        <v>78634.794169542452</v>
      </c>
      <c r="X237" s="193">
        <f t="shared" si="65"/>
        <v>0</v>
      </c>
      <c r="Y237" s="171">
        <f t="shared" si="60"/>
        <v>0</v>
      </c>
      <c r="Z237" s="103">
        <f t="shared" si="61"/>
        <v>0</v>
      </c>
    </row>
    <row r="238" spans="1:26" x14ac:dyDescent="0.25">
      <c r="A238" s="194" t="str">
        <f t="shared" si="72"/>
        <v>Svinekød</v>
      </c>
      <c r="B238" s="194" t="str">
        <f t="shared" si="73"/>
        <v/>
      </c>
      <c r="C238" s="194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4">
        <f t="shared" si="58"/>
        <v>2030</v>
      </c>
      <c r="E238" s="192" t="s">
        <v>24</v>
      </c>
      <c r="F238" s="195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159736.08962264023</v>
      </c>
      <c r="G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2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5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4">
        <f t="shared" si="62"/>
        <v>54209.6497730923</v>
      </c>
      <c r="O238" s="195">
        <f t="shared" si="59"/>
        <v>0</v>
      </c>
      <c r="P238" s="205">
        <f t="shared" si="63"/>
        <v>0</v>
      </c>
      <c r="Q238" s="192">
        <f>IFERROR(VLOOKUP(A238,[1]Energiindhold!$A$2:$C$11,3,FALSE),IFERROR(VLOOKUP(A238,[1]Biogasudbytte!$A$2:$B$18,2,FALSE)*[1]Energiindhold!$C$10,0))*O238</f>
        <v>0</v>
      </c>
      <c r="R238" s="192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2">
        <f>IFERROR(VLOOKUP(A238,[1]Biogasudbytte!$A$2:$B$18,2,FALSE)*[1]Energiindhold!$C$10,0)*J238*IFERROR(VLOOKUP(A238,Biogasanlæg!$F$3:$G$8,2,FALSE),1)</f>
        <v>0</v>
      </c>
      <c r="T238" s="193">
        <f t="shared" si="64"/>
        <v>0</v>
      </c>
      <c r="U238" s="191">
        <f>O238*IFERROR(VLOOKUP(A238,[1]Tørstofindhold!A$2:B$24,2,FALSE),0)</f>
        <v>0</v>
      </c>
      <c r="V238" s="192">
        <f>IF(D238=År1,P238,SUM(O238,P238))*IFERROR(VLOOKUP(A238,[1]Tørstofindhold!A$2:B$24,2,FALSE),0)</f>
        <v>0</v>
      </c>
      <c r="W238" s="192">
        <f>J238*IFERROR(VLOOKUP(A238,[1]Tørstofindhold!A$2:B$24,2,FALSE),0)</f>
        <v>0</v>
      </c>
      <c r="X238" s="193">
        <f t="shared" si="65"/>
        <v>0</v>
      </c>
      <c r="Y238" s="171">
        <f t="shared" si="60"/>
        <v>0</v>
      </c>
      <c r="Z238" s="103">
        <f t="shared" si="61"/>
        <v>1</v>
      </c>
    </row>
    <row r="239" spans="1:26" x14ac:dyDescent="0.25">
      <c r="A239" s="194" t="str">
        <f t="shared" si="72"/>
        <v>Tang</v>
      </c>
      <c r="B239" s="194" t="str">
        <f t="shared" si="73"/>
        <v>Havbiomasse</v>
      </c>
      <c r="C239" s="194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4">
        <f t="shared" si="58"/>
        <v>2030</v>
      </c>
      <c r="E239" s="192" t="s">
        <v>24</v>
      </c>
      <c r="F239" s="195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3600</v>
      </c>
      <c r="G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2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5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4">
        <f t="shared" si="62"/>
        <v>3600</v>
      </c>
      <c r="O239" s="195">
        <f t="shared" si="59"/>
        <v>3600</v>
      </c>
      <c r="P239" s="205">
        <f t="shared" si="63"/>
        <v>0</v>
      </c>
      <c r="Q239" s="192">
        <f>IFERROR(VLOOKUP(A239,[1]Energiindhold!$A$2:$C$11,3,FALSE),IFERROR(VLOOKUP(A239,[1]Biogasudbytte!$A$2:$B$18,2,FALSE)*[1]Energiindhold!$C$10,0))*O239</f>
        <v>3.2310000000000004E-3</v>
      </c>
      <c r="R239" s="192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2">
        <f>IFERROR(VLOOKUP(A239,[1]Biogasudbytte!$A$2:$B$18,2,FALSE)*[1]Energiindhold!$C$10,0)*J239*IFERROR(VLOOKUP(A239,Biogasanlæg!$F$3:$G$8,2,FALSE),1)</f>
        <v>0</v>
      </c>
      <c r="T239" s="193">
        <f t="shared" si="64"/>
        <v>3.2310000000000004E-3</v>
      </c>
      <c r="U239" s="191">
        <f>O239*IFERROR(VLOOKUP(A239,[1]Tørstofindhold!A$2:B$24,2,FALSE),0)</f>
        <v>540</v>
      </c>
      <c r="V239" s="192">
        <f>IF(D239=År1,P239,SUM(O239,P239))*IFERROR(VLOOKUP(A239,[1]Tørstofindhold!A$2:B$24,2,FALSE),0)</f>
        <v>540</v>
      </c>
      <c r="W239" s="192">
        <f>J239*IFERROR(VLOOKUP(A239,[1]Tørstofindhold!A$2:B$24,2,FALSE),0)</f>
        <v>0</v>
      </c>
      <c r="X239" s="193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x14ac:dyDescent="0.25">
      <c r="A240" s="194" t="str">
        <f t="shared" si="72"/>
        <v>Total til biogas</v>
      </c>
      <c r="B240" s="194" t="str">
        <f t="shared" si="73"/>
        <v/>
      </c>
      <c r="C240" s="194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4">
        <f t="shared" si="58"/>
        <v>2030</v>
      </c>
      <c r="E240" s="192" t="s">
        <v>24</v>
      </c>
      <c r="F240" s="195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2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5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4">
        <f t="shared" si="62"/>
        <v>0</v>
      </c>
      <c r="O240" s="195">
        <f t="shared" si="59"/>
        <v>0</v>
      </c>
      <c r="P240" s="205">
        <f t="shared" si="63"/>
        <v>0</v>
      </c>
      <c r="Q240" s="192">
        <f>IFERROR(VLOOKUP(A240,[1]Energiindhold!$A$2:$C$11,3,FALSE),IFERROR(VLOOKUP(A240,[1]Biogasudbytte!$A$2:$B$18,2,FALSE)*[1]Energiindhold!$C$10,0))*O240</f>
        <v>0</v>
      </c>
      <c r="R240" s="192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2">
        <f>IFERROR(VLOOKUP(A240,[1]Biogasudbytte!$A$2:$B$18,2,FALSE)*[1]Energiindhold!$C$10,0)*J240*IFERROR(VLOOKUP(A240,Biogasanlæg!$F$3:$G$8,2,FALSE),1)</f>
        <v>0</v>
      </c>
      <c r="T240" s="193">
        <f t="shared" si="64"/>
        <v>0</v>
      </c>
      <c r="U240" s="191">
        <f>O240*IFERROR(VLOOKUP(A240,[1]Tørstofindhold!A$2:B$24,2,FALSE),0)</f>
        <v>0</v>
      </c>
      <c r="V240" s="192">
        <f>IF(D240=År1,P240,SUM(O240,P240))*IFERROR(VLOOKUP(A240,[1]Tørstofindhold!A$2:B$24,2,FALSE),0)</f>
        <v>0</v>
      </c>
      <c r="W240" s="192">
        <f>J240*IFERROR(VLOOKUP(A240,[1]Tørstofindhold!A$2:B$24,2,FALSE),0)</f>
        <v>0</v>
      </c>
      <c r="X240" s="193">
        <f t="shared" si="65"/>
        <v>0</v>
      </c>
      <c r="Y240" s="171">
        <f t="shared" si="60"/>
        <v>0</v>
      </c>
      <c r="Z240" s="103">
        <f t="shared" si="61"/>
        <v>0</v>
      </c>
    </row>
    <row r="241" spans="1:26" x14ac:dyDescent="0.25">
      <c r="A241" s="194" t="str">
        <f t="shared" si="72"/>
        <v>Træ til energi</v>
      </c>
      <c r="B241" s="194" t="str">
        <f t="shared" si="73"/>
        <v>Vedmasse</v>
      </c>
      <c r="C241" s="194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4">
        <f t="shared" si="58"/>
        <v>2030</v>
      </c>
      <c r="E241" s="192" t="s">
        <v>24</v>
      </c>
      <c r="F241" s="195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647088.73530897219</v>
      </c>
      <c r="G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2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5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647088.73530897219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4">
        <f t="shared" si="62"/>
        <v>0</v>
      </c>
      <c r="O241" s="195">
        <f t="shared" si="59"/>
        <v>0</v>
      </c>
      <c r="P241" s="205">
        <f t="shared" si="63"/>
        <v>647088.73530897219</v>
      </c>
      <c r="Q241" s="192">
        <f>IFERROR(VLOOKUP(A241,[1]Energiindhold!$A$2:$C$11,3,FALSE),IFERROR(VLOOKUP(A241,[1]Biogasudbytte!$A$2:$B$18,2,FALSE)*[1]Energiindhold!$C$10,0))*O241</f>
        <v>0</v>
      </c>
      <c r="R241" s="192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9.3786251701161518</v>
      </c>
      <c r="S241" s="192">
        <f>IFERROR(VLOOKUP(A241,[1]Biogasudbytte!$A$2:$B$18,2,FALSE)*[1]Energiindhold!$C$10,0)*J241*IFERROR(VLOOKUP(A241,Biogasanlæg!$F$3:$G$8,2,FALSE),1)</f>
        <v>0</v>
      </c>
      <c r="T241" s="193">
        <f t="shared" si="64"/>
        <v>9.3786251701161518</v>
      </c>
      <c r="U241" s="191">
        <f>O241*IFERROR(VLOOKUP(A241,[1]Tørstofindhold!A$2:B$24,2,FALSE),0)</f>
        <v>0</v>
      </c>
      <c r="V241" s="192">
        <f>IF(D241=År1,P241,SUM(O241,P241))*IFERROR(VLOOKUP(A241,[1]Tørstofindhold!A$2:B$24,2,FALSE),0)</f>
        <v>320039.30367156246</v>
      </c>
      <c r="W241" s="192">
        <f>J241*IFERROR(VLOOKUP(A241,[1]Tørstofindhold!A$2:B$24,2,FALSE),0)</f>
        <v>0</v>
      </c>
      <c r="X241" s="193">
        <f t="shared" si="65"/>
        <v>320039.30367156246</v>
      </c>
      <c r="Y241" s="171">
        <f t="shared" si="60"/>
        <v>0</v>
      </c>
      <c r="Z241" s="103">
        <f t="shared" si="61"/>
        <v>0</v>
      </c>
    </row>
    <row r="242" spans="1:26" x14ac:dyDescent="0.25">
      <c r="A242" s="194" t="str">
        <f t="shared" si="72"/>
        <v>Træmaterialer</v>
      </c>
      <c r="B242" s="194" t="str">
        <f t="shared" si="73"/>
        <v/>
      </c>
      <c r="C242" s="194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4">
        <f t="shared" si="58"/>
        <v>2030</v>
      </c>
      <c r="E242" s="192" t="s">
        <v>24</v>
      </c>
      <c r="F242" s="195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178637.61286448501</v>
      </c>
      <c r="G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2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5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0</v>
      </c>
      <c r="N242" s="204">
        <f t="shared" si="62"/>
        <v>178637.61286448501</v>
      </c>
      <c r="O242" s="195">
        <f t="shared" si="59"/>
        <v>0</v>
      </c>
      <c r="P242" s="205">
        <f t="shared" si="63"/>
        <v>0</v>
      </c>
      <c r="Q242" s="192">
        <f>IFERROR(VLOOKUP(A242,[1]Energiindhold!$A$2:$C$11,3,FALSE),IFERROR(VLOOKUP(A242,[1]Biogasudbytte!$A$2:$B$18,2,FALSE)*[1]Energiindhold!$C$10,0))*O242</f>
        <v>0</v>
      </c>
      <c r="R242" s="192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2">
        <f>IFERROR(VLOOKUP(A242,[1]Biogasudbytte!$A$2:$B$18,2,FALSE)*[1]Energiindhold!$C$10,0)*J242*IFERROR(VLOOKUP(A242,Biogasanlæg!$F$3:$G$8,2,FALSE),1)</f>
        <v>0</v>
      </c>
      <c r="T242" s="193">
        <f t="shared" si="64"/>
        <v>0</v>
      </c>
      <c r="U242" s="191">
        <f>O242*IFERROR(VLOOKUP(A242,[1]Tørstofindhold!A$2:B$24,2,FALSE),0)</f>
        <v>0</v>
      </c>
      <c r="V242" s="192">
        <f>IF(D242=År1,P242,SUM(O242,P242))*IFERROR(VLOOKUP(A242,[1]Tørstofindhold!A$2:B$24,2,FALSE),0)</f>
        <v>0</v>
      </c>
      <c r="W242" s="192">
        <f>J242*IFERROR(VLOOKUP(A242,[1]Tørstofindhold!A$2:B$24,2,FALSE),0)</f>
        <v>0</v>
      </c>
      <c r="X242" s="193">
        <f t="shared" si="65"/>
        <v>0</v>
      </c>
      <c r="Y242" s="171">
        <f t="shared" si="60"/>
        <v>0</v>
      </c>
      <c r="Z242" s="103">
        <f t="shared" si="61"/>
        <v>1</v>
      </c>
    </row>
    <row r="243" spans="1:26" x14ac:dyDescent="0.25">
      <c r="A243" s="194" t="str">
        <f t="shared" si="72"/>
        <v>Æg</v>
      </c>
      <c r="B243" s="194" t="str">
        <f t="shared" si="73"/>
        <v/>
      </c>
      <c r="C243" s="194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4">
        <f t="shared" ref="D243:D281" si="74">År3</f>
        <v>2050</v>
      </c>
      <c r="E243" s="192" t="s">
        <v>24</v>
      </c>
      <c r="F243" s="195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13980.879672720754</v>
      </c>
      <c r="G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2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5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4">
        <f t="shared" si="62"/>
        <v>-15551.122347381201</v>
      </c>
      <c r="O243" s="195">
        <f t="shared" si="59"/>
        <v>0</v>
      </c>
      <c r="P243" s="205">
        <f t="shared" si="63"/>
        <v>0</v>
      </c>
      <c r="Q243" s="192">
        <f>IFERROR(VLOOKUP(A243,[1]Energiindhold!$A$2:$C$11,3,FALSE),IFERROR(VLOOKUP(A243,[1]Biogasudbytte!$A$2:$B$18,2,FALSE)*[1]Energiindhold!$C$10,0))*O243</f>
        <v>0</v>
      </c>
      <c r="R243" s="192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2">
        <f>IFERROR(VLOOKUP(A243,[1]Biogasudbytte!$A$2:$B$18,2,FALSE)*[1]Energiindhold!$C$10,0)*J243*IFERROR(VLOOKUP(A243,Biogasanlæg!$F$3:$G$8,2,FALSE),1)</f>
        <v>0</v>
      </c>
      <c r="T243" s="193">
        <f t="shared" si="64"/>
        <v>0</v>
      </c>
      <c r="U243" s="191">
        <f>O243*IFERROR(VLOOKUP(A243,[1]Tørstofindhold!A$2:B$24,2,FALSE),0)</f>
        <v>0</v>
      </c>
      <c r="V243" s="192">
        <f>IF(D243=År1,P243,SUM(O243,P243))*IFERROR(VLOOKUP(A243,[1]Tørstofindhold!A$2:B$24,2,FALSE),0)</f>
        <v>0</v>
      </c>
      <c r="W243" s="192">
        <f>J243*IFERROR(VLOOKUP(A243,[1]Tørstofindhold!A$2:B$24,2,FALSE),0)</f>
        <v>0</v>
      </c>
      <c r="X243" s="193">
        <f t="shared" si="65"/>
        <v>0</v>
      </c>
      <c r="Y243" s="171">
        <f t="shared" si="60"/>
        <v>0</v>
      </c>
      <c r="Z243" s="103">
        <f t="shared" si="61"/>
        <v>1</v>
      </c>
    </row>
    <row r="244" spans="1:26" x14ac:dyDescent="0.25">
      <c r="A244" s="194" t="str">
        <f t="shared" si="72"/>
        <v>Bælgsæd</v>
      </c>
      <c r="B244" s="194" t="str">
        <f t="shared" si="73"/>
        <v/>
      </c>
      <c r="C244" s="194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4">
        <f t="shared" si="74"/>
        <v>2050</v>
      </c>
      <c r="E244" s="192" t="s">
        <v>24</v>
      </c>
      <c r="F244" s="195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69084.929808935805</v>
      </c>
      <c r="G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6333.293402992078</v>
      </c>
      <c r="H244" s="192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5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4">
        <f t="shared" si="62"/>
        <v>62751.636405943726</v>
      </c>
      <c r="O244" s="195">
        <f t="shared" si="59"/>
        <v>0</v>
      </c>
      <c r="P244" s="205">
        <f t="shared" si="63"/>
        <v>0</v>
      </c>
      <c r="Q244" s="192">
        <f>IFERROR(VLOOKUP(A244,[1]Energiindhold!$A$2:$C$11,3,FALSE),IFERROR(VLOOKUP(A244,[1]Biogasudbytte!$A$2:$B$18,2,FALSE)*[1]Energiindhold!$C$10,0))*O244</f>
        <v>0</v>
      </c>
      <c r="R244" s="192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2">
        <f>IFERROR(VLOOKUP(A244,[1]Biogasudbytte!$A$2:$B$18,2,FALSE)*[1]Energiindhold!$C$10,0)*J244*IFERROR(VLOOKUP(A244,Biogasanlæg!$F$3:$G$8,2,FALSE),1)</f>
        <v>0</v>
      </c>
      <c r="T244" s="193">
        <f t="shared" si="64"/>
        <v>0</v>
      </c>
      <c r="U244" s="191">
        <f>O244*IFERROR(VLOOKUP(A244,[1]Tørstofindhold!A$2:B$24,2,FALSE),0)</f>
        <v>0</v>
      </c>
      <c r="V244" s="192">
        <f>IF(D244=År1,P244,SUM(O244,P244))*IFERROR(VLOOKUP(A244,[1]Tørstofindhold!A$2:B$24,2,FALSE),0)</f>
        <v>0</v>
      </c>
      <c r="W244" s="192">
        <f>J244*IFERROR(VLOOKUP(A244,[1]Tørstofindhold!A$2:B$24,2,FALSE),0)</f>
        <v>0</v>
      </c>
      <c r="X244" s="193">
        <f t="shared" si="65"/>
        <v>0</v>
      </c>
      <c r="Y244" s="171">
        <f t="shared" si="60"/>
        <v>0</v>
      </c>
      <c r="Z244" s="103">
        <f t="shared" si="61"/>
        <v>1</v>
      </c>
    </row>
    <row r="245" spans="1:26" x14ac:dyDescent="0.25">
      <c r="A245" s="194" t="str">
        <f t="shared" si="72"/>
        <v>Bioaffald</v>
      </c>
      <c r="B245" s="194" t="str">
        <f t="shared" si="73"/>
        <v>Bionedbrydeligt affald</v>
      </c>
      <c r="C245" s="194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4">
        <f t="shared" si="74"/>
        <v>2050</v>
      </c>
      <c r="E245" s="192" t="s">
        <v>24</v>
      </c>
      <c r="F245" s="195">
        <f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0</v>
      </c>
      <c r="G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2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5" t="e">
        <f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#REF!</v>
      </c>
      <c r="K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5" t="e">
        <f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#REF!</v>
      </c>
      <c r="M245" s="157" t="e">
        <f>SUMIFS('Forbrug af biomasse'!E:E,'Forbrug af biomasse'!C:C,'Resultat-Produktion &amp; forbrug'!$A245,'Forbrug af biomasse'!D:D,'Resultat-Produktion &amp; forbrug'!$D245,'Forbrug af biomasse'!G:G,1,'Forbrug af biomasse'!B:B,$E245)</f>
        <v>#REF!</v>
      </c>
      <c r="N245" s="204" t="e">
        <f t="shared" si="62"/>
        <v>#REF!</v>
      </c>
      <c r="O245" s="195" t="e">
        <f t="shared" si="59"/>
        <v>#REF!</v>
      </c>
      <c r="P245" s="205" t="e">
        <f t="shared" si="63"/>
        <v>#REF!</v>
      </c>
      <c r="Q245" s="192" t="e">
        <f>IFERROR(VLOOKUP(A245,[1]Energiindhold!$A$2:$C$11,3,FALSE),IFERROR(VLOOKUP(A245,[1]Biogasudbytte!$A$2:$B$18,2,FALSE)*[1]Energiindhold!$C$10,0))*O245</f>
        <v>#REF!</v>
      </c>
      <c r="R245" s="192" t="e">
        <f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#REF!</v>
      </c>
      <c r="S245" s="192" t="e">
        <f>IFERROR(VLOOKUP(A245,[1]Biogasudbytte!$A$2:$B$18,2,FALSE)*[1]Energiindhold!$C$10,0)*J245*IFERROR(VLOOKUP(A245,Biogasanlæg!$F$3:$G$8,2,FALSE),1)</f>
        <v>#REF!</v>
      </c>
      <c r="T245" s="193" t="e">
        <f t="shared" si="64"/>
        <v>#REF!</v>
      </c>
      <c r="U245" s="191" t="e">
        <f>O245*IFERROR(VLOOKUP(A245,[1]Tørstofindhold!A$2:B$24,2,FALSE),0)</f>
        <v>#REF!</v>
      </c>
      <c r="V245" s="192" t="e">
        <f>IF(D245=År1,P245,SUM(O245,P245))*IFERROR(VLOOKUP(A245,[1]Tørstofindhold!A$2:B$24,2,FALSE),0)</f>
        <v>#REF!</v>
      </c>
      <c r="W245" s="192" t="e">
        <f>J245*IFERROR(VLOOKUP(A245,[1]Tørstofindhold!A$2:B$24,2,FALSE),0)</f>
        <v>#REF!</v>
      </c>
      <c r="X245" s="193" t="e">
        <f t="shared" si="65"/>
        <v>#REF!</v>
      </c>
      <c r="Y245" s="171" t="e">
        <f t="shared" si="60"/>
        <v>#REF!</v>
      </c>
      <c r="Z245" s="103" t="e">
        <f t="shared" si="61"/>
        <v>#REF!</v>
      </c>
    </row>
    <row r="246" spans="1:26" x14ac:dyDescent="0.25">
      <c r="A246" s="194" t="str">
        <f t="shared" si="72"/>
        <v>Biogas</v>
      </c>
      <c r="B246" s="194" t="str">
        <f t="shared" si="73"/>
        <v/>
      </c>
      <c r="C246" s="194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4">
        <f t="shared" si="74"/>
        <v>2050</v>
      </c>
      <c r="E246" s="192" t="s">
        <v>24</v>
      </c>
      <c r="F246" s="195">
        <f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101509471.01728082</v>
      </c>
      <c r="G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2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5">
        <f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101509471.01728082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4">
        <f t="shared" si="62"/>
        <v>0</v>
      </c>
      <c r="O246" s="195">
        <f t="shared" si="59"/>
        <v>0</v>
      </c>
      <c r="P246" s="205">
        <f t="shared" si="63"/>
        <v>101509471.01728082</v>
      </c>
      <c r="Q246" s="192">
        <f>IFERROR(VLOOKUP(A246,[1]Energiindhold!$A$2:$C$11,3,FALSE),IFERROR(VLOOKUP(A246,[1]Biogasudbytte!$A$2:$B$18,2,FALSE)*[1]Energiindhold!$C$10,0))*O246</f>
        <v>0</v>
      </c>
      <c r="R246" s="192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2">
        <f>IFERROR(VLOOKUP(A246,[1]Biogasudbytte!$A$2:$B$18,2,FALSE)*[1]Energiindhold!$C$10,0)*J246*IFERROR(VLOOKUP(A246,Biogasanlæg!$F$3:$G$8,2,FALSE),1)</f>
        <v>0</v>
      </c>
      <c r="T246" s="193">
        <f t="shared" si="64"/>
        <v>0</v>
      </c>
      <c r="U246" s="191">
        <f>O246*IFERROR(VLOOKUP(A246,[1]Tørstofindhold!A$2:B$24,2,FALSE),0)</f>
        <v>0</v>
      </c>
      <c r="V246" s="192">
        <f>IF(D246=År1,P246,SUM(O246,P246))*IFERROR(VLOOKUP(A246,[1]Tørstofindhold!A$2:B$24,2,FALSE),0)</f>
        <v>0</v>
      </c>
      <c r="W246" s="192">
        <f>J246*IFERROR(VLOOKUP(A246,[1]Tørstofindhold!A$2:B$24,2,FALSE),0)</f>
        <v>0</v>
      </c>
      <c r="X246" s="193">
        <f t="shared" si="65"/>
        <v>0</v>
      </c>
      <c r="Y246" s="171">
        <f t="shared" si="60"/>
        <v>0</v>
      </c>
      <c r="Z246" s="103">
        <f t="shared" si="61"/>
        <v>0</v>
      </c>
    </row>
    <row r="247" spans="1:26" x14ac:dyDescent="0.25">
      <c r="A247" s="194" t="str">
        <f t="shared" si="72"/>
        <v>Biogasgylle</v>
      </c>
      <c r="B247" s="194" t="str">
        <f t="shared" si="73"/>
        <v/>
      </c>
      <c r="C247" s="194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4">
        <f t="shared" si="74"/>
        <v>2050</v>
      </c>
      <c r="E247" s="192" t="s">
        <v>24</v>
      </c>
      <c r="F247" s="195">
        <f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0</v>
      </c>
      <c r="G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2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5" t="e">
        <f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#REF!</v>
      </c>
      <c r="L247" s="195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4" t="e">
        <f t="shared" si="62"/>
        <v>#REF!</v>
      </c>
      <c r="O247" s="195">
        <f t="shared" si="59"/>
        <v>0</v>
      </c>
      <c r="P247" s="205">
        <f t="shared" si="63"/>
        <v>0</v>
      </c>
      <c r="Q247" s="192">
        <f>IFERROR(VLOOKUP(A247,[1]Energiindhold!$A$2:$C$11,3,FALSE),IFERROR(VLOOKUP(A247,[1]Biogasudbytte!$A$2:$B$18,2,FALSE)*[1]Energiindhold!$C$10,0))*O247</f>
        <v>0</v>
      </c>
      <c r="R247" s="192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2">
        <f>IFERROR(VLOOKUP(A247,[1]Biogasudbytte!$A$2:$B$18,2,FALSE)*[1]Energiindhold!$C$10,0)*J247*IFERROR(VLOOKUP(A247,Biogasanlæg!$F$3:$G$8,2,FALSE),1)</f>
        <v>0</v>
      </c>
      <c r="T247" s="193">
        <f t="shared" si="64"/>
        <v>0</v>
      </c>
      <c r="U247" s="191">
        <f>O247*IFERROR(VLOOKUP(A247,[1]Tørstofindhold!A$2:B$24,2,FALSE),0)</f>
        <v>0</v>
      </c>
      <c r="V247" s="192">
        <f>IF(D247=År1,P247,SUM(O247,P247))*IFERROR(VLOOKUP(A247,[1]Tørstofindhold!A$2:B$24,2,FALSE),0)</f>
        <v>0</v>
      </c>
      <c r="W247" s="192">
        <f>J247*IFERROR(VLOOKUP(A247,[1]Tørstofindhold!A$2:B$24,2,FALSE),0)</f>
        <v>0</v>
      </c>
      <c r="X247" s="193">
        <f t="shared" si="65"/>
        <v>0</v>
      </c>
      <c r="Y247" s="171" t="e">
        <f t="shared" si="60"/>
        <v>#REF!</v>
      </c>
      <c r="Z247" s="103" t="e">
        <f t="shared" si="61"/>
        <v>#REF!</v>
      </c>
    </row>
    <row r="248" spans="1:26" x14ac:dyDescent="0.25">
      <c r="A248" s="194" t="str">
        <f t="shared" si="72"/>
        <v>Brun saft</v>
      </c>
      <c r="B248" s="194" t="str">
        <f t="shared" si="73"/>
        <v>Bionedbrydeligt affald</v>
      </c>
      <c r="C248" s="194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4">
        <f t="shared" si="74"/>
        <v>2050</v>
      </c>
      <c r="E248" s="192" t="s">
        <v>24</v>
      </c>
      <c r="F248" s="195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0</v>
      </c>
      <c r="G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2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5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4">
        <f t="shared" si="62"/>
        <v>0</v>
      </c>
      <c r="O248" s="195">
        <f t="shared" si="59"/>
        <v>0</v>
      </c>
      <c r="P248" s="205">
        <f t="shared" si="63"/>
        <v>0</v>
      </c>
      <c r="Q248" s="192">
        <f>IFERROR(VLOOKUP(A248,[1]Energiindhold!$A$2:$C$11,3,FALSE),IFERROR(VLOOKUP(A248,[1]Biogasudbytte!$A$2:$B$18,2,FALSE)*[1]Energiindhold!$C$10,0))*O248</f>
        <v>0</v>
      </c>
      <c r="R248" s="192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2">
        <f>IFERROR(VLOOKUP(A248,[1]Biogasudbytte!$A$2:$B$18,2,FALSE)*[1]Energiindhold!$C$10,0)*J248*IFERROR(VLOOKUP(A248,Biogasanlæg!$F$3:$G$8,2,FALSE),1)</f>
        <v>0</v>
      </c>
      <c r="T248" s="193">
        <f t="shared" si="64"/>
        <v>0</v>
      </c>
      <c r="U248" s="191">
        <f>O248*IFERROR(VLOOKUP(A248,[1]Tørstofindhold!A$2:B$24,2,FALSE),0)</f>
        <v>0</v>
      </c>
      <c r="V248" s="192">
        <f>IF(D248=År1,P248,SUM(O248,P248))*IFERROR(VLOOKUP(A248,[1]Tørstofindhold!A$2:B$24,2,FALSE),0)</f>
        <v>0</v>
      </c>
      <c r="W248" s="192">
        <f>J248*IFERROR(VLOOKUP(A248,[1]Tørstofindhold!A$2:B$24,2,FALSE),0)</f>
        <v>0</v>
      </c>
      <c r="X248" s="193">
        <f t="shared" si="65"/>
        <v>0</v>
      </c>
      <c r="Y248" s="171">
        <f t="shared" si="60"/>
        <v>0</v>
      </c>
      <c r="Z248" s="103">
        <f t="shared" si="61"/>
        <v>0</v>
      </c>
    </row>
    <row r="249" spans="1:26" x14ac:dyDescent="0.25">
      <c r="A249" s="194" t="str">
        <f t="shared" si="72"/>
        <v>Dybstrøelse</v>
      </c>
      <c r="B249" s="194" t="str">
        <f t="shared" si="73"/>
        <v>Husdyrgødning</v>
      </c>
      <c r="C249" s="194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4">
        <f t="shared" si="74"/>
        <v>2050</v>
      </c>
      <c r="E249" s="192" t="s">
        <v>24</v>
      </c>
      <c r="F249" s="195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301646.48561279988</v>
      </c>
      <c r="G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2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150823.24280639994</v>
      </c>
      <c r="K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57097.370490994261</v>
      </c>
      <c r="L249" s="195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4">
        <f t="shared" si="62"/>
        <v>93725.872315405693</v>
      </c>
      <c r="O249" s="195">
        <f t="shared" si="59"/>
        <v>93725.872315405693</v>
      </c>
      <c r="P249" s="205">
        <f t="shared" si="63"/>
        <v>150823.24280639994</v>
      </c>
      <c r="Q249" s="192">
        <f>IFERROR(VLOOKUP(A249,[1]Energiindhold!$A$2:$C$11,3,FALSE),IFERROR(VLOOKUP(A249,[1]Biogasudbytte!$A$2:$B$18,2,FALSE)*[1]Energiindhold!$C$10,0))*O249</f>
        <v>0.20188552896738388</v>
      </c>
      <c r="R249" s="192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0.52675879397236935</v>
      </c>
      <c r="S249" s="192">
        <f>IFERROR(VLOOKUP(A249,[1]Biogasudbytte!$A$2:$B$18,2,FALSE)*[1]Energiindhold!$C$10,0)*J249*IFERROR(VLOOKUP(A249,Biogasanlæg!$F$3:$G$8,2,FALSE),1)</f>
        <v>0.32487326500498548</v>
      </c>
      <c r="T249" s="193">
        <f t="shared" si="64"/>
        <v>0.20188552896738388</v>
      </c>
      <c r="U249" s="191">
        <f>O249*IFERROR(VLOOKUP(A249,[1]Tørstofindhold!A$2:B$24,2,FALSE),0)</f>
        <v>28117.761694621706</v>
      </c>
      <c r="V249" s="192">
        <f>IF(D249=År1,P249,SUM(O249,P249))*IFERROR(VLOOKUP(A249,[1]Tørstofindhold!A$2:B$24,2,FALSE),0)</f>
        <v>73364.734536541684</v>
      </c>
      <c r="W249" s="192">
        <f>J249*IFERROR(VLOOKUP(A249,[1]Tørstofindhold!A$2:B$24,2,FALSE),0)</f>
        <v>45246.972841919982</v>
      </c>
      <c r="X249" s="193">
        <f t="shared" si="65"/>
        <v>28117.761694621702</v>
      </c>
      <c r="Y249" s="171">
        <f t="shared" si="60"/>
        <v>0</v>
      </c>
      <c r="Z249" s="103">
        <f t="shared" si="61"/>
        <v>1</v>
      </c>
    </row>
    <row r="250" spans="1:26" x14ac:dyDescent="0.25">
      <c r="A250" s="194" t="str">
        <f t="shared" si="72"/>
        <v>Fiberfraktion</v>
      </c>
      <c r="B250" s="194" t="str">
        <f t="shared" si="73"/>
        <v/>
      </c>
      <c r="C250" s="194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4">
        <f t="shared" si="74"/>
        <v>2050</v>
      </c>
      <c r="E250" s="192" t="s">
        <v>24</v>
      </c>
      <c r="F250" s="195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0</v>
      </c>
      <c r="G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2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5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4">
        <f t="shared" si="62"/>
        <v>0</v>
      </c>
      <c r="O250" s="195">
        <f t="shared" si="59"/>
        <v>0</v>
      </c>
      <c r="P250" s="205">
        <f t="shared" si="63"/>
        <v>0</v>
      </c>
      <c r="Q250" s="192">
        <f>IFERROR(VLOOKUP(A250,[1]Energiindhold!$A$2:$C$11,3,FALSE),IFERROR(VLOOKUP(A250,[1]Biogasudbytte!$A$2:$B$18,2,FALSE)*[1]Energiindhold!$C$10,0))*O250</f>
        <v>0</v>
      </c>
      <c r="R250" s="192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2">
        <f>IFERROR(VLOOKUP(A250,[1]Biogasudbytte!$A$2:$B$18,2,FALSE)*[1]Energiindhold!$C$10,0)*J250*IFERROR(VLOOKUP(A250,Biogasanlæg!$F$3:$G$8,2,FALSE),1)</f>
        <v>0</v>
      </c>
      <c r="T250" s="193">
        <f t="shared" si="64"/>
        <v>0</v>
      </c>
      <c r="U250" s="191">
        <f>O250*IFERROR(VLOOKUP(A250,[1]Tørstofindhold!A$2:B$24,2,FALSE),0)</f>
        <v>0</v>
      </c>
      <c r="V250" s="192">
        <f>IF(D250=År1,P250,SUM(O250,P250))*IFERROR(VLOOKUP(A250,[1]Tørstofindhold!A$2:B$24,2,FALSE),0)</f>
        <v>0</v>
      </c>
      <c r="W250" s="192">
        <f>J250*IFERROR(VLOOKUP(A250,[1]Tørstofindhold!A$2:B$24,2,FALSE),0)</f>
        <v>0</v>
      </c>
      <c r="X250" s="193">
        <f t="shared" si="65"/>
        <v>0</v>
      </c>
      <c r="Y250" s="171">
        <f t="shared" si="60"/>
        <v>0</v>
      </c>
      <c r="Z250" s="103">
        <f t="shared" si="61"/>
        <v>0</v>
      </c>
    </row>
    <row r="251" spans="1:26" x14ac:dyDescent="0.25">
      <c r="A251" s="194" t="str">
        <f t="shared" si="72"/>
        <v>Fjerkrægylle</v>
      </c>
      <c r="B251" s="194" t="str">
        <f t="shared" si="73"/>
        <v>Husdyrgødning</v>
      </c>
      <c r="C251" s="194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4">
        <f t="shared" si="74"/>
        <v>2050</v>
      </c>
      <c r="E251" s="192" t="s">
        <v>24</v>
      </c>
      <c r="F251" s="195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578.47871789484248</v>
      </c>
      <c r="G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2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520.63084610535827</v>
      </c>
      <c r="K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43.799102926323776</v>
      </c>
      <c r="L251" s="195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4">
        <f t="shared" si="62"/>
        <v>14.048768863160376</v>
      </c>
      <c r="O251" s="195">
        <f t="shared" si="59"/>
        <v>14.048768863160376</v>
      </c>
      <c r="P251" s="205">
        <f t="shared" si="63"/>
        <v>520.63084610535827</v>
      </c>
      <c r="Q251" s="192">
        <f>IFERROR(VLOOKUP(A251,[1]Energiindhold!$A$2:$C$11,3,FALSE),IFERROR(VLOOKUP(A251,[1]Biogasudbytte!$A$2:$B$18,2,FALSE)*[1]Energiindhold!$C$10,0))*O251</f>
        <v>6.6069955086556931E-6</v>
      </c>
      <c r="R251" s="192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2.5145447612354464E-4</v>
      </c>
      <c r="S251" s="192">
        <f>IFERROR(VLOOKUP(A251,[1]Biogasudbytte!$A$2:$B$18,2,FALSE)*[1]Energiindhold!$C$10,0)*J251*IFERROR(VLOOKUP(A251,Biogasanlæg!$F$3:$G$8,2,FALSE),1)</f>
        <v>2.4484748061488895E-4</v>
      </c>
      <c r="T251" s="193">
        <f t="shared" si="64"/>
        <v>6.6069955086556914E-6</v>
      </c>
      <c r="U251" s="191">
        <f>O251*IFERROR(VLOOKUP(A251,[1]Tørstofindhold!A$2:B$24,2,FALSE),0)</f>
        <v>0.88507243837910365</v>
      </c>
      <c r="V251" s="192">
        <f>IF(D251=År1,P251,SUM(O251,P251))*IFERROR(VLOOKUP(A251,[1]Tørstofindhold!A$2:B$24,2,FALSE),0)</f>
        <v>33.684815743016678</v>
      </c>
      <c r="W251" s="192">
        <f>J251*IFERROR(VLOOKUP(A251,[1]Tørstofindhold!A$2:B$24,2,FALSE),0)</f>
        <v>32.799743304637573</v>
      </c>
      <c r="X251" s="193">
        <f t="shared" si="65"/>
        <v>0.88507243837910465</v>
      </c>
      <c r="Y251" s="171">
        <f t="shared" si="60"/>
        <v>0</v>
      </c>
      <c r="Z251" s="103">
        <f t="shared" si="61"/>
        <v>1</v>
      </c>
    </row>
    <row r="252" spans="1:26" x14ac:dyDescent="0.25">
      <c r="A252" s="194" t="str">
        <f t="shared" si="72"/>
        <v>Fjerkrækød</v>
      </c>
      <c r="B252" s="194" t="str">
        <f t="shared" si="73"/>
        <v/>
      </c>
      <c r="C252" s="194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4">
        <f t="shared" si="74"/>
        <v>2050</v>
      </c>
      <c r="E252" s="192" t="s">
        <v>24</v>
      </c>
      <c r="F252" s="195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11660.091914249606</v>
      </c>
      <c r="G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2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5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4">
        <f t="shared" si="62"/>
        <v>-20332.910274194179</v>
      </c>
      <c r="O252" s="195">
        <f t="shared" si="59"/>
        <v>0</v>
      </c>
      <c r="P252" s="205">
        <f t="shared" si="63"/>
        <v>0</v>
      </c>
      <c r="Q252" s="192">
        <f>IFERROR(VLOOKUP(A252,[1]Energiindhold!$A$2:$C$11,3,FALSE),IFERROR(VLOOKUP(A252,[1]Biogasudbytte!$A$2:$B$18,2,FALSE)*[1]Energiindhold!$C$10,0))*O252</f>
        <v>0</v>
      </c>
      <c r="R252" s="192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2">
        <f>IFERROR(VLOOKUP(A252,[1]Biogasudbytte!$A$2:$B$18,2,FALSE)*[1]Energiindhold!$C$10,0)*J252*IFERROR(VLOOKUP(A252,Biogasanlæg!$F$3:$G$8,2,FALSE),1)</f>
        <v>0</v>
      </c>
      <c r="T252" s="193">
        <f t="shared" si="64"/>
        <v>0</v>
      </c>
      <c r="U252" s="191">
        <f>O252*IFERROR(VLOOKUP(A252,[1]Tørstofindhold!A$2:B$24,2,FALSE),0)</f>
        <v>0</v>
      </c>
      <c r="V252" s="192">
        <f>IF(D252=År1,P252,SUM(O252,P252))*IFERROR(VLOOKUP(A252,[1]Tørstofindhold!A$2:B$24,2,FALSE),0)</f>
        <v>0</v>
      </c>
      <c r="W252" s="192">
        <f>J252*IFERROR(VLOOKUP(A252,[1]Tørstofindhold!A$2:B$24,2,FALSE),0)</f>
        <v>0</v>
      </c>
      <c r="X252" s="193">
        <f t="shared" si="65"/>
        <v>0</v>
      </c>
      <c r="Y252" s="171">
        <f t="shared" si="60"/>
        <v>0</v>
      </c>
      <c r="Z252" s="103">
        <f t="shared" si="61"/>
        <v>1</v>
      </c>
    </row>
    <row r="253" spans="1:26" x14ac:dyDescent="0.25">
      <c r="A253" s="194" t="str">
        <f t="shared" si="72"/>
        <v>Frø</v>
      </c>
      <c r="B253" s="194" t="str">
        <f t="shared" si="73"/>
        <v/>
      </c>
      <c r="C253" s="194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4">
        <f t="shared" si="74"/>
        <v>2050</v>
      </c>
      <c r="E253" s="192" t="s">
        <v>24</v>
      </c>
      <c r="F253" s="195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357304.25157150667</v>
      </c>
      <c r="G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2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5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4">
        <f t="shared" si="62"/>
        <v>357304.25157150667</v>
      </c>
      <c r="O253" s="195">
        <f t="shared" si="59"/>
        <v>0</v>
      </c>
      <c r="P253" s="205">
        <f t="shared" si="63"/>
        <v>0</v>
      </c>
      <c r="Q253" s="192">
        <f>IFERROR(VLOOKUP(A253,[1]Energiindhold!$A$2:$C$11,3,FALSE),IFERROR(VLOOKUP(A253,[1]Biogasudbytte!$A$2:$B$18,2,FALSE)*[1]Energiindhold!$C$10,0))*O253</f>
        <v>0</v>
      </c>
      <c r="R253" s="192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2">
        <f>IFERROR(VLOOKUP(A253,[1]Biogasudbytte!$A$2:$B$18,2,FALSE)*[1]Energiindhold!$C$10,0)*J253*IFERROR(VLOOKUP(A253,Biogasanlæg!$F$3:$G$8,2,FALSE),1)</f>
        <v>0</v>
      </c>
      <c r="T253" s="193">
        <f t="shared" si="64"/>
        <v>0</v>
      </c>
      <c r="U253" s="191">
        <f>O253*IFERROR(VLOOKUP(A253,[1]Tørstofindhold!A$2:B$24,2,FALSE),0)</f>
        <v>0</v>
      </c>
      <c r="V253" s="192">
        <f>IF(D253=År1,P253,SUM(O253,P253))*IFERROR(VLOOKUP(A253,[1]Tørstofindhold!A$2:B$24,2,FALSE),0)</f>
        <v>0</v>
      </c>
      <c r="W253" s="192">
        <f>J253*IFERROR(VLOOKUP(A253,[1]Tørstofindhold!A$2:B$24,2,FALSE),0)</f>
        <v>0</v>
      </c>
      <c r="X253" s="193">
        <f t="shared" si="65"/>
        <v>0</v>
      </c>
      <c r="Y253" s="171">
        <f t="shared" si="60"/>
        <v>0</v>
      </c>
      <c r="Z253" s="103">
        <f t="shared" si="61"/>
        <v>1</v>
      </c>
    </row>
    <row r="254" spans="1:26" x14ac:dyDescent="0.25">
      <c r="A254" s="194" t="str">
        <f t="shared" si="72"/>
        <v>Frugt</v>
      </c>
      <c r="B254" s="194" t="str">
        <f t="shared" si="73"/>
        <v/>
      </c>
      <c r="C254" s="194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4">
        <f t="shared" si="74"/>
        <v>2050</v>
      </c>
      <c r="E254" s="192" t="s">
        <v>24</v>
      </c>
      <c r="F254" s="195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10163.089759541812</v>
      </c>
      <c r="G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2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5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4">
        <f t="shared" si="62"/>
        <v>-223631.92623293199</v>
      </c>
      <c r="O254" s="195">
        <f t="shared" si="59"/>
        <v>0</v>
      </c>
      <c r="P254" s="205">
        <f t="shared" si="63"/>
        <v>0</v>
      </c>
      <c r="Q254" s="192">
        <f>IFERROR(VLOOKUP(A254,[1]Energiindhold!$A$2:$C$11,3,FALSE),IFERROR(VLOOKUP(A254,[1]Biogasudbytte!$A$2:$B$18,2,FALSE)*[1]Energiindhold!$C$10,0))*O254</f>
        <v>0</v>
      </c>
      <c r="R254" s="192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2">
        <f>IFERROR(VLOOKUP(A254,[1]Biogasudbytte!$A$2:$B$18,2,FALSE)*[1]Energiindhold!$C$10,0)*J254*IFERROR(VLOOKUP(A254,Biogasanlæg!$F$3:$G$8,2,FALSE),1)</f>
        <v>0</v>
      </c>
      <c r="T254" s="193">
        <f t="shared" si="64"/>
        <v>0</v>
      </c>
      <c r="U254" s="191">
        <f>O254*IFERROR(VLOOKUP(A254,[1]Tørstofindhold!A$2:B$24,2,FALSE),0)</f>
        <v>0</v>
      </c>
      <c r="V254" s="192">
        <f>IF(D254=År1,P254,SUM(O254,P254))*IFERROR(VLOOKUP(A254,[1]Tørstofindhold!A$2:B$24,2,FALSE),0)</f>
        <v>0</v>
      </c>
      <c r="W254" s="192">
        <f>J254*IFERROR(VLOOKUP(A254,[1]Tørstofindhold!A$2:B$24,2,FALSE),0)</f>
        <v>0</v>
      </c>
      <c r="X254" s="193">
        <f t="shared" si="65"/>
        <v>0</v>
      </c>
      <c r="Y254" s="171">
        <f t="shared" si="60"/>
        <v>1</v>
      </c>
      <c r="Z254" s="103">
        <f t="shared" si="61"/>
        <v>0</v>
      </c>
    </row>
    <row r="255" spans="1:26" x14ac:dyDescent="0.25">
      <c r="A255" s="194" t="str">
        <f t="shared" si="72"/>
        <v>Glycerin</v>
      </c>
      <c r="B255" s="194" t="str">
        <f t="shared" si="73"/>
        <v>Glycerin</v>
      </c>
      <c r="C255" s="194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4">
        <f t="shared" si="74"/>
        <v>2050</v>
      </c>
      <c r="E255" s="192" t="s">
        <v>24</v>
      </c>
      <c r="F255" s="195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2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5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4">
        <f t="shared" si="62"/>
        <v>-28548.400000000001</v>
      </c>
      <c r="O255" s="195">
        <f t="shared" si="59"/>
        <v>0</v>
      </c>
      <c r="P255" s="205">
        <f t="shared" si="63"/>
        <v>28548.400000000001</v>
      </c>
      <c r="Q255" s="192">
        <f>IFERROR(VLOOKUP(A255,[1]Energiindhold!$A$2:$C$11,3,FALSE),IFERROR(VLOOKUP(A255,[1]Biogasudbytte!$A$2:$B$18,2,FALSE)*[1]Energiindhold!$C$10,0))*O255</f>
        <v>0</v>
      </c>
      <c r="R255" s="192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2">
        <f>IFERROR(VLOOKUP(A255,[1]Biogasudbytte!$A$2:$B$18,2,FALSE)*[1]Energiindhold!$C$10,0)*J255*IFERROR(VLOOKUP(A255,Biogasanlæg!$F$3:$G$8,2,FALSE),1)</f>
        <v>0.43389639740160008</v>
      </c>
      <c r="T255" s="193">
        <f t="shared" si="64"/>
        <v>0</v>
      </c>
      <c r="U255" s="191">
        <f>O255*IFERROR(VLOOKUP(A255,[1]Tørstofindhold!A$2:B$24,2,FALSE),0)</f>
        <v>0</v>
      </c>
      <c r="V255" s="192">
        <f>IF(D255=År1,P255,SUM(O255,P255))*IFERROR(VLOOKUP(A255,[1]Tørstofindhold!A$2:B$24,2,FALSE),0)</f>
        <v>25693.56</v>
      </c>
      <c r="W255" s="192">
        <f>J255*IFERROR(VLOOKUP(A255,[1]Tørstofindhold!A$2:B$24,2,FALSE),0)</f>
        <v>25693.56</v>
      </c>
      <c r="X255" s="193">
        <f t="shared" si="65"/>
        <v>0</v>
      </c>
      <c r="Y255" s="171">
        <f t="shared" si="60"/>
        <v>1</v>
      </c>
      <c r="Z255" s="103">
        <f t="shared" si="61"/>
        <v>0</v>
      </c>
    </row>
    <row r="256" spans="1:26" x14ac:dyDescent="0.25">
      <c r="A256" s="194" t="str">
        <f t="shared" si="72"/>
        <v>Græs</v>
      </c>
      <c r="B256" s="194" t="str">
        <f t="shared" si="73"/>
        <v>Græs og urter</v>
      </c>
      <c r="C256" s="194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4">
        <f t="shared" si="74"/>
        <v>2050</v>
      </c>
      <c r="E256" s="192" t="s">
        <v>24</v>
      </c>
      <c r="F256" s="195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8332694.7229536632</v>
      </c>
      <c r="G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1201654.4608093717</v>
      </c>
      <c r="H256" s="192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18918.331265736317</v>
      </c>
      <c r="K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5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4">
        <f t="shared" si="62"/>
        <v>7112121.9308785554</v>
      </c>
      <c r="O256" s="195">
        <f t="shared" si="59"/>
        <v>7112121.9308785554</v>
      </c>
      <c r="P256" s="205">
        <f t="shared" si="63"/>
        <v>18918.331265736317</v>
      </c>
      <c r="Q256" s="192">
        <f>IFERROR(VLOOKUP(A256,[1]Energiindhold!$A$2:$C$11,3,FALSE),IFERROR(VLOOKUP(A256,[1]Biogasudbytte!$A$2:$B$18,2,FALSE)*[1]Energiindhold!$C$10,0))*O256</f>
        <v>13.085415337575183</v>
      </c>
      <c r="R256" s="192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13.120222702312729</v>
      </c>
      <c r="S256" s="192">
        <f>IFERROR(VLOOKUP(A256,[1]Biogasudbytte!$A$2:$B$18,2,FALSE)*[1]Energiindhold!$C$10,0)*J256*IFERROR(VLOOKUP(A256,Biogasanlæg!$F$3:$G$8,2,FALSE),1)</f>
        <v>3.4807364737546607E-2</v>
      </c>
      <c r="T256" s="193">
        <f t="shared" si="64"/>
        <v>13.085415337575183</v>
      </c>
      <c r="U256" s="191">
        <f>O256*IFERROR(VLOOKUP(A256,[1]Tørstofindhold!A$2:B$24,2,FALSE),0)</f>
        <v>1991394.1406459957</v>
      </c>
      <c r="V256" s="192">
        <f>IF(D256=År1,P256,SUM(O256,P256))*IFERROR(VLOOKUP(A256,[1]Tørstofindhold!A$2:B$24,2,FALSE),0)</f>
        <v>1996691.2734004019</v>
      </c>
      <c r="W256" s="192">
        <f>J256*IFERROR(VLOOKUP(A256,[1]Tørstofindhold!A$2:B$24,2,FALSE),0)</f>
        <v>5297.1327544061696</v>
      </c>
      <c r="X256" s="193">
        <f t="shared" si="65"/>
        <v>1991394.1406459957</v>
      </c>
      <c r="Y256" s="171">
        <f t="shared" si="60"/>
        <v>0</v>
      </c>
      <c r="Z256" s="103">
        <f t="shared" si="61"/>
        <v>1</v>
      </c>
    </row>
    <row r="257" spans="1:26" x14ac:dyDescent="0.25">
      <c r="A257" s="194" t="str">
        <f t="shared" si="72"/>
        <v>Græsprotein</v>
      </c>
      <c r="B257" s="194" t="str">
        <f t="shared" si="73"/>
        <v/>
      </c>
      <c r="C257" s="194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4">
        <f t="shared" si="74"/>
        <v>2050</v>
      </c>
      <c r="E257" s="192" t="s">
        <v>24</v>
      </c>
      <c r="F257" s="195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0</v>
      </c>
      <c r="G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2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5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4">
        <f t="shared" si="62"/>
        <v>0</v>
      </c>
      <c r="O257" s="195">
        <f t="shared" si="59"/>
        <v>0</v>
      </c>
      <c r="P257" s="205">
        <f t="shared" si="63"/>
        <v>0</v>
      </c>
      <c r="Q257" s="192">
        <f>IFERROR(VLOOKUP(A257,[1]Energiindhold!$A$2:$C$11,3,FALSE),IFERROR(VLOOKUP(A257,[1]Biogasudbytte!$A$2:$B$18,2,FALSE)*[1]Energiindhold!$C$10,0))*O257</f>
        <v>0</v>
      </c>
      <c r="R257" s="192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2">
        <f>IFERROR(VLOOKUP(A257,[1]Biogasudbytte!$A$2:$B$18,2,FALSE)*[1]Energiindhold!$C$10,0)*J257*IFERROR(VLOOKUP(A257,Biogasanlæg!$F$3:$G$8,2,FALSE),1)</f>
        <v>0</v>
      </c>
      <c r="T257" s="193">
        <f t="shared" si="64"/>
        <v>0</v>
      </c>
      <c r="U257" s="191">
        <f>O257*IFERROR(VLOOKUP(A257,[1]Tørstofindhold!A$2:B$24,2,FALSE),0)</f>
        <v>0</v>
      </c>
      <c r="V257" s="192">
        <f>IF(D257=År1,P257,SUM(O257,P257))*IFERROR(VLOOKUP(A257,[1]Tørstofindhold!A$2:B$24,2,FALSE),0)</f>
        <v>0</v>
      </c>
      <c r="W257" s="192">
        <f>J257*IFERROR(VLOOKUP(A257,[1]Tørstofindhold!A$2:B$24,2,FALSE),0)</f>
        <v>0</v>
      </c>
      <c r="X257" s="193">
        <f t="shared" si="65"/>
        <v>0</v>
      </c>
      <c r="Y257" s="171">
        <f t="shared" si="60"/>
        <v>0</v>
      </c>
      <c r="Z257" s="103">
        <f t="shared" si="61"/>
        <v>0</v>
      </c>
    </row>
    <row r="258" spans="1:26" x14ac:dyDescent="0.25">
      <c r="A258" s="194" t="str">
        <f t="shared" si="72"/>
        <v>Grøntsager</v>
      </c>
      <c r="B258" s="194" t="str">
        <f t="shared" si="73"/>
        <v/>
      </c>
      <c r="C258" s="194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4">
        <f t="shared" si="74"/>
        <v>2050</v>
      </c>
      <c r="E258" s="192" t="s">
        <v>24</v>
      </c>
      <c r="F258" s="195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68513.709869912811</v>
      </c>
      <c r="G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2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5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4">
        <f t="shared" si="62"/>
        <v>-176355.80688009923</v>
      </c>
      <c r="O258" s="195">
        <f t="shared" si="59"/>
        <v>0</v>
      </c>
      <c r="P258" s="205">
        <f t="shared" si="63"/>
        <v>0</v>
      </c>
      <c r="Q258" s="192">
        <f>IFERROR(VLOOKUP(A258,[1]Energiindhold!$A$2:$C$11,3,FALSE),IFERROR(VLOOKUP(A258,[1]Biogasudbytte!$A$2:$B$18,2,FALSE)*[1]Energiindhold!$C$10,0))*O258</f>
        <v>0</v>
      </c>
      <c r="R258" s="192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2">
        <f>IFERROR(VLOOKUP(A258,[1]Biogasudbytte!$A$2:$B$18,2,FALSE)*[1]Energiindhold!$C$10,0)*J258*IFERROR(VLOOKUP(A258,Biogasanlæg!$F$3:$G$8,2,FALSE),1)</f>
        <v>0</v>
      </c>
      <c r="T258" s="193">
        <f t="shared" si="64"/>
        <v>0</v>
      </c>
      <c r="U258" s="191">
        <f>O258*IFERROR(VLOOKUP(A258,[1]Tørstofindhold!A$2:B$24,2,FALSE),0)</f>
        <v>0</v>
      </c>
      <c r="V258" s="192">
        <f>IF(D258=År1,P258,SUM(O258,P258))*IFERROR(VLOOKUP(A258,[1]Tørstofindhold!A$2:B$24,2,FALSE),0)</f>
        <v>0</v>
      </c>
      <c r="W258" s="192">
        <f>J258*IFERROR(VLOOKUP(A258,[1]Tørstofindhold!A$2:B$24,2,FALSE),0)</f>
        <v>0</v>
      </c>
      <c r="X258" s="193">
        <f t="shared" si="65"/>
        <v>0</v>
      </c>
      <c r="Y258" s="171">
        <f t="shared" si="60"/>
        <v>1</v>
      </c>
      <c r="Z258" s="103">
        <f t="shared" si="61"/>
        <v>0</v>
      </c>
    </row>
    <row r="259" spans="1:26" x14ac:dyDescent="0.25">
      <c r="A259" s="194" t="str">
        <f t="shared" si="72"/>
        <v>Halm</v>
      </c>
      <c r="B259" s="194" t="str">
        <f t="shared" si="73"/>
        <v>Halm og strå</v>
      </c>
      <c r="C259" s="194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4">
        <f t="shared" si="74"/>
        <v>2050</v>
      </c>
      <c r="E259" s="192" t="s">
        <v>24</v>
      </c>
      <c r="F259" s="195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865944.52172148146</v>
      </c>
      <c r="G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75911.55842753005</v>
      </c>
      <c r="H259" s="192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82449.939525946174</v>
      </c>
      <c r="I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19573.590601183951</v>
      </c>
      <c r="K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5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688009.43316682125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4">
        <f t="shared" si="62"/>
        <v>0</v>
      </c>
      <c r="O259" s="195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5">
        <f t="shared" si="63"/>
        <v>707583.02376800519</v>
      </c>
      <c r="Q259" s="192">
        <f>IFERROR(VLOOKUP(A259,[1]Energiindhold!$A$2:$C$11,3,FALSE),IFERROR(VLOOKUP(A259,[1]Biogasudbytte!$A$2:$B$18,2,FALSE)*[1]Energiindhold!$C$10,0))*O259</f>
        <v>0</v>
      </c>
      <c r="R259" s="192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7.2239845802646228</v>
      </c>
      <c r="S259" s="192">
        <f>IFERROR(VLOOKUP(A259,[1]Biogasudbytte!$A$2:$B$18,2,FALSE)*[1]Energiindhold!$C$10,0)*J259*IFERROR(VLOOKUP(A259,Biogasanlæg!$F$3:$G$8,2,FALSE),1)</f>
        <v>0.11285231955475013</v>
      </c>
      <c r="T259" s="193">
        <f t="shared" si="64"/>
        <v>7.1111322607098728</v>
      </c>
      <c r="U259" s="191">
        <f>O259*IFERROR(VLOOKUP(A259,[1]Tørstofindhold!A$2:B$24,2,FALSE),0)</f>
        <v>0</v>
      </c>
      <c r="V259" s="192">
        <f>IF(D259=År1,P259,SUM(O259,P259))*IFERROR(VLOOKUP(A259,[1]Tørstofindhold!A$2:B$24,2,FALSE),0)</f>
        <v>601445.5702028044</v>
      </c>
      <c r="W259" s="192">
        <f>J259*IFERROR(VLOOKUP(A259,[1]Tørstofindhold!A$2:B$24,2,FALSE),0)</f>
        <v>16637.552011006359</v>
      </c>
      <c r="X259" s="193">
        <f t="shared" si="65"/>
        <v>584808.01819179801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4" t="str">
        <f t="shared" si="72"/>
        <v>Have/parkaffald</v>
      </c>
      <c r="B260" s="194" t="str">
        <f t="shared" si="73"/>
        <v>Bionedbrydeligt affald</v>
      </c>
      <c r="C260" s="194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4">
        <f t="shared" si="74"/>
        <v>2050</v>
      </c>
      <c r="E260" s="192" t="s">
        <v>24</v>
      </c>
      <c r="F260" s="195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457927.02496060182</v>
      </c>
      <c r="G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2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5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4">
        <f t="shared" si="62"/>
        <v>0</v>
      </c>
      <c r="O260" s="195">
        <f t="shared" si="75"/>
        <v>0</v>
      </c>
      <c r="P260" s="205">
        <f t="shared" si="63"/>
        <v>457927.02496060182</v>
      </c>
      <c r="Q260" s="192">
        <f>IFERROR(VLOOKUP(A260,[1]Energiindhold!$A$2:$C$11,3,FALSE),IFERROR(VLOOKUP(A260,[1]Biogasudbytte!$A$2:$B$18,2,FALSE)*[1]Energiindhold!$C$10,0))*O260</f>
        <v>0</v>
      </c>
      <c r="R260" s="192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2">
        <f>IFERROR(VLOOKUP(A260,[1]Biogasudbytte!$A$2:$B$18,2,FALSE)*[1]Energiindhold!$C$10,0)*J260*IFERROR(VLOOKUP(A260,Biogasanlæg!$F$3:$G$8,2,FALSE),1)</f>
        <v>6.1713097026419407E-5</v>
      </c>
      <c r="T260" s="193">
        <f t="shared" si="64"/>
        <v>8.1743654272608701</v>
      </c>
      <c r="U260" s="191">
        <f>O260*IFERROR(VLOOKUP(A260,[1]Tørstofindhold!A$2:B$24,2,FALSE),0)</f>
        <v>0</v>
      </c>
      <c r="V260" s="192">
        <f>IF(D260=År1,P260,SUM(O260,P260))*IFERROR(VLOOKUP(A260,[1]Tørstofindhold!A$2:B$24,2,FALSE),0)</f>
        <v>137378.10748818054</v>
      </c>
      <c r="W260" s="192">
        <f>J260*IFERROR(VLOOKUP(A260,[1]Tørstofindhold!A$2:B$24,2,FALSE),0)</f>
        <v>10.902924560192348</v>
      </c>
      <c r="X260" s="193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x14ac:dyDescent="0.25">
      <c r="A261" s="194" t="str">
        <f t="shared" si="72"/>
        <v>Import af foder</v>
      </c>
      <c r="B261" s="194" t="str">
        <f t="shared" si="73"/>
        <v/>
      </c>
      <c r="C261" s="194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4">
        <f t="shared" si="74"/>
        <v>2050</v>
      </c>
      <c r="E261" s="192" t="s">
        <v>24</v>
      </c>
      <c r="F261" s="195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474117.381140657</v>
      </c>
      <c r="H261" s="192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5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4">
        <f t="shared" si="62"/>
        <v>-474117.381140657</v>
      </c>
      <c r="O261" s="195">
        <f t="shared" si="75"/>
        <v>0</v>
      </c>
      <c r="P261" s="205">
        <f t="shared" si="63"/>
        <v>0</v>
      </c>
      <c r="Q261" s="192">
        <f>IFERROR(VLOOKUP(A261,[1]Energiindhold!$A$2:$C$11,3,FALSE),IFERROR(VLOOKUP(A261,[1]Biogasudbytte!$A$2:$B$18,2,FALSE)*[1]Energiindhold!$C$10,0))*O261</f>
        <v>0</v>
      </c>
      <c r="R261" s="192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2">
        <f>IFERROR(VLOOKUP(A261,[1]Biogasudbytte!$A$2:$B$18,2,FALSE)*[1]Energiindhold!$C$10,0)*J261*IFERROR(VLOOKUP(A261,Biogasanlæg!$F$3:$G$8,2,FALSE),1)</f>
        <v>0</v>
      </c>
      <c r="T261" s="193">
        <f t="shared" si="64"/>
        <v>0</v>
      </c>
      <c r="U261" s="191">
        <f>O261*IFERROR(VLOOKUP(A261,[1]Tørstofindhold!A$2:B$24,2,FALSE),0)</f>
        <v>0</v>
      </c>
      <c r="V261" s="192">
        <f>IF(D261=År1,P261,SUM(O261,P261))*IFERROR(VLOOKUP(A261,[1]Tørstofindhold!A$2:B$24,2,FALSE),0)</f>
        <v>0</v>
      </c>
      <c r="W261" s="192">
        <f>J261*IFERROR(VLOOKUP(A261,[1]Tørstofindhold!A$2:B$24,2,FALSE),0)</f>
        <v>0</v>
      </c>
      <c r="X261" s="193">
        <f t="shared" si="65"/>
        <v>0</v>
      </c>
      <c r="Y261" s="171">
        <f t="shared" si="76"/>
        <v>1</v>
      </c>
      <c r="Z261" s="103">
        <f t="shared" si="77"/>
        <v>0</v>
      </c>
    </row>
    <row r="262" spans="1:26" x14ac:dyDescent="0.25">
      <c r="A262" s="194" t="str">
        <f t="shared" si="72"/>
        <v>Industriaffald</v>
      </c>
      <c r="B262" s="194" t="str">
        <f t="shared" si="73"/>
        <v>Bionedbrydeligt affald</v>
      </c>
      <c r="C262" s="194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4">
        <f t="shared" si="74"/>
        <v>2050</v>
      </c>
      <c r="E262" s="192" t="s">
        <v>24</v>
      </c>
      <c r="F262" s="195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195751.05229011617</v>
      </c>
      <c r="G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2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217936.45077407858</v>
      </c>
      <c r="K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5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4">
        <f t="shared" si="62"/>
        <v>-22185.398483962403</v>
      </c>
      <c r="O262" s="195">
        <f t="shared" si="75"/>
        <v>0</v>
      </c>
      <c r="P262" s="205">
        <f t="shared" si="63"/>
        <v>217936.45077407858</v>
      </c>
      <c r="Q262" s="192">
        <f>IFERROR(VLOOKUP(A262,[1]Energiindhold!$A$2:$C$11,3,FALSE),IFERROR(VLOOKUP(A262,[1]Biogasudbytte!$A$2:$B$18,2,FALSE)*[1]Energiindhold!$C$10,0))*O262</f>
        <v>0</v>
      </c>
      <c r="R262" s="192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0.80269492700128076</v>
      </c>
      <c r="S262" s="192">
        <f>IFERROR(VLOOKUP(A262,[1]Biogasudbytte!$A$2:$B$18,2,FALSE)*[1]Energiindhold!$C$10,0)*J262*IFERROR(VLOOKUP(A262,Biogasanlæg!$F$3:$G$8,2,FALSE),1)</f>
        <v>0.80269492700128076</v>
      </c>
      <c r="T262" s="193">
        <f t="shared" si="64"/>
        <v>0</v>
      </c>
      <c r="U262" s="191">
        <f>O262*IFERROR(VLOOKUP(A262,[1]Tørstofindhold!A$2:B$24,2,FALSE),0)</f>
        <v>0</v>
      </c>
      <c r="V262" s="192">
        <f>IF(D262=År1,P262,SUM(O262,P262))*IFERROR(VLOOKUP(A262,[1]Tørstofindhold!A$2:B$24,2,FALSE),0)</f>
        <v>91533.309325113005</v>
      </c>
      <c r="W262" s="192">
        <f>J262*IFERROR(VLOOKUP(A262,[1]Tørstofindhold!A$2:B$24,2,FALSE),0)</f>
        <v>91533.309325113005</v>
      </c>
      <c r="X262" s="193">
        <f t="shared" si="65"/>
        <v>0</v>
      </c>
      <c r="Y262" s="171">
        <f t="shared" si="76"/>
        <v>1</v>
      </c>
      <c r="Z262" s="103">
        <f t="shared" si="77"/>
        <v>0</v>
      </c>
    </row>
    <row r="263" spans="1:26" x14ac:dyDescent="0.25">
      <c r="A263" s="194" t="str">
        <f t="shared" si="72"/>
        <v>Juletræer</v>
      </c>
      <c r="B263" s="194" t="str">
        <f t="shared" si="73"/>
        <v/>
      </c>
      <c r="C263" s="194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4">
        <f t="shared" si="74"/>
        <v>2050</v>
      </c>
      <c r="E263" s="192" t="s">
        <v>24</v>
      </c>
      <c r="F263" s="195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220334.04456617165</v>
      </c>
      <c r="G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2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5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4">
        <f t="shared" si="62"/>
        <v>220334.04456617165</v>
      </c>
      <c r="O263" s="195">
        <f t="shared" si="75"/>
        <v>0</v>
      </c>
      <c r="P263" s="205">
        <f t="shared" si="63"/>
        <v>0</v>
      </c>
      <c r="Q263" s="192">
        <f>IFERROR(VLOOKUP(A263,[1]Energiindhold!$A$2:$C$11,3,FALSE),IFERROR(VLOOKUP(A263,[1]Biogasudbytte!$A$2:$B$18,2,FALSE)*[1]Energiindhold!$C$10,0))*O263</f>
        <v>0</v>
      </c>
      <c r="R263" s="192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2">
        <f>IFERROR(VLOOKUP(A263,[1]Biogasudbytte!$A$2:$B$18,2,FALSE)*[1]Energiindhold!$C$10,0)*J263*IFERROR(VLOOKUP(A263,Biogasanlæg!$F$3:$G$8,2,FALSE),1)</f>
        <v>0</v>
      </c>
      <c r="T263" s="193">
        <f t="shared" si="64"/>
        <v>0</v>
      </c>
      <c r="U263" s="191">
        <f>O263*IFERROR(VLOOKUP(A263,[1]Tørstofindhold!A$2:B$24,2,FALSE),0)</f>
        <v>0</v>
      </c>
      <c r="V263" s="192">
        <f>IF(D263=År1,P263,SUM(O263,P263))*IFERROR(VLOOKUP(A263,[1]Tørstofindhold!A$2:B$24,2,FALSE),0)</f>
        <v>0</v>
      </c>
      <c r="W263" s="192">
        <f>J263*IFERROR(VLOOKUP(A263,[1]Tørstofindhold!A$2:B$24,2,FALSE),0)</f>
        <v>0</v>
      </c>
      <c r="X263" s="193">
        <f t="shared" si="65"/>
        <v>0</v>
      </c>
      <c r="Y263" s="171">
        <f t="shared" si="76"/>
        <v>0</v>
      </c>
      <c r="Z263" s="103">
        <f t="shared" si="77"/>
        <v>1</v>
      </c>
    </row>
    <row r="264" spans="1:26" x14ac:dyDescent="0.25">
      <c r="A264" s="194" t="str">
        <f t="shared" si="72"/>
        <v>Kartofler</v>
      </c>
      <c r="B264" s="194" t="str">
        <f t="shared" si="73"/>
        <v/>
      </c>
      <c r="C264" s="194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4">
        <f t="shared" si="74"/>
        <v>2050</v>
      </c>
      <c r="E264" s="192" t="s">
        <v>24</v>
      </c>
      <c r="F264" s="195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536733.47505489504</v>
      </c>
      <c r="G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2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5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4">
        <f t="shared" si="62"/>
        <v>424757.96739534178</v>
      </c>
      <c r="O264" s="195">
        <f t="shared" si="75"/>
        <v>0</v>
      </c>
      <c r="P264" s="205">
        <f t="shared" si="63"/>
        <v>0</v>
      </c>
      <c r="Q264" s="192">
        <f>IFERROR(VLOOKUP(A264,[1]Energiindhold!$A$2:$C$11,3,FALSE),IFERROR(VLOOKUP(A264,[1]Biogasudbytte!$A$2:$B$18,2,FALSE)*[1]Energiindhold!$C$10,0))*O264</f>
        <v>0</v>
      </c>
      <c r="R264" s="192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2">
        <f>IFERROR(VLOOKUP(A264,[1]Biogasudbytte!$A$2:$B$18,2,FALSE)*[1]Energiindhold!$C$10,0)*J264*IFERROR(VLOOKUP(A264,Biogasanlæg!$F$3:$G$8,2,FALSE),1)</f>
        <v>0</v>
      </c>
      <c r="T264" s="193">
        <f t="shared" si="64"/>
        <v>0</v>
      </c>
      <c r="U264" s="191">
        <f>O264*IFERROR(VLOOKUP(A264,[1]Tørstofindhold!A$2:B$24,2,FALSE),0)</f>
        <v>0</v>
      </c>
      <c r="V264" s="192">
        <f>IF(D264=År1,P264,SUM(O264,P264))*IFERROR(VLOOKUP(A264,[1]Tørstofindhold!A$2:B$24,2,FALSE),0)</f>
        <v>0</v>
      </c>
      <c r="W264" s="192">
        <f>J264*IFERROR(VLOOKUP(A264,[1]Tørstofindhold!A$2:B$24,2,FALSE),0)</f>
        <v>0</v>
      </c>
      <c r="X264" s="193">
        <f t="shared" si="65"/>
        <v>0</v>
      </c>
      <c r="Y264" s="171">
        <f t="shared" si="76"/>
        <v>0</v>
      </c>
      <c r="Z264" s="103">
        <f t="shared" si="77"/>
        <v>1</v>
      </c>
    </row>
    <row r="265" spans="1:26" x14ac:dyDescent="0.25">
      <c r="A265" s="194" t="str">
        <f t="shared" si="72"/>
        <v>Korn</v>
      </c>
      <c r="B265" s="194" t="str">
        <f t="shared" si="73"/>
        <v>Halm og strå</v>
      </c>
      <c r="C265" s="194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4">
        <f t="shared" si="74"/>
        <v>2050</v>
      </c>
      <c r="E265" s="192" t="s">
        <v>24</v>
      </c>
      <c r="F265" s="195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1683096.8033949384</v>
      </c>
      <c r="G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577297.28616440273</v>
      </c>
      <c r="H265" s="192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884.229461452941</v>
      </c>
      <c r="K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5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4">
        <f t="shared" si="62"/>
        <v>836666.26941982331</v>
      </c>
      <c r="O265" s="195">
        <f t="shared" si="75"/>
        <v>836666.26941982331</v>
      </c>
      <c r="P265" s="205">
        <f t="shared" si="63"/>
        <v>884.229461452941</v>
      </c>
      <c r="Q265" s="192">
        <f>IFERROR(VLOOKUP(A265,[1]Energiindhold!$A$2:$C$11,3,FALSE),IFERROR(VLOOKUP(A265,[1]Biogasudbytte!$A$2:$B$18,2,FALSE)*[1]Energiindhold!$C$10,0))*O265</f>
        <v>2.8654648394851767</v>
      </c>
      <c r="R265" s="192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2.8684932015985285</v>
      </c>
      <c r="S265" s="192">
        <f>IFERROR(VLOOKUP(A265,[1]Biogasudbytte!$A$2:$B$18,2,FALSE)*[1]Energiindhold!$C$10,0)*J265*IFERROR(VLOOKUP(A265,Biogasanlæg!$F$3:$G$8,2,FALSE),1)</f>
        <v>3.0283621133517201E-3</v>
      </c>
      <c r="T265" s="193">
        <f t="shared" si="64"/>
        <v>2.8654648394851767</v>
      </c>
      <c r="U265" s="191">
        <f>O265*IFERROR(VLOOKUP(A265,[1]Tørstofindhold!A$2:B$24,2,FALSE),0)</f>
        <v>259366.54352014523</v>
      </c>
      <c r="V265" s="192">
        <f>IF(D265=År1,P265,SUM(O265,P265))*IFERROR(VLOOKUP(A265,[1]Tørstofindhold!A$2:B$24,2,FALSE),0)</f>
        <v>259640.65465319564</v>
      </c>
      <c r="W265" s="192">
        <f>J265*IFERROR(VLOOKUP(A265,[1]Tørstofindhold!A$2:B$24,2,FALSE),0)</f>
        <v>274.11113305041169</v>
      </c>
      <c r="X265" s="193">
        <f t="shared" si="65"/>
        <v>259366.54352014523</v>
      </c>
      <c r="Y265" s="171">
        <f t="shared" si="76"/>
        <v>0</v>
      </c>
      <c r="Z265" s="103">
        <f t="shared" si="77"/>
        <v>1</v>
      </c>
    </row>
    <row r="266" spans="1:26" x14ac:dyDescent="0.25">
      <c r="A266" s="194" t="str">
        <f t="shared" si="72"/>
        <v>Kunstgødning</v>
      </c>
      <c r="B266" s="194" t="str">
        <f t="shared" si="73"/>
        <v/>
      </c>
      <c r="C266" s="194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4">
        <f t="shared" si="74"/>
        <v>2050</v>
      </c>
      <c r="E266" s="192" t="s">
        <v>24</v>
      </c>
      <c r="F266" s="195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2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5" t="e">
        <f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#REF!</v>
      </c>
      <c r="L266" s="195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4" t="e">
        <f t="shared" si="62"/>
        <v>#REF!</v>
      </c>
      <c r="O266" s="195">
        <f t="shared" si="75"/>
        <v>0</v>
      </c>
      <c r="P266" s="205">
        <f t="shared" si="63"/>
        <v>0</v>
      </c>
      <c r="Q266" s="192">
        <f>IFERROR(VLOOKUP(A266,[1]Energiindhold!$A$2:$C$11,3,FALSE),IFERROR(VLOOKUP(A266,[1]Biogasudbytte!$A$2:$B$18,2,FALSE)*[1]Energiindhold!$C$10,0))*O266</f>
        <v>0</v>
      </c>
      <c r="R266" s="192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2">
        <f>IFERROR(VLOOKUP(A266,[1]Biogasudbytte!$A$2:$B$18,2,FALSE)*[1]Energiindhold!$C$10,0)*J266*IFERROR(VLOOKUP(A266,Biogasanlæg!$F$3:$G$8,2,FALSE),1)</f>
        <v>0</v>
      </c>
      <c r="T266" s="193">
        <f t="shared" si="64"/>
        <v>0</v>
      </c>
      <c r="U266" s="191">
        <f>O266*IFERROR(VLOOKUP(A266,[1]Tørstofindhold!A$2:B$24,2,FALSE),0)</f>
        <v>0</v>
      </c>
      <c r="V266" s="192">
        <f>IF(D266=År1,P266,SUM(O266,P266))*IFERROR(VLOOKUP(A266,[1]Tørstofindhold!A$2:B$24,2,FALSE),0)</f>
        <v>0</v>
      </c>
      <c r="W266" s="192">
        <f>J266*IFERROR(VLOOKUP(A266,[1]Tørstofindhold!A$2:B$24,2,FALSE),0)</f>
        <v>0</v>
      </c>
      <c r="X266" s="193">
        <f t="shared" si="65"/>
        <v>0</v>
      </c>
      <c r="Y266" s="171" t="e">
        <f t="shared" si="76"/>
        <v>#REF!</v>
      </c>
      <c r="Z266" s="103" t="e">
        <f t="shared" si="77"/>
        <v>#REF!</v>
      </c>
    </row>
    <row r="267" spans="1:26" x14ac:dyDescent="0.25">
      <c r="A267" s="194" t="str">
        <f t="shared" si="72"/>
        <v>Kvæggylle</v>
      </c>
      <c r="B267" s="194" t="str">
        <f t="shared" si="73"/>
        <v>Husdyrgødning</v>
      </c>
      <c r="C267" s="194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4">
        <f t="shared" si="74"/>
        <v>2050</v>
      </c>
      <c r="E267" s="192" t="s">
        <v>24</v>
      </c>
      <c r="F267" s="195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724125.12538599269</v>
      </c>
      <c r="G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2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651712.6128473935</v>
      </c>
      <c r="K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47973.289556822005</v>
      </c>
      <c r="L267" s="195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4">
        <f t="shared" si="62"/>
        <v>24439.222981777159</v>
      </c>
      <c r="O267" s="195">
        <f t="shared" si="75"/>
        <v>24439.222981777159</v>
      </c>
      <c r="P267" s="205">
        <f t="shared" si="63"/>
        <v>651712.6128473935</v>
      </c>
      <c r="Q267" s="192">
        <f>IFERROR(VLOOKUP(A267,[1]Energiindhold!$A$2:$C$11,3,FALSE),IFERROR(VLOOKUP(A267,[1]Biogasudbytte!$A$2:$B$18,2,FALSE)*[1]Energiindhold!$C$10,0))*O267</f>
        <v>1.2370890281145781E-2</v>
      </c>
      <c r="R267" s="192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0.34226129777836795</v>
      </c>
      <c r="S267" s="192">
        <f>IFERROR(VLOOKUP(A267,[1]Biogasudbytte!$A$2:$B$18,2,FALSE)*[1]Energiindhold!$C$10,0)*J267*IFERROR(VLOOKUP(A267,Biogasanlæg!$F$3:$G$8,2,FALSE),1)</f>
        <v>0.32989040749722215</v>
      </c>
      <c r="T267" s="193">
        <f t="shared" si="64"/>
        <v>1.2370890281145797E-2</v>
      </c>
      <c r="U267" s="191">
        <f>O267*IFERROR(VLOOKUP(A267,[1]Tørstofindhold!A$2:B$24,2,FALSE),0)</f>
        <v>1857.380946615064</v>
      </c>
      <c r="V267" s="192">
        <f>IF(D267=År1,P267,SUM(O267,P267))*IFERROR(VLOOKUP(A267,[1]Tørstofindhold!A$2:B$24,2,FALSE),0)</f>
        <v>51387.539523016967</v>
      </c>
      <c r="W267" s="192">
        <f>J267*IFERROR(VLOOKUP(A267,[1]Tørstofindhold!A$2:B$24,2,FALSE),0)</f>
        <v>49530.158576401904</v>
      </c>
      <c r="X267" s="193">
        <f t="shared" si="65"/>
        <v>1857.3809466150633</v>
      </c>
      <c r="Y267" s="171">
        <f t="shared" si="76"/>
        <v>0</v>
      </c>
      <c r="Z267" s="103">
        <f t="shared" si="77"/>
        <v>1</v>
      </c>
    </row>
    <row r="268" spans="1:26" x14ac:dyDescent="0.25">
      <c r="A268" s="194" t="str">
        <f t="shared" si="72"/>
        <v>Mælk til foder</v>
      </c>
      <c r="B268" s="194" t="str">
        <f t="shared" si="73"/>
        <v/>
      </c>
      <c r="C268" s="194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4">
        <f t="shared" si="74"/>
        <v>2050</v>
      </c>
      <c r="E268" s="192" t="s">
        <v>24</v>
      </c>
      <c r="F268" s="195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90456.37389070644</v>
      </c>
      <c r="G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148832.39497031382</v>
      </c>
      <c r="H268" s="192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5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4">
        <f t="shared" si="62"/>
        <v>-58376.021079607381</v>
      </c>
      <c r="O268" s="195">
        <f t="shared" si="75"/>
        <v>0</v>
      </c>
      <c r="P268" s="205">
        <f t="shared" si="63"/>
        <v>0</v>
      </c>
      <c r="Q268" s="192">
        <f>IFERROR(VLOOKUP(A268,[1]Energiindhold!$A$2:$C$11,3,FALSE),IFERROR(VLOOKUP(A268,[1]Biogasudbytte!$A$2:$B$18,2,FALSE)*[1]Energiindhold!$C$10,0))*O268</f>
        <v>0</v>
      </c>
      <c r="R268" s="192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2">
        <f>IFERROR(VLOOKUP(A268,[1]Biogasudbytte!$A$2:$B$18,2,FALSE)*[1]Energiindhold!$C$10,0)*J268*IFERROR(VLOOKUP(A268,Biogasanlæg!$F$3:$G$8,2,FALSE),1)</f>
        <v>0</v>
      </c>
      <c r="T268" s="193">
        <f t="shared" si="64"/>
        <v>0</v>
      </c>
      <c r="U268" s="191">
        <f>O268*IFERROR(VLOOKUP(A268,[1]Tørstofindhold!A$2:B$24,2,FALSE),0)</f>
        <v>0</v>
      </c>
      <c r="V268" s="192">
        <f>IF(D268=År1,P268,SUM(O268,P268))*IFERROR(VLOOKUP(A268,[1]Tørstofindhold!A$2:B$24,2,FALSE),0)</f>
        <v>0</v>
      </c>
      <c r="W268" s="192">
        <f>J268*IFERROR(VLOOKUP(A268,[1]Tørstofindhold!A$2:B$24,2,FALSE),0)</f>
        <v>0</v>
      </c>
      <c r="X268" s="193">
        <f t="shared" si="65"/>
        <v>0</v>
      </c>
      <c r="Y268" s="171">
        <f t="shared" si="76"/>
        <v>0</v>
      </c>
      <c r="Z268" s="103">
        <f t="shared" si="77"/>
        <v>1</v>
      </c>
    </row>
    <row r="269" spans="1:26" x14ac:dyDescent="0.25">
      <c r="A269" s="194" t="str">
        <f t="shared" si="72"/>
        <v>Majs</v>
      </c>
      <c r="B269" s="194" t="str">
        <f t="shared" si="73"/>
        <v>Græs og urter</v>
      </c>
      <c r="C269" s="194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4">
        <f t="shared" si="74"/>
        <v>2050</v>
      </c>
      <c r="E269" s="192" t="s">
        <v>24</v>
      </c>
      <c r="F269" s="195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1823285.6405542411</v>
      </c>
      <c r="G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555482.60888743005</v>
      </c>
      <c r="H269" s="192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75927.162506469729</v>
      </c>
      <c r="K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5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4">
        <f t="shared" si="62"/>
        <v>1191875.8691603413</v>
      </c>
      <c r="O269" s="195">
        <f t="shared" si="75"/>
        <v>1191875.8691603413</v>
      </c>
      <c r="P269" s="205">
        <f t="shared" si="63"/>
        <v>75927.162506469729</v>
      </c>
      <c r="Q269" s="192">
        <f>IFERROR(VLOOKUP(A269,[1]Energiindhold!$A$2:$C$11,3,FALSE),IFERROR(VLOOKUP(A269,[1]Biogasudbytte!$A$2:$B$18,2,FALSE)*[1]Energiindhold!$C$10,0))*O269</f>
        <v>4.278834370285626</v>
      </c>
      <c r="R269" s="192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4.5514128836838523</v>
      </c>
      <c r="S269" s="192">
        <f>IFERROR(VLOOKUP(A269,[1]Biogasudbytte!$A$2:$B$18,2,FALSE)*[1]Energiindhold!$C$10,0)*J269*IFERROR(VLOOKUP(A269,Biogasanlæg!$F$3:$G$8,2,FALSE),1)</f>
        <v>0.27257851339822636</v>
      </c>
      <c r="T269" s="193">
        <f t="shared" si="64"/>
        <v>4.278834370285626</v>
      </c>
      <c r="U269" s="191">
        <f>O269*IFERROR(VLOOKUP(A269,[1]Tørstofindhold!A$2:B$24,2,FALSE),0)</f>
        <v>357562.76074810239</v>
      </c>
      <c r="V269" s="192">
        <f>IF(D269=År1,P269,SUM(O269,P269))*IFERROR(VLOOKUP(A269,[1]Tørstofindhold!A$2:B$24,2,FALSE),0)</f>
        <v>380340.90950004332</v>
      </c>
      <c r="W269" s="192">
        <f>J269*IFERROR(VLOOKUP(A269,[1]Tørstofindhold!A$2:B$24,2,FALSE),0)</f>
        <v>22778.148751940917</v>
      </c>
      <c r="X269" s="193">
        <f t="shared" si="65"/>
        <v>357562.76074810239</v>
      </c>
      <c r="Y269" s="171">
        <f t="shared" si="76"/>
        <v>0</v>
      </c>
      <c r="Z269" s="103">
        <f t="shared" si="77"/>
        <v>1</v>
      </c>
    </row>
    <row r="270" spans="1:26" x14ac:dyDescent="0.25">
      <c r="A270" s="194" t="str">
        <f t="shared" si="72"/>
        <v>Mejeriprodukter</v>
      </c>
      <c r="B270" s="194" t="str">
        <f t="shared" si="73"/>
        <v/>
      </c>
      <c r="C270" s="194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4">
        <f t="shared" si="74"/>
        <v>2050</v>
      </c>
      <c r="E270" s="192" t="s">
        <v>24</v>
      </c>
      <c r="F270" s="195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174533.85571503793</v>
      </c>
      <c r="G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2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5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4">
        <f t="shared" si="62"/>
        <v>-253680.1735764404</v>
      </c>
      <c r="O270" s="195">
        <f t="shared" si="75"/>
        <v>0</v>
      </c>
      <c r="P270" s="205">
        <f t="shared" si="63"/>
        <v>0</v>
      </c>
      <c r="Q270" s="192">
        <f>IFERROR(VLOOKUP(A270,[1]Energiindhold!$A$2:$C$11,3,FALSE),IFERROR(VLOOKUP(A270,[1]Biogasudbytte!$A$2:$B$18,2,FALSE)*[1]Energiindhold!$C$10,0))*O270</f>
        <v>0</v>
      </c>
      <c r="R270" s="192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2">
        <f>IFERROR(VLOOKUP(A270,[1]Biogasudbytte!$A$2:$B$18,2,FALSE)*[1]Energiindhold!$C$10,0)*J270*IFERROR(VLOOKUP(A270,Biogasanlæg!$F$3:$G$8,2,FALSE),1)</f>
        <v>0</v>
      </c>
      <c r="T270" s="193">
        <f t="shared" si="64"/>
        <v>0</v>
      </c>
      <c r="U270" s="191">
        <f>O270*IFERROR(VLOOKUP(A270,[1]Tørstofindhold!A$2:B$24,2,FALSE),0)</f>
        <v>0</v>
      </c>
      <c r="V270" s="192">
        <f>IF(D270=År1,P270,SUM(O270,P270))*IFERROR(VLOOKUP(A270,[1]Tørstofindhold!A$2:B$24,2,FALSE),0)</f>
        <v>0</v>
      </c>
      <c r="W270" s="192">
        <f>J270*IFERROR(VLOOKUP(A270,[1]Tørstofindhold!A$2:B$24,2,FALSE),0)</f>
        <v>0</v>
      </c>
      <c r="X270" s="193">
        <f t="shared" si="65"/>
        <v>0</v>
      </c>
      <c r="Y270" s="171">
        <f t="shared" si="76"/>
        <v>0</v>
      </c>
      <c r="Z270" s="103">
        <f t="shared" si="77"/>
        <v>1</v>
      </c>
    </row>
    <row r="271" spans="1:26" x14ac:dyDescent="0.25">
      <c r="A271" s="194" t="str">
        <f t="shared" si="72"/>
        <v>Muslinger</v>
      </c>
      <c r="B271" s="194" t="str">
        <f t="shared" si="73"/>
        <v>Havbiomasse</v>
      </c>
      <c r="C271" s="194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4">
        <f t="shared" si="74"/>
        <v>2050</v>
      </c>
      <c r="E271" s="192" t="s">
        <v>24</v>
      </c>
      <c r="F271" s="195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48650.027670673619</v>
      </c>
      <c r="G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2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5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4">
        <f t="shared" si="62"/>
        <v>48650.027670673619</v>
      </c>
      <c r="O271" s="195">
        <f t="shared" si="75"/>
        <v>48650.027670673619</v>
      </c>
      <c r="P271" s="205">
        <f t="shared" si="63"/>
        <v>0</v>
      </c>
      <c r="Q271" s="192">
        <f>IFERROR(VLOOKUP(A271,[1]Energiindhold!$A$2:$C$11,3,FALSE),IFERROR(VLOOKUP(A271,[1]Biogasudbytte!$A$2:$B$18,2,FALSE)*[1]Energiindhold!$C$10,0))*O271</f>
        <v>4.366339983442958E-2</v>
      </c>
      <c r="R271" s="192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2">
        <f>IFERROR(VLOOKUP(A271,[1]Biogasudbytte!$A$2:$B$18,2,FALSE)*[1]Energiindhold!$C$10,0)*J271*IFERROR(VLOOKUP(A271,Biogasanlæg!$F$3:$G$8,2,FALSE),1)</f>
        <v>0</v>
      </c>
      <c r="T271" s="193">
        <f t="shared" si="64"/>
        <v>4.366339983442958E-2</v>
      </c>
      <c r="U271" s="191">
        <f>O271*IFERROR(VLOOKUP(A271,[1]Tørstofindhold!A$2:B$24,2,FALSE),0)</f>
        <v>7297.504150601043</v>
      </c>
      <c r="V271" s="192">
        <f>IF(D271=År1,P271,SUM(O271,P271))*IFERROR(VLOOKUP(A271,[1]Tørstofindhold!A$2:B$24,2,FALSE),0)</f>
        <v>7297.504150601043</v>
      </c>
      <c r="W271" s="192">
        <f>J271*IFERROR(VLOOKUP(A271,[1]Tørstofindhold!A$2:B$24,2,FALSE),0)</f>
        <v>0</v>
      </c>
      <c r="X271" s="193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x14ac:dyDescent="0.25">
      <c r="A272" s="194" t="str">
        <f t="shared" si="72"/>
        <v>Oksekød</v>
      </c>
      <c r="B272" s="194" t="str">
        <f t="shared" si="73"/>
        <v/>
      </c>
      <c r="C272" s="194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4">
        <f t="shared" si="74"/>
        <v>2050</v>
      </c>
      <c r="E272" s="192" t="s">
        <v>24</v>
      </c>
      <c r="F272" s="195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5844.4508372651044</v>
      </c>
      <c r="G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2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5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4">
        <f t="shared" si="62"/>
        <v>-48568.262884772746</v>
      </c>
      <c r="O272" s="195">
        <f t="shared" si="75"/>
        <v>0</v>
      </c>
      <c r="P272" s="205">
        <f t="shared" si="63"/>
        <v>0</v>
      </c>
      <c r="Q272" s="192">
        <f>IFERROR(VLOOKUP(A272,[1]Energiindhold!$A$2:$C$11,3,FALSE),IFERROR(VLOOKUP(A272,[1]Biogasudbytte!$A$2:$B$18,2,FALSE)*[1]Energiindhold!$C$10,0))*O272</f>
        <v>0</v>
      </c>
      <c r="R272" s="192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2">
        <f>IFERROR(VLOOKUP(A272,[1]Biogasudbytte!$A$2:$B$18,2,FALSE)*[1]Energiindhold!$C$10,0)*J272*IFERROR(VLOOKUP(A272,Biogasanlæg!$F$3:$G$8,2,FALSE),1)</f>
        <v>0</v>
      </c>
      <c r="T272" s="193">
        <f t="shared" si="64"/>
        <v>0</v>
      </c>
      <c r="U272" s="191">
        <f>O272*IFERROR(VLOOKUP(A272,[1]Tørstofindhold!A$2:B$24,2,FALSE),0)</f>
        <v>0</v>
      </c>
      <c r="V272" s="192">
        <f>IF(D272=År1,P272,SUM(O272,P272))*IFERROR(VLOOKUP(A272,[1]Tørstofindhold!A$2:B$24,2,FALSE),0)</f>
        <v>0</v>
      </c>
      <c r="W272" s="192">
        <f>J272*IFERROR(VLOOKUP(A272,[1]Tørstofindhold!A$2:B$24,2,FALSE),0)</f>
        <v>0</v>
      </c>
      <c r="X272" s="193">
        <f t="shared" si="65"/>
        <v>0</v>
      </c>
      <c r="Y272" s="171">
        <f t="shared" si="76"/>
        <v>1</v>
      </c>
      <c r="Z272" s="103">
        <f t="shared" si="77"/>
        <v>0</v>
      </c>
    </row>
    <row r="273" spans="1:26" x14ac:dyDescent="0.25">
      <c r="A273" s="194" t="str">
        <f t="shared" si="72"/>
        <v>Øvrige</v>
      </c>
      <c r="B273" s="194" t="str">
        <f t="shared" si="73"/>
        <v/>
      </c>
      <c r="C273" s="194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4">
        <f t="shared" si="74"/>
        <v>2050</v>
      </c>
      <c r="E273" s="192" t="s">
        <v>24</v>
      </c>
      <c r="F273" s="195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314116.08613367198</v>
      </c>
      <c r="G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2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5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4">
        <f t="shared" si="62"/>
        <v>314116.08613367198</v>
      </c>
      <c r="O273" s="195">
        <f t="shared" si="75"/>
        <v>0</v>
      </c>
      <c r="P273" s="205">
        <f t="shared" si="63"/>
        <v>0</v>
      </c>
      <c r="Q273" s="192">
        <f>IFERROR(VLOOKUP(A273,[1]Energiindhold!$A$2:$C$11,3,FALSE),IFERROR(VLOOKUP(A273,[1]Biogasudbytte!$A$2:$B$18,2,FALSE)*[1]Energiindhold!$C$10,0))*O273</f>
        <v>0</v>
      </c>
      <c r="R273" s="192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2">
        <f>IFERROR(VLOOKUP(A273,[1]Biogasudbytte!$A$2:$B$18,2,FALSE)*[1]Energiindhold!$C$10,0)*J273*IFERROR(VLOOKUP(A273,Biogasanlæg!$F$3:$G$8,2,FALSE),1)</f>
        <v>0</v>
      </c>
      <c r="T273" s="193">
        <f t="shared" si="64"/>
        <v>0</v>
      </c>
      <c r="U273" s="191">
        <f>O273*IFERROR(VLOOKUP(A273,[1]Tørstofindhold!A$2:B$24,2,FALSE),0)</f>
        <v>0</v>
      </c>
      <c r="V273" s="192">
        <f>IF(D273=År1,P273,SUM(O273,P273))*IFERROR(VLOOKUP(A273,[1]Tørstofindhold!A$2:B$24,2,FALSE),0)</f>
        <v>0</v>
      </c>
      <c r="W273" s="192">
        <f>J273*IFERROR(VLOOKUP(A273,[1]Tørstofindhold!A$2:B$24,2,FALSE),0)</f>
        <v>0</v>
      </c>
      <c r="X273" s="193">
        <f t="shared" si="65"/>
        <v>0</v>
      </c>
      <c r="Y273" s="171">
        <f t="shared" si="76"/>
        <v>0</v>
      </c>
      <c r="Z273" s="103">
        <f t="shared" si="77"/>
        <v>1</v>
      </c>
    </row>
    <row r="274" spans="1:26" x14ac:dyDescent="0.25">
      <c r="A274" s="194" t="str">
        <f t="shared" si="72"/>
        <v>Pil &amp; poppel</v>
      </c>
      <c r="B274" s="194" t="str">
        <f t="shared" si="73"/>
        <v>Vedmasse</v>
      </c>
      <c r="C274" s="194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4">
        <f t="shared" si="74"/>
        <v>2050</v>
      </c>
      <c r="E274" s="192" t="s">
        <v>24</v>
      </c>
      <c r="F274" s="195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43858.564110476924</v>
      </c>
      <c r="G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2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5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43858.564110476924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4">
        <f t="shared" si="62"/>
        <v>0</v>
      </c>
      <c r="O274" s="195">
        <f t="shared" si="75"/>
        <v>0</v>
      </c>
      <c r="P274" s="205">
        <f t="shared" si="63"/>
        <v>43858.564110476924</v>
      </c>
      <c r="Q274" s="192">
        <f>IFERROR(VLOOKUP(A274,[1]Energiindhold!$A$2:$C$11,3,FALSE),IFERROR(VLOOKUP(A274,[1]Biogasudbytte!$A$2:$B$18,2,FALSE)*[1]Energiindhold!$C$10,0))*O274</f>
        <v>0</v>
      </c>
      <c r="R274" s="192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0.8069975796327753</v>
      </c>
      <c r="S274" s="192">
        <f>IFERROR(VLOOKUP(A274,[1]Biogasudbytte!$A$2:$B$18,2,FALSE)*[1]Energiindhold!$C$10,0)*J274*IFERROR(VLOOKUP(A274,Biogasanlæg!$F$3:$G$8,2,FALSE),1)</f>
        <v>0</v>
      </c>
      <c r="T274" s="193">
        <f t="shared" si="64"/>
        <v>0.8069975796327753</v>
      </c>
      <c r="U274" s="191">
        <f>O274*IFERROR(VLOOKUP(A274,[1]Tørstofindhold!A$2:B$24,2,FALSE),0)</f>
        <v>0</v>
      </c>
      <c r="V274" s="192">
        <f>IF(D274=År1,P274,SUM(O274,P274))*IFERROR(VLOOKUP(A274,[1]Tørstofindhold!A$2:B$24,2,FALSE),0)</f>
        <v>18201.304105847925</v>
      </c>
      <c r="W274" s="192">
        <f>J274*IFERROR(VLOOKUP(A274,[1]Tørstofindhold!A$2:B$24,2,FALSE),0)</f>
        <v>0</v>
      </c>
      <c r="X274" s="193">
        <f t="shared" si="65"/>
        <v>18201.304105847925</v>
      </c>
      <c r="Y274" s="171">
        <f t="shared" si="76"/>
        <v>0</v>
      </c>
      <c r="Z274" s="103">
        <f t="shared" si="77"/>
        <v>0</v>
      </c>
    </row>
    <row r="275" spans="1:26" x14ac:dyDescent="0.25">
      <c r="A275" s="194" t="str">
        <f t="shared" ref="A275:A276" si="78">A227</f>
        <v>Pyrolysegas</v>
      </c>
      <c r="B275" s="194" t="str">
        <f t="shared" ref="B275:B276" si="79">IF(B227&lt;&gt;"",B227,"")</f>
        <v>Pyrolyseprodukter</v>
      </c>
      <c r="C275" s="194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4">
        <f t="shared" si="74"/>
        <v>2050</v>
      </c>
      <c r="E275" s="192" t="s">
        <v>24</v>
      </c>
      <c r="F275" s="195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0</v>
      </c>
      <c r="G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2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5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4">
        <f t="shared" ref="N275:N276" si="80">F275-SUM(G275:M275)</f>
        <v>0</v>
      </c>
      <c r="O275" s="195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5">
        <f t="shared" ref="P275:P276" si="82">SUM(J275,L275)</f>
        <v>0</v>
      </c>
      <c r="Q275" s="192">
        <f>IFERROR(VLOOKUP(A275,[1]Energiindhold!$A$2:$C$11,3,FALSE),IFERROR(VLOOKUP(A275,[1]Biogasudbytte!$A$2:$B$18,2,FALSE)*[1]Energiindhold!$C$10,0))*O275</f>
        <v>0</v>
      </c>
      <c r="R275" s="192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2">
        <f>IFERROR(VLOOKUP(A275,[1]Biogasudbytte!$A$2:$B$18,2,FALSE)*[1]Energiindhold!$C$10,0)*J275*IFERROR(VLOOKUP(A275,Biogasanlæg!$F$3:$G$8,2,FALSE),1)</f>
        <v>0</v>
      </c>
      <c r="T275" s="193">
        <f t="shared" ref="T275:T276" si="83">R275-S275</f>
        <v>0</v>
      </c>
      <c r="U275" s="191">
        <f>O275*IFERROR(VLOOKUP(A275,[1]Tørstofindhold!A$2:B$24,2,FALSE),0)</f>
        <v>0</v>
      </c>
      <c r="V275" s="192">
        <f>IF(D275=År1,P275,SUM(O275,P275))*IFERROR(VLOOKUP(A275,[1]Tørstofindhold!A$2:B$24,2,FALSE),0)</f>
        <v>0</v>
      </c>
      <c r="W275" s="192">
        <f>J275*IFERROR(VLOOKUP(A275,[1]Tørstofindhold!A$2:B$24,2,FALSE),0)</f>
        <v>0</v>
      </c>
      <c r="X275" s="193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4" t="str">
        <f t="shared" si="78"/>
        <v>Pyrolyseolie</v>
      </c>
      <c r="B276" s="194" t="str">
        <f t="shared" si="79"/>
        <v>Pyrolyseprodukter</v>
      </c>
      <c r="C276" s="194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4">
        <f t="shared" si="74"/>
        <v>2050</v>
      </c>
      <c r="E276" s="192" t="s">
        <v>24</v>
      </c>
      <c r="F276" s="195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0</v>
      </c>
      <c r="G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2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5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4">
        <f t="shared" si="80"/>
        <v>0</v>
      </c>
      <c r="O276" s="195">
        <f t="shared" si="81"/>
        <v>0</v>
      </c>
      <c r="P276" s="205">
        <f t="shared" si="82"/>
        <v>0</v>
      </c>
      <c r="Q276" s="192">
        <f>IFERROR(VLOOKUP(A276,[1]Energiindhold!$A$2:$C$11,3,FALSE),IFERROR(VLOOKUP(A276,[1]Biogasudbytte!$A$2:$B$18,2,FALSE)*[1]Energiindhold!$C$10,0))*O276</f>
        <v>0</v>
      </c>
      <c r="R276" s="192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2">
        <f>IFERROR(VLOOKUP(A276,[1]Biogasudbytte!$A$2:$B$18,2,FALSE)*[1]Energiindhold!$C$10,0)*J276*IFERROR(VLOOKUP(A276,Biogasanlæg!$F$3:$G$8,2,FALSE),1)</f>
        <v>0</v>
      </c>
      <c r="T276" s="193">
        <f t="shared" si="83"/>
        <v>0</v>
      </c>
      <c r="U276" s="191">
        <f>O276*IFERROR(VLOOKUP(A276,[1]Tørstofindhold!A$2:B$24,2,FALSE),0)</f>
        <v>0</v>
      </c>
      <c r="V276" s="192">
        <f>IF(D276=År1,P276,SUM(O276,P276))*IFERROR(VLOOKUP(A276,[1]Tørstofindhold!A$2:B$24,2,FALSE),0)</f>
        <v>0</v>
      </c>
      <c r="W276" s="192">
        <f>J276*IFERROR(VLOOKUP(A276,[1]Tørstofindhold!A$2:B$24,2,FALSE),0)</f>
        <v>0</v>
      </c>
      <c r="X276" s="193">
        <f t="shared" si="84"/>
        <v>0</v>
      </c>
      <c r="Y276" s="171">
        <f t="shared" si="85"/>
        <v>0</v>
      </c>
      <c r="Z276" s="103">
        <f t="shared" si="86"/>
        <v>0</v>
      </c>
    </row>
    <row r="277" spans="1:26" x14ac:dyDescent="0.25">
      <c r="A277" s="194" t="str">
        <f t="shared" ref="A277:A290" si="87">A229</f>
        <v>Råmælk</v>
      </c>
      <c r="B277" s="194" t="str">
        <f t="shared" ref="B277:B290" si="88">IF(B229&lt;&gt;"",B229,"")</f>
        <v/>
      </c>
      <c r="C277" s="194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4">
        <f t="shared" si="74"/>
        <v>2050</v>
      </c>
      <c r="E277" s="192" t="s">
        <v>24</v>
      </c>
      <c r="F277" s="195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271784.85087768652</v>
      </c>
      <c r="G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2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5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4">
        <f t="shared" si="62"/>
        <v>271784.85087768652</v>
      </c>
      <c r="O277" s="195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5">
        <f t="shared" si="63"/>
        <v>0</v>
      </c>
      <c r="Q277" s="192">
        <f>IFERROR(VLOOKUP(A277,[1]Energiindhold!$A$2:$C$11,3,FALSE),IFERROR(VLOOKUP(A277,[1]Biogasudbytte!$A$2:$B$18,2,FALSE)*[1]Energiindhold!$C$10,0))*O277</f>
        <v>0</v>
      </c>
      <c r="R277" s="192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2">
        <f>IFERROR(VLOOKUP(A277,[1]Biogasudbytte!$A$2:$B$18,2,FALSE)*[1]Energiindhold!$C$10,0)*J277*IFERROR(VLOOKUP(A277,Biogasanlæg!$F$3:$G$8,2,FALSE),1)</f>
        <v>0</v>
      </c>
      <c r="T277" s="193">
        <f t="shared" si="64"/>
        <v>0</v>
      </c>
      <c r="U277" s="191">
        <f>O277*IFERROR(VLOOKUP(A277,[1]Tørstofindhold!A$2:B$24,2,FALSE),0)</f>
        <v>0</v>
      </c>
      <c r="V277" s="192">
        <f>IF(D277=År1,P277,SUM(O277,P277))*IFERROR(VLOOKUP(A277,[1]Tørstofindhold!A$2:B$24,2,FALSE),0)</f>
        <v>0</v>
      </c>
      <c r="W277" s="192">
        <f>J277*IFERROR(VLOOKUP(A277,[1]Tørstofindhold!A$2:B$24,2,FALSE),0)</f>
        <v>0</v>
      </c>
      <c r="X277" s="193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4" t="str">
        <f t="shared" si="87"/>
        <v>Raps</v>
      </c>
      <c r="B278" s="194" t="str">
        <f t="shared" si="88"/>
        <v/>
      </c>
      <c r="C278" s="194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4">
        <f t="shared" si="74"/>
        <v>2050</v>
      </c>
      <c r="E278" s="192" t="s">
        <v>24</v>
      </c>
      <c r="F278" s="195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116086.90219815794</v>
      </c>
      <c r="G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2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5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116086.90219815794</v>
      </c>
      <c r="N278" s="204">
        <f t="shared" si="62"/>
        <v>0</v>
      </c>
      <c r="O278" s="195">
        <f t="shared" si="89"/>
        <v>0</v>
      </c>
      <c r="P278" s="205">
        <f t="shared" si="63"/>
        <v>0</v>
      </c>
      <c r="Q278" s="192">
        <f>IFERROR(VLOOKUP(A278,[1]Energiindhold!$A$2:$C$11,3,FALSE),IFERROR(VLOOKUP(A278,[1]Biogasudbytte!$A$2:$B$18,2,FALSE)*[1]Energiindhold!$C$10,0))*O278</f>
        <v>0</v>
      </c>
      <c r="R278" s="192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2">
        <f>IFERROR(VLOOKUP(A278,[1]Biogasudbytte!$A$2:$B$18,2,FALSE)*[1]Energiindhold!$C$10,0)*J278*IFERROR(VLOOKUP(A278,Biogasanlæg!$F$3:$G$8,2,FALSE),1)</f>
        <v>0</v>
      </c>
      <c r="T278" s="193">
        <f t="shared" si="64"/>
        <v>0</v>
      </c>
      <c r="U278" s="191">
        <f>O278*IFERROR(VLOOKUP(A278,[1]Tørstofindhold!A$2:B$24,2,FALSE),0)</f>
        <v>0</v>
      </c>
      <c r="V278" s="192">
        <f>IF(D278=År1,P278,SUM(O278,P278))*IFERROR(VLOOKUP(A278,[1]Tørstofindhold!A$2:B$24,2,FALSE),0)</f>
        <v>0</v>
      </c>
      <c r="W278" s="192">
        <f>J278*IFERROR(VLOOKUP(A278,[1]Tørstofindhold!A$2:B$24,2,FALSE),0)</f>
        <v>0</v>
      </c>
      <c r="X278" s="193">
        <f t="shared" si="65"/>
        <v>0</v>
      </c>
      <c r="Y278" s="171">
        <f t="shared" si="90"/>
        <v>0</v>
      </c>
      <c r="Z278" s="103">
        <f t="shared" si="91"/>
        <v>0</v>
      </c>
    </row>
    <row r="279" spans="1:26" x14ac:dyDescent="0.25">
      <c r="A279" s="194" t="str">
        <f t="shared" si="87"/>
        <v>Rapskage</v>
      </c>
      <c r="B279" s="194" t="str">
        <f t="shared" si="88"/>
        <v/>
      </c>
      <c r="C279" s="194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4">
        <f t="shared" si="74"/>
        <v>2050</v>
      </c>
      <c r="E279" s="192" t="s">
        <v>24</v>
      </c>
      <c r="F279" s="195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58043.451099078971</v>
      </c>
      <c r="G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21023.015601598701</v>
      </c>
      <c r="H279" s="192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5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4">
        <f t="shared" si="62"/>
        <v>37020.43549748027</v>
      </c>
      <c r="O279" s="195">
        <f t="shared" si="89"/>
        <v>0</v>
      </c>
      <c r="P279" s="205">
        <f t="shared" si="63"/>
        <v>0</v>
      </c>
      <c r="Q279" s="192">
        <f>IFERROR(VLOOKUP(A279,[1]Energiindhold!$A$2:$C$11,3,FALSE),IFERROR(VLOOKUP(A279,[1]Biogasudbytte!$A$2:$B$18,2,FALSE)*[1]Energiindhold!$C$10,0))*O279</f>
        <v>0</v>
      </c>
      <c r="R279" s="192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2">
        <f>IFERROR(VLOOKUP(A279,[1]Biogasudbytte!$A$2:$B$18,2,FALSE)*[1]Energiindhold!$C$10,0)*J279*IFERROR(VLOOKUP(A279,Biogasanlæg!$F$3:$G$8,2,FALSE),1)</f>
        <v>0</v>
      </c>
      <c r="T279" s="193">
        <f t="shared" si="64"/>
        <v>0</v>
      </c>
      <c r="U279" s="191">
        <f>O279*IFERROR(VLOOKUP(A279,[1]Tørstofindhold!A$2:B$24,2,FALSE),0)</f>
        <v>0</v>
      </c>
      <c r="V279" s="192">
        <f>IF(D279=År1,P279,SUM(O279,P279))*IFERROR(VLOOKUP(A279,[1]Tørstofindhold!A$2:B$24,2,FALSE),0)</f>
        <v>0</v>
      </c>
      <c r="W279" s="192">
        <f>J279*IFERROR(VLOOKUP(A279,[1]Tørstofindhold!A$2:B$24,2,FALSE),0)</f>
        <v>0</v>
      </c>
      <c r="X279" s="193">
        <f t="shared" si="65"/>
        <v>0</v>
      </c>
      <c r="Y279" s="171">
        <f t="shared" si="90"/>
        <v>0</v>
      </c>
      <c r="Z279" s="103">
        <f t="shared" si="91"/>
        <v>1</v>
      </c>
    </row>
    <row r="280" spans="1:26" x14ac:dyDescent="0.25">
      <c r="A280" s="194" t="str">
        <f t="shared" si="87"/>
        <v>Rapsolie</v>
      </c>
      <c r="B280" s="194" t="str">
        <f t="shared" si="88"/>
        <v>Rapsolie</v>
      </c>
      <c r="C280" s="194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4">
        <f t="shared" si="74"/>
        <v>2050</v>
      </c>
      <c r="E280" s="192" t="s">
        <v>24</v>
      </c>
      <c r="F280" s="195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37147.808703410541</v>
      </c>
      <c r="G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2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5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37147.808703410541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4">
        <f t="shared" si="62"/>
        <v>0</v>
      </c>
      <c r="O280" s="195">
        <f t="shared" si="89"/>
        <v>0</v>
      </c>
      <c r="P280" s="205">
        <f t="shared" si="63"/>
        <v>37147.808703410541</v>
      </c>
      <c r="Q280" s="192">
        <f>IFERROR(VLOOKUP(A280,[1]Energiindhold!$A$2:$C$11,3,FALSE),IFERROR(VLOOKUP(A280,[1]Biogasudbytte!$A$2:$B$18,2,FALSE)*[1]Energiindhold!$C$10,0))*O280</f>
        <v>0</v>
      </c>
      <c r="R280" s="192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1.3001733046193689</v>
      </c>
      <c r="S280" s="192">
        <f>IFERROR(VLOOKUP(A280,[1]Biogasudbytte!$A$2:$B$18,2,FALSE)*[1]Energiindhold!$C$10,0)*J280*IFERROR(VLOOKUP(A280,Biogasanlæg!$F$3:$G$8,2,FALSE),1)</f>
        <v>0</v>
      </c>
      <c r="T280" s="193">
        <f t="shared" si="64"/>
        <v>1.3001733046193689</v>
      </c>
      <c r="U280" s="191">
        <f>O280*IFERROR(VLOOKUP(A280,[1]Tørstofindhold!A$2:B$24,2,FALSE),0)</f>
        <v>0</v>
      </c>
      <c r="V280" s="192">
        <f>IF(D280=År1,P280,SUM(O280,P280))*IFERROR(VLOOKUP(A280,[1]Tørstofindhold!A$2:B$24,2,FALSE),0)</f>
        <v>0</v>
      </c>
      <c r="W280" s="192">
        <f>J280*IFERROR(VLOOKUP(A280,[1]Tørstofindhold!A$2:B$24,2,FALSE),0)</f>
        <v>0</v>
      </c>
      <c r="X280" s="193">
        <f t="shared" si="65"/>
        <v>0</v>
      </c>
      <c r="Y280" s="171">
        <f t="shared" si="90"/>
        <v>0</v>
      </c>
      <c r="Z280" s="103">
        <f t="shared" si="91"/>
        <v>0</v>
      </c>
    </row>
    <row r="281" spans="1:26" x14ac:dyDescent="0.25">
      <c r="A281" s="194" t="str">
        <f t="shared" si="87"/>
        <v>Roer</v>
      </c>
      <c r="B281" s="194" t="str">
        <f t="shared" si="88"/>
        <v>Græs og urter</v>
      </c>
      <c r="C281" s="194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4">
        <f t="shared" si="74"/>
        <v>2050</v>
      </c>
      <c r="E281" s="192" t="s">
        <v>24</v>
      </c>
      <c r="F281" s="195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1571187.4884325294</v>
      </c>
      <c r="G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82596.70146402168</v>
      </c>
      <c r="H281" s="192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6823.5734769589817</v>
      </c>
      <c r="K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5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4">
        <f t="shared" si="62"/>
        <v>1481767.2134915488</v>
      </c>
      <c r="O281" s="195">
        <f t="shared" si="89"/>
        <v>1481767.2134915488</v>
      </c>
      <c r="P281" s="205">
        <f t="shared" si="63"/>
        <v>6823.5734769589817</v>
      </c>
      <c r="Q281" s="192">
        <f>IFERROR(VLOOKUP(A281,[1]Energiindhold!$A$2:$C$11,3,FALSE),IFERROR(VLOOKUP(A281,[1]Biogasudbytte!$A$2:$B$18,2,FALSE)*[1]Energiindhold!$C$10,0))*O281</f>
        <v>4.0215754881046033</v>
      </c>
      <c r="R281" s="192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4.0400949394640087</v>
      </c>
      <c r="S281" s="192">
        <f>IFERROR(VLOOKUP(A281,[1]Biogasudbytte!$A$2:$B$18,2,FALSE)*[1]Energiindhold!$C$10,0)*J281*IFERROR(VLOOKUP(A281,Biogasanlæg!$F$3:$G$8,2,FALSE),1)</f>
        <v>1.8519451359405754E-2</v>
      </c>
      <c r="T281" s="193">
        <f t="shared" si="64"/>
        <v>4.0215754881046033</v>
      </c>
      <c r="U281" s="191">
        <f>O281*IFERROR(VLOOKUP(A281,[1]Tørstofindhold!A$2:B$24,2,FALSE),0)</f>
        <v>296353.44269830978</v>
      </c>
      <c r="V281" s="192">
        <f>IF(D281=År1,P281,SUM(O281,P281))*IFERROR(VLOOKUP(A281,[1]Tørstofindhold!A$2:B$24,2,FALSE),0)</f>
        <v>297718.15739370155</v>
      </c>
      <c r="W281" s="192">
        <f>J281*IFERROR(VLOOKUP(A281,[1]Tørstofindhold!A$2:B$24,2,FALSE),0)</f>
        <v>1364.7146953917963</v>
      </c>
      <c r="X281" s="193">
        <f t="shared" si="65"/>
        <v>296353.44269830978</v>
      </c>
      <c r="Y281" s="171">
        <f t="shared" si="90"/>
        <v>0</v>
      </c>
      <c r="Z281" s="103">
        <f t="shared" si="91"/>
        <v>1</v>
      </c>
    </row>
    <row r="282" spans="1:26" x14ac:dyDescent="0.25">
      <c r="A282" s="194" t="str">
        <f t="shared" si="87"/>
        <v>Slagteriaffald til andet</v>
      </c>
      <c r="B282" s="194" t="str">
        <f t="shared" si="88"/>
        <v/>
      </c>
      <c r="C282" s="194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4">
        <f t="shared" ref="D282:D290" si="92">År3</f>
        <v>2050</v>
      </c>
      <c r="E282" s="192" t="s">
        <v>24</v>
      </c>
      <c r="F282" s="195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17515.983585710339</v>
      </c>
      <c r="G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2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5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4">
        <f t="shared" ref="N282:N290" si="93">F282-SUM(G282:M282)</f>
        <v>17515.983585710339</v>
      </c>
      <c r="O282" s="195">
        <f t="shared" si="89"/>
        <v>0</v>
      </c>
      <c r="P282" s="205">
        <f t="shared" ref="P282:P290" si="94">SUM(J282,L282)</f>
        <v>0</v>
      </c>
      <c r="Q282" s="192">
        <f>IFERROR(VLOOKUP(A282,[1]Energiindhold!$A$2:$C$11,3,FALSE),IFERROR(VLOOKUP(A282,[1]Biogasudbytte!$A$2:$B$18,2,FALSE)*[1]Energiindhold!$C$10,0))*O282</f>
        <v>0</v>
      </c>
      <c r="R282" s="192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2">
        <f>IFERROR(VLOOKUP(A282,[1]Biogasudbytte!$A$2:$B$18,2,FALSE)*[1]Energiindhold!$C$10,0)*J282*IFERROR(VLOOKUP(A282,Biogasanlæg!$F$3:$G$8,2,FALSE),1)</f>
        <v>0</v>
      </c>
      <c r="T282" s="193">
        <f t="shared" ref="T282:T290" si="95">R282-S282</f>
        <v>0</v>
      </c>
      <c r="U282" s="191">
        <f>O282*IFERROR(VLOOKUP(A282,[1]Tørstofindhold!A$2:B$24,2,FALSE),0)</f>
        <v>0</v>
      </c>
      <c r="V282" s="192">
        <f>IF(D282=År1,P282,SUM(O282,P282))*IFERROR(VLOOKUP(A282,[1]Tørstofindhold!A$2:B$24,2,FALSE),0)</f>
        <v>0</v>
      </c>
      <c r="W282" s="192">
        <f>J282*IFERROR(VLOOKUP(A282,[1]Tørstofindhold!A$2:B$24,2,FALSE),0)</f>
        <v>0</v>
      </c>
      <c r="X282" s="193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x14ac:dyDescent="0.25">
      <c r="A283" s="194" t="str">
        <f t="shared" si="87"/>
        <v>Slagteriaffald til foder</v>
      </c>
      <c r="B283" s="194" t="str">
        <f t="shared" si="88"/>
        <v/>
      </c>
      <c r="C283" s="194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4">
        <f t="shared" si="92"/>
        <v>2050</v>
      </c>
      <c r="E283" s="192" t="s">
        <v>24</v>
      </c>
      <c r="F283" s="195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14228.619026408833</v>
      </c>
      <c r="G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3870.345968495159</v>
      </c>
      <c r="H283" s="192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5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4">
        <f t="shared" si="93"/>
        <v>10358.273057913673</v>
      </c>
      <c r="O283" s="195">
        <f t="shared" si="89"/>
        <v>0</v>
      </c>
      <c r="P283" s="205">
        <f t="shared" si="94"/>
        <v>0</v>
      </c>
      <c r="Q283" s="192">
        <f>IFERROR(VLOOKUP(A283,[1]Energiindhold!$A$2:$C$11,3,FALSE),IFERROR(VLOOKUP(A283,[1]Biogasudbytte!$A$2:$B$18,2,FALSE)*[1]Energiindhold!$C$10,0))*O283</f>
        <v>0</v>
      </c>
      <c r="R283" s="192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2">
        <f>IFERROR(VLOOKUP(A283,[1]Biogasudbytte!$A$2:$B$18,2,FALSE)*[1]Energiindhold!$C$10,0)*J283*IFERROR(VLOOKUP(A283,Biogasanlæg!$F$3:$G$8,2,FALSE),1)</f>
        <v>0</v>
      </c>
      <c r="T283" s="193">
        <f t="shared" si="95"/>
        <v>0</v>
      </c>
      <c r="U283" s="191">
        <f>O283*IFERROR(VLOOKUP(A283,[1]Tørstofindhold!A$2:B$24,2,FALSE),0)</f>
        <v>0</v>
      </c>
      <c r="V283" s="192">
        <f>IF(D283=År1,P283,SUM(O283,P283))*IFERROR(VLOOKUP(A283,[1]Tørstofindhold!A$2:B$24,2,FALSE),0)</f>
        <v>0</v>
      </c>
      <c r="W283" s="192">
        <f>J283*IFERROR(VLOOKUP(A283,[1]Tørstofindhold!A$2:B$24,2,FALSE),0)</f>
        <v>0</v>
      </c>
      <c r="X283" s="193">
        <f t="shared" si="96"/>
        <v>0</v>
      </c>
      <c r="Y283" s="171">
        <f t="shared" si="90"/>
        <v>0</v>
      </c>
      <c r="Z283" s="103">
        <f t="shared" si="91"/>
        <v>1</v>
      </c>
    </row>
    <row r="284" spans="1:26" x14ac:dyDescent="0.25">
      <c r="A284" s="194" t="str">
        <f t="shared" si="87"/>
        <v>Spildevandsslam</v>
      </c>
      <c r="B284" s="194" t="str">
        <f t="shared" si="88"/>
        <v>Bionedbrydeligt affald</v>
      </c>
      <c r="C284" s="194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4">
        <f t="shared" si="92"/>
        <v>2050</v>
      </c>
      <c r="E284" s="192" t="s">
        <v>24</v>
      </c>
      <c r="F284" s="195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3498582.8365199142</v>
      </c>
      <c r="G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2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1326833.4967577588</v>
      </c>
      <c r="K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5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4">
        <f t="shared" si="93"/>
        <v>2171749.3397621554</v>
      </c>
      <c r="O284" s="195">
        <f t="shared" si="89"/>
        <v>2171749.3397621554</v>
      </c>
      <c r="P284" s="205">
        <f t="shared" si="94"/>
        <v>1326833.4967577588</v>
      </c>
      <c r="Q284" s="192">
        <f>IFERROR(VLOOKUP(A284,[1]Energiindhold!$A$2:$C$11,3,FALSE),IFERROR(VLOOKUP(A284,[1]Biogasudbytte!$A$2:$B$18,2,FALSE)*[1]Energiindhold!$C$10,0))*O284</f>
        <v>1.0837246380347134</v>
      </c>
      <c r="R284" s="192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1.7458278212518028</v>
      </c>
      <c r="S284" s="192">
        <f>IFERROR(VLOOKUP(A284,[1]Biogasudbytte!$A$2:$B$18,2,FALSE)*[1]Energiindhold!$C$10,0)*J284*IFERROR(VLOOKUP(A284,Biogasanlæg!$F$3:$G$8,2,FALSE),1)</f>
        <v>0.66210318321708928</v>
      </c>
      <c r="T284" s="193">
        <f t="shared" si="95"/>
        <v>1.0837246380347136</v>
      </c>
      <c r="U284" s="191">
        <f>O284*IFERROR(VLOOKUP(A284,[1]Tørstofindhold!A$2:B$24,2,FALSE),0)</f>
        <v>130304.96038572933</v>
      </c>
      <c r="V284" s="192">
        <f>IF(D284=År1,P284,SUM(O284,P284))*IFERROR(VLOOKUP(A284,[1]Tørstofindhold!A$2:B$24,2,FALSE),0)</f>
        <v>209914.97019119485</v>
      </c>
      <c r="W284" s="192">
        <f>J284*IFERROR(VLOOKUP(A284,[1]Tørstofindhold!A$2:B$24,2,FALSE),0)</f>
        <v>79610.009805465525</v>
      </c>
      <c r="X284" s="193">
        <f t="shared" si="96"/>
        <v>130304.96038572933</v>
      </c>
      <c r="Y284" s="171">
        <f t="shared" si="90"/>
        <v>0</v>
      </c>
      <c r="Z284" s="103">
        <f t="shared" si="91"/>
        <v>1</v>
      </c>
    </row>
    <row r="285" spans="1:26" x14ac:dyDescent="0.25">
      <c r="A285" s="194" t="str">
        <f t="shared" si="87"/>
        <v>Svinegylle</v>
      </c>
      <c r="B285" s="194" t="str">
        <f t="shared" si="88"/>
        <v>Husdyrgødning</v>
      </c>
      <c r="C285" s="194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4">
        <f t="shared" si="92"/>
        <v>2050</v>
      </c>
      <c r="E285" s="192" t="s">
        <v>24</v>
      </c>
      <c r="F285" s="195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1672957.9533098161</v>
      </c>
      <c r="G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2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1505662.1579788346</v>
      </c>
      <c r="K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167295.79533098158</v>
      </c>
      <c r="L285" s="195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4">
        <f t="shared" si="93"/>
        <v>0</v>
      </c>
      <c r="O285" s="195">
        <f t="shared" si="89"/>
        <v>0</v>
      </c>
      <c r="P285" s="205">
        <f t="shared" si="94"/>
        <v>1505662.1579788346</v>
      </c>
      <c r="Q285" s="192">
        <f>IFERROR(VLOOKUP(A285,[1]Energiindhold!$A$2:$C$11,3,FALSE),IFERROR(VLOOKUP(A285,[1]Biogasudbytte!$A$2:$B$18,2,FALSE)*[1]Energiindhold!$C$10,0))*O285</f>
        <v>0</v>
      </c>
      <c r="R285" s="192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0.64863925765728203</v>
      </c>
      <c r="S285" s="192">
        <f>IFERROR(VLOOKUP(A285,[1]Biogasudbytte!$A$2:$B$18,2,FALSE)*[1]Energiindhold!$C$10,0)*J285*IFERROR(VLOOKUP(A285,Biogasanlæg!$F$3:$G$8,2,FALSE),1)</f>
        <v>0.64863925765728203</v>
      </c>
      <c r="T285" s="193">
        <f t="shared" si="95"/>
        <v>0</v>
      </c>
      <c r="U285" s="191">
        <f>O285*IFERROR(VLOOKUP(A285,[1]Tørstofindhold!A$2:B$24,2,FALSE),0)</f>
        <v>0</v>
      </c>
      <c r="V285" s="192">
        <f>IF(D285=År1,P285,SUM(O285,P285))*IFERROR(VLOOKUP(A285,[1]Tørstofindhold!A$2:B$24,2,FALSE),0)</f>
        <v>75283.107898941729</v>
      </c>
      <c r="W285" s="192">
        <f>J285*IFERROR(VLOOKUP(A285,[1]Tørstofindhold!A$2:B$24,2,FALSE),0)</f>
        <v>75283.107898941729</v>
      </c>
      <c r="X285" s="193">
        <f t="shared" si="96"/>
        <v>0</v>
      </c>
      <c r="Y285" s="171">
        <f t="shared" si="90"/>
        <v>0</v>
      </c>
      <c r="Z285" s="103">
        <f t="shared" si="91"/>
        <v>0</v>
      </c>
    </row>
    <row r="286" spans="1:26" x14ac:dyDescent="0.25">
      <c r="A286" s="194" t="str">
        <f t="shared" si="87"/>
        <v>Svinekød</v>
      </c>
      <c r="B286" s="194" t="str">
        <f t="shared" si="88"/>
        <v/>
      </c>
      <c r="C286" s="194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4">
        <f t="shared" si="92"/>
        <v>2050</v>
      </c>
      <c r="E286" s="192" t="s">
        <v>24</v>
      </c>
      <c r="F286" s="195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155347.1964728414</v>
      </c>
      <c r="G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2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5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4">
        <f t="shared" si="93"/>
        <v>44872.898915976679</v>
      </c>
      <c r="O286" s="195">
        <f t="shared" si="89"/>
        <v>0</v>
      </c>
      <c r="P286" s="205">
        <f t="shared" si="94"/>
        <v>0</v>
      </c>
      <c r="Q286" s="192">
        <f>IFERROR(VLOOKUP(A286,[1]Energiindhold!$A$2:$C$11,3,FALSE),IFERROR(VLOOKUP(A286,[1]Biogasudbytte!$A$2:$B$18,2,FALSE)*[1]Energiindhold!$C$10,0))*O286</f>
        <v>0</v>
      </c>
      <c r="R286" s="192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2">
        <f>IFERROR(VLOOKUP(A286,[1]Biogasudbytte!$A$2:$B$18,2,FALSE)*[1]Energiindhold!$C$10,0)*J286*IFERROR(VLOOKUP(A286,Biogasanlæg!$F$3:$G$8,2,FALSE),1)</f>
        <v>0</v>
      </c>
      <c r="T286" s="193">
        <f t="shared" si="95"/>
        <v>0</v>
      </c>
      <c r="U286" s="191">
        <f>O286*IFERROR(VLOOKUP(A286,[1]Tørstofindhold!A$2:B$24,2,FALSE),0)</f>
        <v>0</v>
      </c>
      <c r="V286" s="192">
        <f>IF(D286=År1,P286,SUM(O286,P286))*IFERROR(VLOOKUP(A286,[1]Tørstofindhold!A$2:B$24,2,FALSE),0)</f>
        <v>0</v>
      </c>
      <c r="W286" s="192">
        <f>J286*IFERROR(VLOOKUP(A286,[1]Tørstofindhold!A$2:B$24,2,FALSE),0)</f>
        <v>0</v>
      </c>
      <c r="X286" s="193">
        <f t="shared" si="96"/>
        <v>0</v>
      </c>
      <c r="Y286" s="171">
        <f t="shared" si="90"/>
        <v>0</v>
      </c>
      <c r="Z286" s="103">
        <f t="shared" si="91"/>
        <v>1</v>
      </c>
    </row>
    <row r="287" spans="1:26" x14ac:dyDescent="0.25">
      <c r="A287" s="194" t="str">
        <f t="shared" si="87"/>
        <v>Tang</v>
      </c>
      <c r="B287" s="194" t="str">
        <f t="shared" si="88"/>
        <v>Havbiomasse</v>
      </c>
      <c r="C287" s="194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4">
        <f t="shared" si="92"/>
        <v>2050</v>
      </c>
      <c r="E287" s="192" t="s">
        <v>24</v>
      </c>
      <c r="F287" s="195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4500</v>
      </c>
      <c r="G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2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5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4">
        <f t="shared" si="93"/>
        <v>4500</v>
      </c>
      <c r="O287" s="195">
        <f t="shared" si="89"/>
        <v>4500</v>
      </c>
      <c r="P287" s="205">
        <f t="shared" si="94"/>
        <v>0</v>
      </c>
      <c r="Q287" s="192">
        <f>IFERROR(VLOOKUP(A287,[1]Energiindhold!$A$2:$C$11,3,FALSE),IFERROR(VLOOKUP(A287,[1]Biogasudbytte!$A$2:$B$18,2,FALSE)*[1]Energiindhold!$C$10,0))*O287</f>
        <v>4.0387500000000007E-3</v>
      </c>
      <c r="R287" s="192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2">
        <f>IFERROR(VLOOKUP(A287,[1]Biogasudbytte!$A$2:$B$18,2,FALSE)*[1]Energiindhold!$C$10,0)*J287*IFERROR(VLOOKUP(A287,Biogasanlæg!$F$3:$G$8,2,FALSE),1)</f>
        <v>0</v>
      </c>
      <c r="T287" s="193">
        <f t="shared" si="95"/>
        <v>4.0387500000000007E-3</v>
      </c>
      <c r="U287" s="191">
        <f>O287*IFERROR(VLOOKUP(A287,[1]Tørstofindhold!A$2:B$24,2,FALSE),0)</f>
        <v>675</v>
      </c>
      <c r="V287" s="192">
        <f>IF(D287=År1,P287,SUM(O287,P287))*IFERROR(VLOOKUP(A287,[1]Tørstofindhold!A$2:B$24,2,FALSE),0)</f>
        <v>675</v>
      </c>
      <c r="W287" s="192">
        <f>J287*IFERROR(VLOOKUP(A287,[1]Tørstofindhold!A$2:B$24,2,FALSE),0)</f>
        <v>0</v>
      </c>
      <c r="X287" s="193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x14ac:dyDescent="0.25">
      <c r="A288" s="194" t="str">
        <f t="shared" si="87"/>
        <v>Total til biogas</v>
      </c>
      <c r="B288" s="194" t="str">
        <f t="shared" si="88"/>
        <v/>
      </c>
      <c r="C288" s="194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4">
        <f t="shared" si="92"/>
        <v>2050</v>
      </c>
      <c r="E288" s="192" t="s">
        <v>24</v>
      </c>
      <c r="F288" s="195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2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5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4">
        <f t="shared" si="93"/>
        <v>0</v>
      </c>
      <c r="O288" s="195">
        <f t="shared" si="89"/>
        <v>0</v>
      </c>
      <c r="P288" s="205">
        <f t="shared" si="94"/>
        <v>0</v>
      </c>
      <c r="Q288" s="192">
        <f>IFERROR(VLOOKUP(A288,[1]Energiindhold!$A$2:$C$11,3,FALSE),IFERROR(VLOOKUP(A288,[1]Biogasudbytte!$A$2:$B$18,2,FALSE)*[1]Energiindhold!$C$10,0))*O288</f>
        <v>0</v>
      </c>
      <c r="R288" s="192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2">
        <f>IFERROR(VLOOKUP(A288,[1]Biogasudbytte!$A$2:$B$18,2,FALSE)*[1]Energiindhold!$C$10,0)*J288*IFERROR(VLOOKUP(A288,Biogasanlæg!$F$3:$G$8,2,FALSE),1)</f>
        <v>0</v>
      </c>
      <c r="T288" s="193">
        <f t="shared" si="95"/>
        <v>0</v>
      </c>
      <c r="U288" s="191">
        <f>O288*IFERROR(VLOOKUP(A288,[1]Tørstofindhold!A$2:B$24,2,FALSE),0)</f>
        <v>0</v>
      </c>
      <c r="V288" s="192">
        <f>IF(D288=År1,P288,SUM(O288,P288))*IFERROR(VLOOKUP(A288,[1]Tørstofindhold!A$2:B$24,2,FALSE),0)</f>
        <v>0</v>
      </c>
      <c r="W288" s="192">
        <f>J288*IFERROR(VLOOKUP(A288,[1]Tørstofindhold!A$2:B$24,2,FALSE),0)</f>
        <v>0</v>
      </c>
      <c r="X288" s="193">
        <f t="shared" si="96"/>
        <v>0</v>
      </c>
      <c r="Y288" s="171">
        <f t="shared" si="90"/>
        <v>0</v>
      </c>
      <c r="Z288" s="103">
        <f t="shared" si="91"/>
        <v>0</v>
      </c>
    </row>
    <row r="289" spans="1:26" x14ac:dyDescent="0.25">
      <c r="A289" s="194" t="str">
        <f t="shared" si="87"/>
        <v>Træ til energi</v>
      </c>
      <c r="B289" s="194" t="str">
        <f t="shared" si="88"/>
        <v>Vedmasse</v>
      </c>
      <c r="C289" s="194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4">
        <f t="shared" si="92"/>
        <v>2050</v>
      </c>
      <c r="E289" s="192" t="s">
        <v>24</v>
      </c>
      <c r="F289" s="195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624603.98534617631</v>
      </c>
      <c r="G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2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5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624603.98534617631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4">
        <f t="shared" si="93"/>
        <v>0</v>
      </c>
      <c r="O289" s="195">
        <f t="shared" si="89"/>
        <v>0</v>
      </c>
      <c r="P289" s="205">
        <f t="shared" si="94"/>
        <v>624603.98534617631</v>
      </c>
      <c r="Q289" s="192">
        <f>IFERROR(VLOOKUP(A289,[1]Energiindhold!$A$2:$C$11,3,FALSE),IFERROR(VLOOKUP(A289,[1]Biogasudbytte!$A$2:$B$18,2,FALSE)*[1]Energiindhold!$C$10,0))*O289</f>
        <v>0</v>
      </c>
      <c r="R289" s="192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9.0527408973136652</v>
      </c>
      <c r="S289" s="192">
        <f>IFERROR(VLOOKUP(A289,[1]Biogasudbytte!$A$2:$B$18,2,FALSE)*[1]Energiindhold!$C$10,0)*J289*IFERROR(VLOOKUP(A289,Biogasanlæg!$F$3:$G$8,2,FALSE),1)</f>
        <v>0</v>
      </c>
      <c r="T289" s="193">
        <f t="shared" si="95"/>
        <v>9.0527408973136652</v>
      </c>
      <c r="U289" s="191">
        <f>O289*IFERROR(VLOOKUP(A289,[1]Tørstofindhold!A$2:B$24,2,FALSE),0)</f>
        <v>0</v>
      </c>
      <c r="V289" s="192">
        <f>IF(D289=År1,P289,SUM(O289,P289))*IFERROR(VLOOKUP(A289,[1]Tørstofindhold!A$2:B$24,2,FALSE),0)</f>
        <v>308918.72108579637</v>
      </c>
      <c r="W289" s="192">
        <f>J289*IFERROR(VLOOKUP(A289,[1]Tørstofindhold!A$2:B$24,2,FALSE),0)</f>
        <v>0</v>
      </c>
      <c r="X289" s="193">
        <f t="shared" si="96"/>
        <v>308918.72108579637</v>
      </c>
      <c r="Y289" s="171">
        <f t="shared" si="90"/>
        <v>0</v>
      </c>
      <c r="Z289" s="103">
        <f t="shared" si="91"/>
        <v>0</v>
      </c>
    </row>
    <row r="290" spans="1:26" ht="15.75" thickBot="1" x14ac:dyDescent="0.3">
      <c r="A290" s="194" t="str">
        <f t="shared" si="87"/>
        <v>Træmaterialer</v>
      </c>
      <c r="B290" s="194" t="str">
        <f t="shared" si="88"/>
        <v/>
      </c>
      <c r="C290" s="194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4">
        <f t="shared" si="92"/>
        <v>2050</v>
      </c>
      <c r="E290" s="192" t="s">
        <v>24</v>
      </c>
      <c r="F290" s="195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184169.19735067486</v>
      </c>
      <c r="G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2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5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0</v>
      </c>
      <c r="N290" s="206">
        <f t="shared" si="93"/>
        <v>184169.19735067486</v>
      </c>
      <c r="O290" s="207">
        <f t="shared" si="89"/>
        <v>0</v>
      </c>
      <c r="P290" s="208">
        <f t="shared" si="94"/>
        <v>0</v>
      </c>
      <c r="Q290" s="197">
        <f>IFERROR(VLOOKUP(A290,[1]Energiindhold!$A$2:$C$11,3,FALSE),IFERROR(VLOOKUP(A290,[1]Biogasudbytte!$A$2:$B$18,2,FALSE)*[1]Energiindhold!$C$10,0))*O290</f>
        <v>0</v>
      </c>
      <c r="R290" s="197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7">
        <f>IFERROR(VLOOKUP(A290,[1]Biogasudbytte!$A$2:$B$18,2,FALSE)*[1]Energiindhold!$C$10,0)*J290*IFERROR(VLOOKUP(A290,Biogasanlæg!$F$3:$G$8,2,FALSE),1)</f>
        <v>0</v>
      </c>
      <c r="T290" s="198">
        <f t="shared" si="95"/>
        <v>0</v>
      </c>
      <c r="U290" s="196">
        <f>O290*IFERROR(VLOOKUP(A290,[1]Tørstofindhold!A$2:B$24,2,FALSE),0)</f>
        <v>0</v>
      </c>
      <c r="V290" s="197">
        <f>IF(D290=År1,P290,SUM(O290,P290))*IFERROR(VLOOKUP(A290,[1]Tørstofindhold!A$2:B$24,2,FALSE),0)</f>
        <v>0</v>
      </c>
      <c r="W290" s="197">
        <f>J290*IFERROR(VLOOKUP(A290,[1]Tørstofindhold!A$2:B$24,2,FALSE),0)</f>
        <v>0</v>
      </c>
      <c r="X290" s="198">
        <f t="shared" si="96"/>
        <v>0</v>
      </c>
      <c r="Y290" s="171">
        <f t="shared" si="90"/>
        <v>0</v>
      </c>
      <c r="Z290" s="103">
        <f t="shared" si="91"/>
        <v>1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topLeftCell="A17" workbookViewId="0">
      <selection activeCell="D24" sqref="D24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66" t="s">
        <v>23</v>
      </c>
      <c r="B2" s="367"/>
      <c r="C2" s="367"/>
      <c r="D2" s="367"/>
      <c r="E2" s="367"/>
      <c r="F2" s="367"/>
      <c r="G2" s="367"/>
      <c r="H2" s="367"/>
      <c r="I2" s="367"/>
      <c r="J2" s="367"/>
      <c r="K2" s="367"/>
      <c r="L2" s="367"/>
      <c r="M2" s="367"/>
      <c r="N2" s="367"/>
      <c r="O2" s="367"/>
      <c r="P2" s="367"/>
      <c r="Q2" s="367"/>
      <c r="R2" s="367"/>
      <c r="S2" s="367"/>
      <c r="T2" s="367"/>
      <c r="U2" s="368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62" t="s">
        <v>7</v>
      </c>
      <c r="D3" s="363"/>
      <c r="E3" s="363"/>
      <c r="F3" s="363"/>
      <c r="G3" s="363"/>
      <c r="H3" s="363"/>
      <c r="I3" s="363"/>
      <c r="J3" s="363"/>
      <c r="K3" s="364"/>
      <c r="L3" s="362" t="s">
        <v>8</v>
      </c>
      <c r="M3" s="363"/>
      <c r="N3" s="363"/>
      <c r="O3" s="363"/>
      <c r="P3" s="363"/>
      <c r="Q3" s="363"/>
      <c r="R3" s="363"/>
      <c r="S3" s="363"/>
      <c r="T3" s="364"/>
      <c r="U3" s="71"/>
      <c r="W3" s="31" t="s">
        <v>282</v>
      </c>
      <c r="X3" s="35">
        <f>C24+C51</f>
        <v>11808068</v>
      </c>
      <c r="Y3" s="11">
        <f>D24+D51</f>
        <v>9597731.076909367</v>
      </c>
      <c r="Z3" s="23">
        <f>E24+E51</f>
        <v>9238493.3130771164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283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953433.53878271766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284</v>
      </c>
      <c r="X5" s="48">
        <f t="shared" si="0"/>
        <v>19782594</v>
      </c>
      <c r="Y5" s="16">
        <f t="shared" si="0"/>
        <v>15770289.144075628</v>
      </c>
      <c r="Z5" s="24">
        <f t="shared" si="0"/>
        <v>15029002.18033967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IF(Landbrug!$D$47&gt;0,SUMIF(Landbrug!$B$32:$B$45,$B6,IF(F4=År2,Landbrug!$D$32:$D$45,Landbrug!$E$32:$E$45)),'[1]Afgrødefordeling - jordtype'!$G4)*(1-Landbrug!$D$5)*Arealanvendelse!M$26</f>
        <v>623909.73940601887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12397.451002927566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6829.6764788402734</v>
      </c>
      <c r="I6" s="11">
        <f>IF(Landbrug!$E$47&gt;0,SUMIF(Landbrug!$B$32:$B$45,$B6,IF(I4=År2,Landbrug!$D$32:$D$45,Landbrug!$E$32:$E$45)),'[1]Afgrødefordeling - jordtype'!$G4)*(1-Landbrug!$E$5)*Arealanvendelse!P$26</f>
        <v>576591.97905547544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11824.158471000279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6513.8532890673114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IF(Landbrug!$D$47&gt;0,SUMIF(Landbrug!$B$32:$B$45,$B6,IF(F4=År2,Landbrug!$D$32:$D$45,Landbrug!$E$32:$E$45)),'[1]Afgrødefordeling - jordtype'!$G4)*(Landbrug!$D$5)*Arealanvendelse!M$26</f>
        <v>97373.196323482727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1934.8622952545911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1065.9032654837422</v>
      </c>
      <c r="R6" s="11">
        <f>IF(Landbrug!$E$47&gt;0,SUMIF(Landbrug!$B$32:$B$45,$B6,IF(I4=År2,Landbrug!$D$32:$D$45,Landbrug!$E$32:$E$45)),'[1]Afgrødefordeling - jordtype'!$G4)*(Landbrug!$E$5)*Arealanvendelse!P$26</f>
        <v>122307.389496616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2508.1548271818774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1381.7264552567024</v>
      </c>
      <c r="U6" s="94"/>
      <c r="W6" s="31" t="s">
        <v>285</v>
      </c>
      <c r="X6" s="34">
        <f t="shared" ref="X6:Z8" si="1">F24+F51</f>
        <v>490924</v>
      </c>
      <c r="Y6" s="11">
        <f t="shared" si="1"/>
        <v>552772.32309063291</v>
      </c>
      <c r="Z6" s="23">
        <f t="shared" si="1"/>
        <v>912010.08692288375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IF(Landbrug!$D$47&gt;0,SUMIF(Landbrug!$B$32:$B$45,$B7,IF(F5=År2,Landbrug!$D$32:$D$45,Landbrug!$E$32:$E$45)),'[1]Afgrødefordeling - jordtype'!$G5)*(1-Landbrug!$D$5)*Arealanvendelse!M$26</f>
        <v>48011.920691725383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1062.761606425149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393.24746020858441</v>
      </c>
      <c r="I7" s="11">
        <f>IF(Landbrug!$E$47&gt;0,SUMIF(Landbrug!$B$32:$B$45,$B7,IF(I5=År2,Landbrug!$D$32:$D$45,Landbrug!$E$32:$E$45)),'[1]Afgrødefordeling - jordtype'!$G5)*(1-Landbrug!$E$5)*Arealanvendelse!P$26</f>
        <v>44370.662327297228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1013.616561041327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375.06260655732041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IF(Landbrug!$D$47&gt;0,SUMIF(Landbrug!$B$32:$B$45,$B7,IF(F5=År2,Landbrug!$D$32:$D$45,Landbrug!$E$32:$E$45)),'[1]Afgrødefordeling - jordtype'!$G5)*(Landbrug!$D$5)*Arealanvendelse!M$26</f>
        <v>7493.1899345467373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165.86452817039898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61.373881073016072</v>
      </c>
      <c r="R7" s="11">
        <f>IF(Landbrug!$E$47&gt;0,SUMIF(Landbrug!$B$32:$B$45,$B7,IF(I5=År2,Landbrug!$D$32:$D$45,Landbrug!$E$32:$E$45)),'[1]Afgrødefordeling - jordtype'!$G5)*(Landbrug!$E$5)*Arealanvendelse!P$26</f>
        <v>9411.9586754872907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215.00957355422085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79.558734724280086</v>
      </c>
      <c r="U7" s="94"/>
      <c r="W7" s="31" t="s">
        <v>286</v>
      </c>
      <c r="X7" s="34">
        <f t="shared" si="1"/>
        <v>224348</v>
      </c>
      <c r="Y7" s="11">
        <f t="shared" si="1"/>
        <v>210555.77489895534</v>
      </c>
      <c r="Z7" s="23">
        <f t="shared" si="1"/>
        <v>259505.66121728224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IF(Landbrug!$D$47&gt;0,SUMIF(Landbrug!$B$32:$B$45,$B8,IF(F6=År2,Landbrug!$D$32:$D$45,Landbrug!$E$32:$E$45)),'[1]Afgrødefordeling - jordtype'!$G6)*(1-Landbrug!$D$5)*Arealanvendelse!M$26</f>
        <v>70259.109449246753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1137.9870596805204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509.2376538265151</v>
      </c>
      <c r="I8" s="11">
        <f>IF(Landbrug!$E$47&gt;0,SUMIF(Landbrug!$B$32:$B$45,$B8,IF(I6=År2,Landbrug!$D$32:$D$45,Landbrug!$E$32:$E$45)),'[1]Afgrødefordeling - jordtype'!$G6)*(1-Landbrug!$E$5)*Arealanvendelse!P$26</f>
        <v>64930.608396310665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1085.3633806201497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485.68909179985542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IF(Landbrug!$D$47&gt;0,SUMIF(Landbrug!$B$32:$B$45,$B8,IF(F6=År2,Landbrug!$D$32:$D$45,Landbrug!$E$32:$E$45)),'[1]Afgrødefordeling - jordtype'!$G6)*(Landbrug!$D$5)*Arealanvendelse!M$26</f>
        <v>10965.294538321748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177.60491682875178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79.476396839976346</v>
      </c>
      <c r="R8" s="11">
        <f>IF(Landbrug!$E$47&gt;0,SUMIF(Landbrug!$B$32:$B$45,$B8,IF(I6=År2,Landbrug!$D$32:$D$45,Landbrug!$E$32:$E$45)),'[1]Afgrødefordeling - jordtype'!$G6)*(Landbrug!$E$5)*Arealanvendelse!P$26</f>
        <v>13773.159356793169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230.22859588912263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103.024958866636</v>
      </c>
      <c r="U8" s="94"/>
      <c r="W8" s="46" t="s">
        <v>287</v>
      </c>
      <c r="X8" s="47">
        <f t="shared" si="1"/>
        <v>3277287</v>
      </c>
      <c r="Y8" s="16">
        <f t="shared" si="1"/>
        <v>3034725.0559243709</v>
      </c>
      <c r="Z8" s="24">
        <f t="shared" si="1"/>
        <v>3776012.0196603313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IF(Landbrug!$D$47&gt;0,SUMIF(Landbrug!$B$32:$B$45,$B9,IF(F7=År2,Landbrug!$D$32:$D$45,Landbrug!$E$32:$E$45)),'[1]Afgrødefordeling - jordtype'!$G7)*(1-Landbrug!$D$5)*Arealanvendelse!M$26</f>
        <v>389039.43578841945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10501.746271795293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11744.627821749295</v>
      </c>
      <c r="I9" s="11">
        <f>IF(Landbrug!$E$47&gt;0,SUMIF(Landbrug!$B$32:$B$45,$B9,IF(I7=År2,Landbrug!$D$32:$D$45,Landbrug!$E$32:$E$45)),'[1]Afgrødefordeling - jordtype'!$G7)*(1-Landbrug!$E$5)*Arealanvendelse!P$26</f>
        <v>359534.40705289674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10016.116386394353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11201.523645021003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IF(Landbrug!$D$47&gt;0,SUMIF(Landbrug!$B$32:$B$45,$B9,IF(F7=År2,Landbrug!$D$32:$D$45,Landbrug!$E$32:$E$45)),'[1]Afgrødefordeling - jordtype'!$G7)*(Landbrug!$D$5)*Arealanvendelse!M$26</f>
        <v>60717.137377383391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1639.0008632281672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1832.9765964579826</v>
      </c>
      <c r="R9" s="11">
        <f>IF(Landbrug!$E$47&gt;0,SUMIF(Landbrug!$B$32:$B$45,$B9,IF(I7=År2,Landbrug!$D$32:$D$45,Landbrug!$E$32:$E$45)),'[1]Afgrødefordeling - jordtype'!$G7)*(Landbrug!$E$5)*Arealanvendelse!P$26</f>
        <v>76264.874223341743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2124.6307486291057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2376.0807731862733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IF(Landbrug!$D$47&gt;0,SUMIF(Landbrug!$B$32:$B$45,$B10,IF(F8=År2,Landbrug!$D$32:$D$45,Landbrug!$E$32:$E$45)),'[1]Afgrødefordeling - jordtype'!$G8)*(1-Landbrug!$D$5)*Arealanvendelse!M$26</f>
        <v>8069.2150499893842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49.117062325833871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13.650927813648</v>
      </c>
      <c r="I10" s="11">
        <f>IF(Landbrug!$E$47&gt;0,SUMIF(Landbrug!$B$32:$B$45,$B10,IF(I8=År2,Landbrug!$D$32:$D$45,Landbrug!$E$32:$E$45)),'[1]Afgrødefordeling - jordtype'!$G8)*(1-Landbrug!$E$5)*Arealanvendelse!P$26</f>
        <v>7457.2400160431316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46.845753085332873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13.019671036138266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IF(Landbrug!$D$47&gt;0,SUMIF(Landbrug!$B$32:$B$45,$B10,IF(F8=År2,Landbrug!$D$32:$D$45,Landbrug!$E$32:$E$45)),'[1]Afgrødefordeling - jordtype'!$G8)*(Landbrug!$D$5)*Arealanvendelse!M$26</f>
        <v>1259.3572621370715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7.6656686866908359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2.1304916240953529</v>
      </c>
      <c r="R10" s="11">
        <f>IF(Landbrug!$E$47&gt;0,SUMIF(Landbrug!$B$32:$B$45,$B10,IF(I8=År2,Landbrug!$D$32:$D$45,Landbrug!$E$32:$E$45)),'[1]Afgrødefordeling - jordtype'!$G8)*(Landbrug!$E$5)*Arealanvendelse!P$26</f>
        <v>1581.8387912818764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9.9369779271918226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2.7617484016050868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IF(Landbrug!$D$47&gt;0,SUMIF(Landbrug!$B$32:$B$45,$B11,IF(F9=År2,Landbrug!$D$32:$D$45,Landbrug!$E$32:$E$45)),'[1]Afgrødefordeling - jordtype'!$G9)*(1-Landbrug!$D$5)*Arealanvendelse!M$26</f>
        <v>33939.868192186092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775.43110733760068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722.54761223276046</v>
      </c>
      <c r="I11" s="11">
        <f>IF(Landbrug!$E$47&gt;0,SUMIF(Landbrug!$B$32:$B$45,$B11,IF(I9=År2,Landbrug!$D$32:$D$45,Landbrug!$E$32:$E$45)),'[1]Afgrødefordeling - jordtype'!$G9)*(1-Landbrug!$E$5)*Arealanvendelse!P$26</f>
        <v>31365.844342236556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739.57302144915673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689.13500588673674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IF(Landbrug!$D$47&gt;0,SUMIF(Landbrug!$B$32:$B$45,$B11,IF(F9=År2,Landbrug!$D$32:$D$45,Landbrug!$E$32:$E$45)),'[1]Afgrødefordeling - jordtype'!$G9)*(Landbrug!$D$5)*Arealanvendelse!M$26</f>
        <v>5296.973648491472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121.0210398734984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112.76754641782966</v>
      </c>
      <c r="R11" s="11">
        <f>IF(Landbrug!$E$47&gt;0,SUMIF(Landbrug!$B$32:$B$45,$B11,IF(I9=År2,Landbrug!$D$32:$D$45,Landbrug!$E$32:$E$45)),'[1]Afgrødefordeling - jordtype'!$G9)*(Landbrug!$E$5)*Arealanvendelse!P$26</f>
        <v>6653.3609210804825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156.87912576194233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146.18015276385327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IF(Landbrug!$D$47&gt;0,SUMIF(Landbrug!$B$32:$B$45,$B12,IF(F10=År2,Landbrug!$D$32:$D$45,Landbrug!$E$32:$E$45)),'[1]Afgrødefordeling - jordtype'!$G10)*(1-Landbrug!$D$5)*Arealanvendelse!M$26</f>
        <v>51872.305654463133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20.343682789424093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7.81367517821608</v>
      </c>
      <c r="I12" s="11">
        <f>IF(Landbrug!$E$47&gt;0,SUMIF(Landbrug!$B$32:$B$45,$B12,IF(I10=År2,Landbrug!$D$32:$D$45,Landbrug!$E$32:$E$45)),'[1]Afgrødefordeling - jordtype'!$G10)*(1-Landbrug!$E$5)*Arealanvendelse!P$26</f>
        <v>47938.272936646019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19.402934452340897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7.4523491584141794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IF(Landbrug!$D$47&gt;0,SUMIF(Landbrug!$B$32:$B$45,$B12,IF(F10=År2,Landbrug!$D$32:$D$45,Landbrug!$E$32:$E$45)),'[1]Afgrødefordeling - jordtype'!$G10)*(Landbrug!$D$5)*Arealanvendelse!M$26</f>
        <v>8095.677761101183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3.1750256376557835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1.2194753168314114</v>
      </c>
      <c r="R12" s="11">
        <f>IF(Landbrug!$E$47&gt;0,SUMIF(Landbrug!$B$32:$B$45,$B12,IF(I10=År2,Landbrug!$D$32:$D$45,Landbrug!$E$32:$E$45)),'[1]Afgrødefordeling - jordtype'!$G10)*(Landbrug!$E$5)*Arealanvendelse!P$26</f>
        <v>10168.724562318854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4.1157739747389783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1.5808013366333109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IF(Landbrug!$D$47&gt;0,SUMIF(Landbrug!$B$32:$B$45,$B13,IF(F11=År2,Landbrug!$D$32:$D$45,Landbrug!$E$32:$E$45)),'[1]Afgrødefordeling - jordtype'!$G11)*(1-Landbrug!$D$5)*Arealanvendelse!M$26</f>
        <v>105024.04342368516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2626.0637331851003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971.70700105983565</v>
      </c>
      <c r="I13" s="11">
        <f>IF(Landbrug!$E$47&gt;0,SUMIF(Landbrug!$B$32:$B$45,$B13,IF(I11=År2,Landbrug!$D$32:$D$45,Landbrug!$E$32:$E$45)),'[1]Afgrødefordeling - jordtype'!$G11)*(1-Landbrug!$E$5)*Arealanvendelse!P$26</f>
        <v>97058.944942455943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2504.6272599742283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926.7725732651611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IF(Landbrug!$D$47&gt;0,SUMIF(Landbrug!$B$32:$B$45,$B13,IF(F11=År2,Landbrug!$D$32:$D$45,Landbrug!$E$32:$E$45)),'[1]Afgrødefordeling - jordtype'!$G11)*(Landbrug!$D$5)*Arealanvendelse!M$26</f>
        <v>16391.035678841039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409.84809708669195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151.6536938070264</v>
      </c>
      <c r="R13" s="11">
        <f>IF(Landbrug!$E$47&gt;0,SUMIF(Landbrug!$B$32:$B$45,$B13,IF(I11=År2,Landbrug!$D$32:$D$45,Landbrug!$E$32:$E$45)),'[1]Afgrødefordeling - jordtype'!$G11)*(Landbrug!$E$5)*Arealanvendelse!P$26</f>
        <v>20588.261048399749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531.28457029756362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196.58812160170083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IF(Landbrug!$D$47&gt;0,SUMIF(Landbrug!$B$32:$B$45,$B14,IF(F12=År2,Landbrug!$D$32:$D$45,Landbrug!$E$32:$E$45)),'[1]Afgrødefordeling - jordtype'!$G12)*(1-Landbrug!$D$5)*Arealanvendelse!M$26</f>
        <v>3146.7111847138076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44.737253203575285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27.846169827307591</v>
      </c>
      <c r="I14" s="11">
        <f>IF(Landbrug!$E$47&gt;0,SUMIF(Landbrug!$B$32:$B$45,$B14,IF(I12=År2,Landbrug!$D$32:$D$45,Landbrug!$E$32:$E$45)),'[1]Afgrødefordeling - jordtype'!$G12)*(1-Landbrug!$E$5)*Arealanvendelse!P$26</f>
        <v>2908.0623604905873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42.668478488959082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26.558485673443656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IF(Landbrug!$D$47&gt;0,SUMIF(Landbrug!$B$32:$B$45,$B14,IF(F12=År2,Landbrug!$D$32:$D$45,Landbrug!$E$32:$E$45)),'[1]Afgrødefordeling - jordtype'!$G12)*(Landbrug!$D$5)*Arealanvendelse!M$26</f>
        <v>491.10521379926485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6.9821146618296694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4.3459340192907803</v>
      </c>
      <c r="R14" s="11">
        <f>IF(Landbrug!$E$47&gt;0,SUMIF(Landbrug!$B$32:$B$45,$B14,IF(I12=År2,Landbrug!$D$32:$D$45,Landbrug!$E$32:$E$45)),'[1]Afgrødefordeling - jordtype'!$G12)*(Landbrug!$E$5)*Arealanvendelse!P$26</f>
        <v>616.86171283133672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9.0508893764458662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5.6336181731547148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IF(Landbrug!$D$47&gt;0,SUMIF(Landbrug!$B$32:$B$45,$B15,IF(F13=År2,Landbrug!$D$32:$D$45,Landbrug!$E$32:$E$45)),'[1]Afgrødefordeling - jordtype'!$G13)*(1-Landbrug!$D$5)*Arealanvendelse!M$26</f>
        <v>27850.682564630642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791.21864877871178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492.48461375505457</v>
      </c>
      <c r="I15" s="11">
        <f>IF(Landbrug!$E$47&gt;0,SUMIF(Landbrug!$B$32:$B$45,$B15,IF(I13=År2,Landbrug!$D$32:$D$45,Landbrug!$E$32:$E$45)),'[1]Afgrødefordeling - jordtype'!$G13)*(1-Landbrug!$E$5)*Arealanvendelse!P$26</f>
        <v>25738.466902719567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754.6305031704477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469.71075878372255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IF(Landbrug!$D$47&gt;0,SUMIF(Landbrug!$B$32:$B$45,$B15,IF(F13=År2,Landbrug!$D$32:$D$45,Landbrug!$E$32:$E$45)),'[1]Afgrødefordeling - jordtype'!$G13)*(Landbrug!$D$5)*Arealanvendelse!M$26</f>
        <v>4346.6383193354177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123.48499142789146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76.861760528245512</v>
      </c>
      <c r="R15" s="11">
        <f>IF(Landbrug!$E$47&gt;0,SUMIF(Landbrug!$B$32:$B$45,$B15,IF(I13=År2,Landbrug!$D$32:$D$45,Landbrug!$E$32:$E$45)),'[1]Afgrødefordeling - jordtype'!$G13)*(Landbrug!$E$5)*Arealanvendelse!P$26</f>
        <v>5459.6747975465751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160.07313703615557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99.635615499577497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IF(Landbrug!$D$47&gt;0,SUMIF(Landbrug!$B$32:$B$45,$B16,IF(F14=År2,Landbrug!$D$32:$D$45,Landbrug!$E$32:$E$45)),'[1]Afgrødefordeling - jordtype'!$G14)*(1-Landbrug!$D$5)*Arealanvendelse!M$26</f>
        <v>62611.02615456815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1952.9609549061931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1566.9213854799195</v>
      </c>
      <c r="I16" s="11">
        <f>IF(Landbrug!$E$47&gt;0,SUMIF(Landbrug!$B$32:$B$45,$B16,IF(I14=År2,Landbrug!$D$32:$D$45,Landbrug!$E$32:$E$45)),'[1]Afgrødefordeling - jordtype'!$G14)*(1-Landbrug!$E$5)*Arealanvendelse!P$26</f>
        <v>57862.561202403813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1862.6506217313402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1494.4625930877842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IF(Landbrug!$D$47&gt;0,SUMIF(Landbrug!$B$32:$B$45,$B16,IF(F14=År2,Landbrug!$D$32:$D$45,Landbrug!$E$32:$E$45)),'[1]Afgrødefordeling - jordtype'!$G14)*(Landbrug!$D$5)*Arealanvendelse!M$26</f>
        <v>9771.6630414643932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304.79737446512843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244.54842432345563</v>
      </c>
      <c r="R16" s="11">
        <f>IF(Landbrug!$E$47&gt;0,SUMIF(Landbrug!$B$32:$B$45,$B16,IF(I14=År2,Landbrug!$D$32:$D$45,Landbrug!$E$32:$E$45)),'[1]Afgrødefordeling - jordtype'!$G14)*(Landbrug!$E$5)*Arealanvendelse!P$26</f>
        <v>12273.876618691718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395.1077076399813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317.00721671559063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IF(Landbrug!$D$47&gt;0,SUMIF(Landbrug!$B$32:$B$45,$B17,IF(F15=År2,Landbrug!$D$32:$D$45,Landbrug!$E$32:$E$45)),'[1]Afgrødefordeling - jordtype'!$G15)*(1-Landbrug!$D$5)*Arealanvendelse!M$26</f>
        <v>11759.429887638771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224.38166373606674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139.66369115457903</v>
      </c>
      <c r="I17" s="11">
        <f>IF(Landbrug!$E$47&gt;0,SUMIF(Landbrug!$B$32:$B$45,$B17,IF(I15=År2,Landbrug!$D$32:$D$45,Landbrug!$E$32:$E$45)),'[1]Afgrødefordeling - jordtype'!$G15)*(1-Landbrug!$E$5)*Arealanvendelse!P$26</f>
        <v>10867.586324157863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214.00563304306942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133.20525456939615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IF(Landbrug!$D$47&gt;0,SUMIF(Landbrug!$B$32:$B$45,$B17,IF(F15=År2,Landbrug!$D$32:$D$45,Landbrug!$E$32:$E$45)),'[1]Afgrødefordeling - jordtype'!$G15)*(Landbrug!$D$5)*Arealanvendelse!M$26</f>
        <v>1835.286745469635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35.01910358886591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21.797223474992101</v>
      </c>
      <c r="R17" s="11">
        <f>IF(Landbrug!$E$47&gt;0,SUMIF(Landbrug!$B$32:$B$45,$B17,IF(I15=År2,Landbrug!$D$32:$D$45,Landbrug!$E$32:$E$45)),'[1]Afgrødefordeling - jordtype'!$G15)*(Landbrug!$E$5)*Arealanvendelse!P$26</f>
        <v>2305.2455839122736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45.395134281863214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28.255660060174939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IF(Landbrug!$D$47&gt;0,SUMIF(Landbrug!$B$32:$B$45,$B18,IF(F16=År2,Landbrug!$D$32:$D$45,Landbrug!$E$32:$E$45)),'[1]Afgrødefordeling - jordtype'!$G16)*(1-Landbrug!$D$5)*Arealanvendelse!M$26</f>
        <v>4522.0169004115751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368.51743073956908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329.67947330545348</v>
      </c>
      <c r="I18" s="11">
        <f>IF(Landbrug!$E$47&gt;0,SUMIF(Landbrug!$B$32:$B$45,$B18,IF(I16=År2,Landbrug!$D$32:$D$45,Landbrug!$E$32:$E$45)),'[1]Afgrødefordeling - jordtype'!$G16)*(1-Landbrug!$E$5)*Arealanvendelse!P$26</f>
        <v>4179.063908207143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351.476162266063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314.43417974219551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IF(Landbrug!$D$47&gt;0,SUMIF(Landbrug!$B$32:$B$45,$B18,IF(F16=År2,Landbrug!$D$32:$D$45,Landbrug!$E$32:$E$45)),'[1]Afgrødefordeling - jordtype'!$G16)*(Landbrug!$D$5)*Arealanvendelse!M$26</f>
        <v>705.74830237637309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57.514281098083039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51.452865775995633</v>
      </c>
      <c r="R18" s="11">
        <f>IF(Landbrug!$E$47&gt;0,SUMIF(Landbrug!$B$32:$B$45,$B18,IF(I16=År2,Landbrug!$D$32:$D$45,Landbrug!$E$32:$E$45)),'[1]Afgrødefordeling - jordtype'!$G16)*(Landbrug!$E$5)*Arealanvendelse!P$26</f>
        <v>886.46810174090911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74.555549571589111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66.698159339253593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IF(Landbrug!$D$47&gt;0,SUMIF(Landbrug!$B$32:$B$45,$B19,IF(F17=År2,Landbrug!$D$32:$D$45,Landbrug!$E$32:$E$45)),'[1]Afgrødefordeling - jordtype'!$G17)*(1-Landbrug!$D$5)*Arealanvendelse!M$26</f>
        <v>109694.9188294395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40667.094971784412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31481.370371455621</v>
      </c>
      <c r="I19" s="11">
        <f>IF(Landbrug!$E$47&gt;0,SUMIF(Landbrug!$B$32:$B$45,$B19,IF(I17=År2,Landbrug!$D$32:$D$45,Landbrug!$E$32:$E$45)),'[1]Afgrødefordeling - jordtype'!$G17)*(1-Landbrug!$E$5)*Arealanvendelse!P$26</f>
        <v>101375.57782061782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38786.535666730793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30025.584458324727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IF(Landbrug!$D$47&gt;0,SUMIF(Landbrug!$B$32:$B$45,$B19,IF(F17=År2,Landbrug!$D$32:$D$45,Landbrug!$E$32:$E$45)),'[1]Afgrødefordeling - jordtype'!$G17)*(Landbrug!$D$5)*Arealanvendelse!M$26</f>
        <v>17120.016233496339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6346.8876545559488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4913.2774568167742</v>
      </c>
      <c r="R19" s="11">
        <f>IF(Landbrug!$E$47&gt;0,SUMIF(Landbrug!$B$32:$B$45,$B19,IF(I17=År2,Landbrug!$D$32:$D$45,Landbrug!$E$32:$E$45)),'[1]Afgrødefordeling - jordtype'!$G17)*(Landbrug!$E$5)*Arealanvendelse!P$26</f>
        <v>21503.910446797723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8227.4469596095623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6369.0633699476693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1549710.4231771363</v>
      </c>
      <c r="G20" s="38">
        <f t="shared" si="2"/>
        <v>72619.812449615012</v>
      </c>
      <c r="H20" s="38">
        <f t="shared" si="2"/>
        <v>55230.474335887062</v>
      </c>
      <c r="I20" s="38">
        <f t="shared" si="2"/>
        <v>1432179.2775879591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241862.32038024676</v>
      </c>
      <c r="P20" s="38">
        <f t="shared" si="2"/>
        <v>11333.727954564194</v>
      </c>
      <c r="Q20" s="38">
        <f t="shared" si="2"/>
        <v>8619.7850119592531</v>
      </c>
      <c r="R20" s="38">
        <f t="shared" si="2"/>
        <v>303795.60433683975</v>
      </c>
      <c r="S20" s="38">
        <f t="shared" si="2"/>
        <v>14691.86957073136</v>
      </c>
      <c r="T20" s="39">
        <f t="shared" si="2"/>
        <v>11173.795385873105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62" t="s">
        <v>7</v>
      </c>
      <c r="D22" s="363"/>
      <c r="E22" s="364"/>
      <c r="F22" s="365" t="s">
        <v>8</v>
      </c>
      <c r="G22" s="363"/>
      <c r="H22" s="364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8065001.0864567999</v>
      </c>
      <c r="E24" s="23">
        <f>($F24+$C24)*Landbrug!E11*(1-Landbrug!E6)</f>
        <v>7721242.9104568008</v>
      </c>
      <c r="F24" s="34">
        <f>SUM([1]Dyrehold!E58:G61)</f>
        <v>475477</v>
      </c>
      <c r="G24" s="11">
        <f>($F24+$C24)*Landbrug!D11*Landbrug!D6</f>
        <v>528953.31354319979</v>
      </c>
      <c r="H24" s="23">
        <f>($F24+$C24)*Landbrug!E11*Landbrug!E6</f>
        <v>872711.48954319966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877744.4345664084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236226.76543359147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14232454.554315863</v>
      </c>
      <c r="E26" s="24">
        <f>($F26+$C26)*Landbrug!E13*(1-Landbrug!E8)</f>
        <v>13551675.866315866</v>
      </c>
      <c r="F26" s="47">
        <f>SUM([1]Dyrehold!E65:G78)</f>
        <v>3062300</v>
      </c>
      <c r="G26" s="16">
        <f>($F26+$C26)*Landbrug!D13*Landbrug!D8</f>
        <v>2787012.6456841351</v>
      </c>
      <c r="H26" s="24">
        <f>($F26+$C26)*Landbrug!E13*Landbrug!E8</f>
        <v>3467791.3336841348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69" t="s">
        <v>24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370"/>
      <c r="R29" s="370"/>
      <c r="S29" s="370"/>
      <c r="T29" s="370"/>
      <c r="U29" s="371"/>
    </row>
    <row r="30" spans="1:21" x14ac:dyDescent="0.25">
      <c r="A30" s="56"/>
      <c r="B30" s="53"/>
      <c r="C30" s="372" t="s">
        <v>7</v>
      </c>
      <c r="D30" s="373"/>
      <c r="E30" s="373"/>
      <c r="F30" s="373"/>
      <c r="G30" s="373"/>
      <c r="H30" s="373"/>
      <c r="I30" s="373"/>
      <c r="J30" s="373"/>
      <c r="K30" s="374"/>
      <c r="L30" s="372" t="s">
        <v>8</v>
      </c>
      <c r="M30" s="373"/>
      <c r="N30" s="373"/>
      <c r="O30" s="373"/>
      <c r="P30" s="373"/>
      <c r="Q30" s="373"/>
      <c r="R30" s="373"/>
      <c r="S30" s="373"/>
      <c r="T30" s="374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IF(Landbrug!$D$47&gt;0,SUMIF(Landbrug!$B$32:$B$45,$B33,IF(F32=År2,Landbrug!$D$32:$D$45,Landbrug!$E$32:$E$45)),'[1]Afgrødefordeling - jordtype'!$P4)*(1-Landbrug!$D$5)*Arealanvendelse!M$36</f>
        <v>190174.15207493372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1752.9487519585884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1053.0573109296802</v>
      </c>
      <c r="I33" s="11">
        <f>IF(Landbrug!$E$47&gt;0,SUMIF(Landbrug!$B$32:$B$45,$B33,IF(I32=År2,Landbrug!$D$32:$D$45,Landbrug!$E$32:$E$45)),'[1]Afgrødefordeling - jordtype'!$P4)*(1-Landbrug!$E$5)*Arealanvendelse!P$36</f>
        <v>179389.67006955924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1671.8875379951853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1004.3610190947816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IF(Landbrug!$D$47&gt;0,SUMIF(Landbrug!$B$32:$B$45,$B33,IF(O32=År2,Landbrug!$D$32:$D$45,Landbrug!$E$32:$E$45)),'[1]Afgrødefordeling - jordtype'!$P4)*(Landbrug!$D$5)*Arealanvendelse!M$36</f>
        <v>29680.358994353821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273.58159712648495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164.34998494278247</v>
      </c>
      <c r="R33" s="11">
        <f>IF(Landbrug!$E$47&gt;0,SUMIF(Landbrug!$B$32:$B$45,$B33,IF(R32=År2,Landbrug!$D$32:$D$45,Landbrug!$E$32:$E$45)),'[1]Afgrødefordeling - jordtype'!$P4)*(Landbrug!$E$5)*Arealanvendelse!P$36</f>
        <v>38052.354257179235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354.6428110898878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213.04627677768096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IF(Landbrug!$D$47&gt;0,SUMIF(Landbrug!$B$32:$B$45,$B34,IF(F33=År2,Landbrug!$D$32:$D$45,Landbrug!$E$32:$E$45)),'[1]Afgrødefordeling - jordtype'!$P5)*(1-Landbrug!$D$5)*Arealanvendelse!M$36</f>
        <v>14634.530814874721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47.402536309570174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19.126993325199422</v>
      </c>
      <c r="I34" s="11">
        <f>IF(Landbrug!$E$47&gt;0,SUMIF(Landbrug!$B$32:$B$45,$B34,IF(I33=År2,Landbrug!$D$32:$D$45,Landbrug!$E$32:$E$45)),'[1]Afgrødefordeling - jordtype'!$P5)*(1-Landbrug!$E$5)*Arealanvendelse!P$36</f>
        <v>13804.629208856637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45.21051150912762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18.242508084727771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IF(Landbrug!$D$47&gt;0,SUMIF(Landbrug!$B$32:$B$45,$B34,IF(O33=År2,Landbrug!$D$32:$D$45,Landbrug!$E$32:$E$45)),'[1]Afgrødefordeling - jordtype'!$P5)*(Landbrug!$D$5)*Arealanvendelse!M$36</f>
        <v>2284.0019190844941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7.3980837014936114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2.9851376865918176</v>
      </c>
      <c r="R34" s="11">
        <f>IF(Landbrug!$E$47&gt;0,SUMIF(Landbrug!$B$32:$B$45,$B34,IF(R33=År2,Landbrug!$D$32:$D$45,Landbrug!$E$32:$E$45)),'[1]Afgrødefordeling - jordtype'!$P5)*(Landbrug!$E$5)*Arealanvendelse!P$36</f>
        <v>2928.2546806665596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9.5901085019361609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3.8696229270634666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IF(Landbrug!$D$47&gt;0,SUMIF(Landbrug!$B$32:$B$45,$B35,IF(F34=År2,Landbrug!$D$32:$D$45,Landbrug!$E$32:$E$45)),'[1]Afgrødefordeling - jordtype'!$P6)*(1-Landbrug!$D$5)*Arealanvendelse!M$36</f>
        <v>21415.704421878378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191.46624906280843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93.430886843548848</v>
      </c>
      <c r="I35" s="11">
        <f>IF(Landbrug!$E$47&gt;0,SUMIF(Landbrug!$B$32:$B$45,$B35,IF(I34=År2,Landbrug!$D$32:$D$45,Landbrug!$E$32:$E$45)),'[1]Afgrødefordeling - jordtype'!$P6)*(1-Landbrug!$E$5)*Arealanvendelse!P$36</f>
        <v>20201.252949634338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182.61231847030859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89.110383405696865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IF(Landbrug!$D$47&gt;0,SUMIF(Landbrug!$B$32:$B$45,$B35,IF(O34=År2,Landbrug!$D$32:$D$45,Landbrug!$E$32:$E$45)),'[1]Afgrødefordeling - jordtype'!$P6)*(Landbrug!$D$5)*Arealanvendelse!M$36</f>
        <v>3342.3353722006718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29.882015749686865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14.581699102750399</v>
      </c>
      <c r="R35" s="11">
        <f>IF(Landbrug!$E$47&gt;0,SUMIF(Landbrug!$B$32:$B$45,$B35,IF(R34=År2,Landbrug!$D$32:$D$45,Landbrug!$E$32:$E$45)),'[1]Afgrødefordeling - jordtype'!$P6)*(Landbrug!$E$5)*Arealanvendelse!P$36</f>
        <v>4285.1142620436467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38.735946342186679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18.902202540602364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IF(Landbrug!$D$47&gt;0,SUMIF(Landbrug!$B$32:$B$45,$B36,IF(F35=År2,Landbrug!$D$32:$D$45,Landbrug!$E$32:$E$45)),'[1]Afgrødefordeling - jordtype'!$P7)*(1-Landbrug!$D$5)*Arealanvendelse!M$36</f>
        <v>118583.25035158051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562.99099727781993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686.58489509283288</v>
      </c>
      <c r="I36" s="11">
        <f>IF(Landbrug!$E$47&gt;0,SUMIF(Landbrug!$B$32:$B$45,$B36,IF(I35=År2,Landbrug!$D$32:$D$45,Landbrug!$E$32:$E$45)),'[1]Afgrødefordeling - jordtype'!$P7)*(1-Landbrug!$E$5)*Arealanvendelse!P$36</f>
        <v>111858.57764710314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536.95673150774724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654.83530456830886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IF(Landbrug!$D$47&gt;0,SUMIF(Landbrug!$B$32:$B$45,$B36,IF(O35=År2,Landbrug!$D$32:$D$45,Landbrug!$E$32:$E$45)),'[1]Afgrødefordeling - jordtype'!$P7)*(Landbrug!$D$5)*Arealanvendelse!M$36</f>
        <v>18507.212482616615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87.865646973995027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107.15486802026872</v>
      </c>
      <c r="R36" s="11">
        <f>IF(Landbrug!$E$47&gt;0,SUMIF(Landbrug!$B$32:$B$45,$B36,IF(R35=År2,Landbrug!$D$32:$D$45,Landbrug!$E$32:$E$45)),'[1]Afgrødefordeling - jordtype'!$P7)*(Landbrug!$E$5)*Arealanvendelse!P$36</f>
        <v>23727.577076658243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113.89991274406761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138.90445854479279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IF(Landbrug!$D$47&gt;0,SUMIF(Landbrug!$B$32:$B$45,$B37,IF(F36=År2,Landbrug!$D$32:$D$45,Landbrug!$E$32:$E$45)),'[1]Afgrødefordeling - jordtype'!$P8)*(1-Landbrug!$D$5)*Arealanvendelse!M$36</f>
        <v>2459.5803417061084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10.662439786194978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3.2314797199590726</v>
      </c>
      <c r="I37" s="11">
        <f>IF(Landbrug!$E$47&gt;0,SUMIF(Landbrug!$B$32:$B$45,$B37,IF(I36=År2,Landbrug!$D$32:$D$45,Landbrug!$E$32:$E$45)),'[1]Afgrødefordeling - jordtype'!$P8)*(1-Landbrug!$E$5)*Arealanvendelse!P$36</f>
        <v>2320.101344973416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10.169378986833362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3.0820471317528724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IF(Landbrug!$D$47&gt;0,SUMIF(Landbrug!$B$32:$B$45,$B37,IF(O36=År2,Landbrug!$D$32:$D$45,Landbrug!$E$32:$E$45)),'[1]Afgrødefordeling - jordtype'!$P8)*(Landbrug!$D$5)*Arealanvendelse!M$36</f>
        <v>383.86514003505738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1.6640801978454596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0.50433498519592468</v>
      </c>
      <c r="R37" s="11">
        <f>IF(Landbrug!$E$47&gt;0,SUMIF(Landbrug!$B$32:$B$45,$B37,IF(R36=År2,Landbrug!$D$32:$D$45,Landbrug!$E$32:$E$45)),'[1]Afgrødefordeling - jordtype'!$P8)*(Landbrug!$E$5)*Arealanvendelse!P$36</f>
        <v>492.14270953981543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2.1571409972070765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0.65376757340212444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IF(Landbrug!$D$47&gt;0,SUMIF(Landbrug!$B$32:$B$45,$B38,IF(F37=År2,Landbrug!$D$32:$D$45,Landbrug!$E$32:$E$45)),'[1]Afgrødefordeling - jordtype'!$P9)*(1-Landbrug!$D$5)*Arealanvendelse!M$36</f>
        <v>10345.22343108295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18.127123488677832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18.419048913328059</v>
      </c>
      <c r="I38" s="11">
        <f>IF(Landbrug!$E$47&gt;0,SUMIF(Landbrug!$B$32:$B$45,$B38,IF(I37=År2,Landbrug!$D$32:$D$45,Landbrug!$E$32:$E$45)),'[1]Afgrødefordeling - jordtype'!$P9)*(1-Landbrug!$E$5)*Arealanvendelse!P$36</f>
        <v>9758.5618121573061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17.288875003652265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17.567300986700172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IF(Landbrug!$D$47&gt;0,SUMIF(Landbrug!$B$32:$B$45,$B38,IF(O37=År2,Landbrug!$D$32:$D$45,Landbrug!$E$32:$E$45)),'[1]Afgrødefordeling - jordtype'!$P9)*(Landbrug!$D$5)*Arealanvendelse!M$36</f>
        <v>1614.5724430013856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2.8290886369612802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2.8746492523691192</v>
      </c>
      <c r="R38" s="11">
        <f>IF(Landbrug!$E$47&gt;0,SUMIF(Landbrug!$B$32:$B$45,$B38,IF(R37=År2,Landbrug!$D$32:$D$45,Landbrug!$E$32:$E$45)),'[1]Afgrødefordeling - jordtype'!$P9)*(Landbrug!$E$5)*Arealanvendelse!P$36</f>
        <v>2069.9979601545801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3.6673371219868445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3.7263971789970061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IF(Landbrug!$D$47&gt;0,SUMIF(Landbrug!$B$32:$B$45,$B39,IF(F38=År2,Landbrug!$D$32:$D$45,Landbrug!$E$32:$E$45)),'[1]Afgrødefordeling - jordtype'!$P10)*(1-Landbrug!$D$5)*Arealanvendelse!M$36</f>
        <v>15811.216143862219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50.643369270114505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21.211111456389141</v>
      </c>
      <c r="I39" s="11">
        <f>IF(Landbrug!$E$47&gt;0,SUMIF(Landbrug!$B$32:$B$45,$B39,IF(I38=År2,Landbrug!$D$32:$D$45,Landbrug!$E$32:$E$45)),'[1]Afgrødefordeling - jordtype'!$P10)*(1-Landbrug!$E$5)*Arealanvendelse!P$36</f>
        <v>14914.586532918138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48.301479361669905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20.230250811006982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IF(Landbrug!$D$47&gt;0,SUMIF(Landbrug!$B$32:$B$45,$B39,IF(O38=År2,Landbrug!$D$32:$D$45,Landbrug!$E$32:$E$45)),'[1]Afgrødefordeling - jordtype'!$P10)*(Landbrug!$D$5)*Arealanvendelse!M$36</f>
        <v>2467.64645019815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7.9038784410005301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3.3104046781647791</v>
      </c>
      <c r="R39" s="11">
        <f>IF(Landbrug!$E$47&gt;0,SUMIF(Landbrug!$B$32:$B$45,$B39,IF(R38=År2,Landbrug!$D$32:$D$45,Landbrug!$E$32:$E$45)),'[1]Afgrødefordeling - jordtype'!$P10)*(Landbrug!$E$5)*Arealanvendelse!P$36</f>
        <v>3163.7001736493021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10.245768349445131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4.291265323546936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IF(Landbrug!$D$47&gt;0,SUMIF(Landbrug!$B$32:$B$45,$B40,IF(F39=År2,Landbrug!$D$32:$D$45,Landbrug!$E$32:$E$45)),'[1]Afgrødefordeling - jordtype'!$P11)*(1-Landbrug!$D$5)*Arealanvendelse!M$36</f>
        <v>32012.416450807639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53.993646777040333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21.786516121482823</v>
      </c>
      <c r="I40" s="11">
        <f>IF(Landbrug!$E$47&gt;0,SUMIF(Landbrug!$B$32:$B$45,$B40,IF(I39=År2,Landbrug!$D$32:$D$45,Landbrug!$E$32:$E$45)),'[1]Afgrødefordeling - jordtype'!$P11)*(1-Landbrug!$E$5)*Arealanvendelse!P$36</f>
        <v>30197.041830253234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51.496830741107829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20.77904716788824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IF(Landbrug!$D$47&gt;0,SUMIF(Landbrug!$B$32:$B$45,$B40,IF(O39=År2,Landbrug!$D$32:$D$45,Landbrug!$E$32:$E$45)),'[1]Afgrødefordeling - jordtype'!$P11)*(Landbrug!$D$5)*Arealanvendelse!M$36</f>
        <v>4996.1574807618863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8.4267541212721913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3.4002077183817128</v>
      </c>
      <c r="R40" s="11">
        <f>IF(Landbrug!$E$47&gt;0,SUMIF(Landbrug!$B$32:$B$45,$B40,IF(R39=År2,Landbrug!$D$32:$D$45,Landbrug!$E$32:$E$45)),'[1]Afgrødefordeling - jordtype'!$P11)*(Landbrug!$E$5)*Arealanvendelse!P$36</f>
        <v>6405.4331155082618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10.923570157204692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4.4076766719762936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IF(Landbrug!$D$47&gt;0,SUMIF(Landbrug!$B$32:$B$45,$B41,IF(F40=År2,Landbrug!$D$32:$D$45,Landbrug!$E$32:$E$45)),'[1]Afgrødefordeling - jordtype'!$P12)*(1-Landbrug!$D$5)*Arealanvendelse!M$36</f>
        <v>959.15016801528964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11.647539532185737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7.9057923278821436</v>
      </c>
      <c r="I41" s="11">
        <f>IF(Landbrug!$E$47&gt;0,SUMIF(Landbrug!$B$32:$B$45,$B41,IF(I40=År2,Landbrug!$D$32:$D$45,Landbrug!$E$32:$E$45)),'[1]Afgrødefordeling - jordtype'!$P12)*(1-Landbrug!$E$5)*Arealanvendelse!P$36</f>
        <v>904.75824558759291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11.108924987344778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7.5402065554945299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IF(Landbrug!$D$47&gt;0,SUMIF(Landbrug!$B$32:$B$45,$B41,IF(O40=År2,Landbrug!$D$32:$D$45,Landbrug!$E$32:$E$45)),'[1]Afgrødefordeling - jordtype'!$P12)*(Landbrug!$D$5)*Arealanvendelse!M$36</f>
        <v>149.69395685787757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1.8178240888382367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1.2338519818081959</v>
      </c>
      <c r="R41" s="11">
        <f>IF(Landbrug!$E$47&gt;0,SUMIF(Landbrug!$B$32:$B$45,$B41,IF(R40=År2,Landbrug!$D$32:$D$45,Landbrug!$E$32:$E$45)),'[1]Afgrødefordeling - jordtype'!$P12)*(Landbrug!$E$5)*Arealanvendelse!P$36</f>
        <v>191.91841573070153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2.3564386336791951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1.5994377541958094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IF(Landbrug!$D$47&gt;0,SUMIF(Landbrug!$B$32:$B$45,$B42,IF(F41=År2,Landbrug!$D$32:$D$45,Landbrug!$E$32:$E$45)),'[1]Afgrødefordeling - jordtype'!$P13)*(1-Landbrug!$D$5)*Arealanvendelse!M$36</f>
        <v>8489.1765698018808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83.169081452753318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56.451191622853806</v>
      </c>
      <c r="I42" s="11">
        <f>IF(Landbrug!$E$47&gt;0,SUMIF(Landbrug!$B$32:$B$45,$B42,IF(I41=År2,Landbrug!$D$32:$D$45,Landbrug!$E$32:$E$45)),'[1]Afgrødefordeling - jordtype'!$P13)*(1-Landbrug!$E$5)*Arealanvendelse!P$36</f>
        <v>8007.7684974714139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79.323112368232927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53.840731894629357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IF(Landbrug!$D$47&gt;0,SUMIF(Landbrug!$B$32:$B$45,$B42,IF(O41=År2,Landbrug!$D$32:$D$45,Landbrug!$E$32:$E$45)),'[1]Afgrødefordeling - jordtype'!$P13)*(Landbrug!$D$5)*Arealanvendelse!M$36</f>
        <v>1324.9003895066519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12.9801456602563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8.8103015827575319</v>
      </c>
      <c r="R42" s="11">
        <f>IF(Landbrug!$E$47&gt;0,SUMIF(Landbrug!$B$32:$B$45,$B42,IF(R41=År2,Landbrug!$D$32:$D$45,Landbrug!$E$32:$E$45)),'[1]Afgrødefordeling - jordtype'!$P13)*(Landbrug!$E$5)*Arealanvendelse!P$36</f>
        <v>1698.6175600696938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16.826114744776682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11.420761310981984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IF(Landbrug!$D$47&gt;0,SUMIF(Landbrug!$B$32:$B$45,$B43,IF(F42=År2,Landbrug!$D$32:$D$45,Landbrug!$E$32:$E$45)),'[1]Afgrødefordeling - jordtype'!$P14)*(1-Landbrug!$D$5)*Arealanvendelse!M$36</f>
        <v>19084.489401980361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603.80358732362868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528.28027242495364</v>
      </c>
      <c r="I43" s="11">
        <f>IF(Landbrug!$E$47&gt;0,SUMIF(Landbrug!$B$32:$B$45,$B43,IF(I42=År2,Landbrug!$D$32:$D$45,Landbrug!$E$32:$E$45)),'[1]Afgrødefordeling - jordtype'!$P14)*(1-Landbrug!$E$5)*Arealanvendelse!P$36</f>
        <v>18002.237527623009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575.88203415259386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503.85112687929109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IF(Landbrug!$D$47&gt;0,SUMIF(Landbrug!$B$32:$B$45,$B43,IF(O42=År2,Landbrug!$D$32:$D$45,Landbrug!$E$32:$E$45)),'[1]Afgrødefordeling - jordtype'!$P14)*(Landbrug!$D$5)*Arealanvendelse!M$36</f>
        <v>2978.5041263206344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94.235241952242646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82.448366216611277</v>
      </c>
      <c r="R43" s="11">
        <f>IF(Landbrug!$E$47&gt;0,SUMIF(Landbrug!$B$32:$B$45,$B43,IF(R42=År2,Landbrug!$D$32:$D$45,Landbrug!$E$32:$E$45)),'[1]Afgrødefordeling - jordtype'!$P14)*(Landbrug!$E$5)*Arealanvendelse!P$36</f>
        <v>3818.6564452533657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122.15679512327748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106.87751176227387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IF(Landbrug!$D$47&gt;0,SUMIF(Landbrug!$B$32:$B$45,$B44,IF(F43=År2,Landbrug!$D$32:$D$45,Landbrug!$E$32:$E$45)),'[1]Afgrødefordeling - jordtype'!$P15)*(1-Landbrug!$D$5)*Arealanvendelse!M$36</f>
        <v>3584.3960536589798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18.25162816502359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12.388331588802384</v>
      </c>
      <c r="I44" s="11">
        <f>IF(Landbrug!$E$47&gt;0,SUMIF(Landbrug!$B$32:$B$45,$B44,IF(I43=År2,Landbrug!$D$32:$D$45,Landbrug!$E$32:$E$45)),'[1]Afgrødefordeling - jordtype'!$P15)*(1-Landbrug!$E$5)*Arealanvendelse!P$36</f>
        <v>3381.1304977511027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17.407622238317295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11.815460763886664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IF(Landbrug!$D$47&gt;0,SUMIF(Landbrug!$B$32:$B$45,$B44,IF(O43=År2,Landbrug!$D$32:$D$45,Landbrug!$E$32:$E$45)),'[1]Afgrødefordeling - jordtype'!$P15)*(Landbrug!$D$5)*Arealanvendelse!M$36</f>
        <v>559.41441299880034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2.8485200026337401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1.9334390340905452</v>
      </c>
      <c r="R44" s="11">
        <f>IF(Landbrug!$E$47&gt;0,SUMIF(Landbrug!$B$32:$B$45,$B44,IF(R43=År2,Landbrug!$D$32:$D$45,Landbrug!$E$32:$E$45)),'[1]Afgrødefordeling - jordtype'!$P15)*(Landbrug!$E$5)*Arealanvendelse!P$36</f>
        <v>717.2094995229611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3.6925259293400323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2.5063098590062625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IF(Landbrug!$D$47&gt;0,SUMIF(Landbrug!$B$32:$B$45,$B45,IF(F44=År2,Landbrug!$D$32:$D$45,Landbrug!$E$32:$E$45)),'[1]Afgrødefordeling - jordtype'!$P16)*(1-Landbrug!$D$5)*Arealanvendelse!M$36</f>
        <v>1378.3575978842866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38.736771764982237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37.789605201644072</v>
      </c>
      <c r="I45" s="11">
        <f>IF(Landbrug!$E$47&gt;0,SUMIF(Landbrug!$B$32:$B$45,$B45,IF(I44=År2,Landbrug!$D$32:$D$45,Landbrug!$E$32:$E$45)),'[1]Afgrødefordeling - jordtype'!$P16)*(1-Landbrug!$E$5)*Arealanvendelse!P$36</f>
        <v>1300.1930705330769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36.945475960821213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36.042109007348387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IF(Landbrug!$D$47&gt;0,SUMIF(Landbrug!$B$32:$B$45,$B45,IF(O44=År2,Landbrug!$D$32:$D$45,Landbrug!$E$32:$E$45)),'[1]Afgrødefordeling - jordtype'!$P16)*(Landbrug!$D$5)*Arealanvendelse!M$36</f>
        <v>215.11939388945515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6.0456233390434706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5.8977996557479182</v>
      </c>
      <c r="R45" s="11">
        <f>IF(Landbrug!$E$47&gt;0,SUMIF(Landbrug!$B$32:$B$45,$B45,IF(R44=År2,Landbrug!$D$32:$D$45,Landbrug!$E$32:$E$45)),'[1]Afgrødefordeling - jordtype'!$P16)*(Landbrug!$E$5)*Arealanvendelse!P$36</f>
        <v>275.79853011307694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7.8369191432044989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7.6452958500435964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IF(Landbrug!$D$47&gt;0,SUMIF(Landbrug!$B$32:$B$45,$B46,IF(F45=År2,Landbrug!$D$32:$D$45,Landbrug!$E$32:$E$45)),'[1]Afgrødefordeling - jordtype'!$P17)*(1-Landbrug!$D$5)*Arealanvendelse!M$36</f>
        <v>33436.147663246578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4383.0738282155862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3393.0422285443651</v>
      </c>
      <c r="I46" s="11">
        <f>IF(Landbrug!$E$47&gt;0,SUMIF(Landbrug!$B$32:$B$45,$B46,IF(I45=År2,Landbrug!$D$32:$D$45,Landbrug!$E$32:$E$45)),'[1]Afgrødefordeling - jordtype'!$P17)*(1-Landbrug!$E$5)*Arealanvendelse!P$36</f>
        <v>31540.035447842853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4180.3883332692003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3236.1385416752614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IF(Landbrug!$D$47&gt;0,SUMIF(Landbrug!$B$32:$B$45,$B46,IF(O45=År2,Landbrug!$D$32:$D$45,Landbrug!$E$32:$E$45)),'[1]Afgrødefordeling - jordtype'!$P17)*(Landbrug!$D$5)*Arealanvendelse!M$36</f>
        <v>5218.3583058246104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684.06354544405099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529.54994318322474</v>
      </c>
      <c r="R46" s="11">
        <f>IF(Landbrug!$E$47&gt;0,SUMIF(Landbrug!$B$32:$B$45,$B46,IF(R45=År2,Landbrug!$D$32:$D$45,Landbrug!$E$32:$E$45)),'[1]Afgrødefordeling - jordtype'!$P17)*(Landbrug!$E$5)*Arealanvendelse!P$36</f>
        <v>6690.3105495424243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886.74904039043645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686.45363005232821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472367.79148531368</v>
      </c>
      <c r="G47" s="38">
        <f t="shared" si="3"/>
        <v>7826.9175503849747</v>
      </c>
      <c r="H47" s="38">
        <f t="shared" si="3"/>
        <v>5952.705664112922</v>
      </c>
      <c r="I47" s="38">
        <f t="shared" si="3"/>
        <v>445580.54468226456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73722.140867650116</v>
      </c>
      <c r="P47" s="38">
        <f t="shared" si="3"/>
        <v>1221.5420454358054</v>
      </c>
      <c r="Q47" s="38">
        <f t="shared" si="3"/>
        <v>929.03498804074502</v>
      </c>
      <c r="R47" s="38">
        <f t="shared" si="3"/>
        <v>94517.08523563185</v>
      </c>
      <c r="S47" s="38">
        <f t="shared" si="3"/>
        <v>1583.4804292686363</v>
      </c>
      <c r="T47" s="39">
        <f t="shared" si="3"/>
        <v>1204.3046141268917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62" t="s">
        <v>7</v>
      </c>
      <c r="D49" s="363"/>
      <c r="E49" s="364"/>
      <c r="F49" s="365" t="s">
        <v>8</v>
      </c>
      <c r="G49" s="363"/>
      <c r="H49" s="364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J33"/>
  <sheetViews>
    <sheetView topLeftCell="A2" workbookViewId="0">
      <selection activeCell="B5" sqref="B5:AG23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1.28515625" bestFit="1" customWidth="1"/>
    <col min="37" max="37" width="12" bestFit="1" customWidth="1"/>
    <col min="38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6" x14ac:dyDescent="0.25">
      <c r="A3" s="77" t="s">
        <v>175</v>
      </c>
      <c r="B3" s="77" t="s">
        <v>62</v>
      </c>
    </row>
    <row r="4" spans="1:36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240</v>
      </c>
      <c r="AG4" s="171" t="s">
        <v>233</v>
      </c>
      <c r="AH4" s="171" t="s">
        <v>111</v>
      </c>
      <c r="AI4" s="171" t="s">
        <v>116</v>
      </c>
      <c r="AJ4" s="171" t="s">
        <v>61</v>
      </c>
    </row>
    <row r="5" spans="1:36" x14ac:dyDescent="0.25">
      <c r="A5" s="78" t="s">
        <v>110</v>
      </c>
      <c r="B5" s="242"/>
      <c r="C5" s="242"/>
      <c r="D5" s="242">
        <v>1462906</v>
      </c>
      <c r="E5" s="242">
        <v>3223493.7051022411</v>
      </c>
      <c r="F5" s="242"/>
      <c r="G5" s="242">
        <v>17676.221889995504</v>
      </c>
      <c r="H5" s="242"/>
      <c r="I5" s="242"/>
      <c r="J5" s="242">
        <v>428226</v>
      </c>
      <c r="K5" s="242">
        <v>257031</v>
      </c>
      <c r="L5" s="242"/>
      <c r="M5" s="242">
        <v>227802</v>
      </c>
      <c r="N5" s="242">
        <v>234</v>
      </c>
      <c r="O5" s="242"/>
      <c r="P5" s="242">
        <v>2444654</v>
      </c>
      <c r="Q5" s="242"/>
      <c r="R5" s="242">
        <v>11357.999999999998</v>
      </c>
      <c r="S5" s="242">
        <v>24187240.797831371</v>
      </c>
      <c r="T5" s="242"/>
      <c r="U5" s="242">
        <v>990078</v>
      </c>
      <c r="V5" s="242"/>
      <c r="W5" s="242"/>
      <c r="X5" s="242"/>
      <c r="Y5" s="242">
        <v>85935</v>
      </c>
      <c r="Z5" s="242"/>
      <c r="AA5" s="242">
        <v>8315241.6371112876</v>
      </c>
      <c r="AB5" s="242">
        <v>27238357.333994672</v>
      </c>
      <c r="AC5" s="242"/>
      <c r="AD5" s="242"/>
      <c r="AE5" s="242"/>
      <c r="AF5" s="242"/>
      <c r="AG5" s="242"/>
      <c r="AH5" s="242"/>
      <c r="AI5" s="242"/>
      <c r="AJ5" s="242">
        <v>68890233.695929572</v>
      </c>
    </row>
    <row r="6" spans="1:36" x14ac:dyDescent="0.25">
      <c r="A6" s="79">
        <v>2019</v>
      </c>
      <c r="B6" s="242"/>
      <c r="C6" s="242"/>
      <c r="D6" s="242">
        <v>729134</v>
      </c>
      <c r="E6" s="242">
        <v>757087.00000000012</v>
      </c>
      <c r="F6" s="242"/>
      <c r="G6" s="242">
        <v>4441.5</v>
      </c>
      <c r="H6" s="242"/>
      <c r="I6" s="242"/>
      <c r="J6" s="242">
        <v>142742</v>
      </c>
      <c r="K6" s="242">
        <v>85676.999999999985</v>
      </c>
      <c r="L6" s="242"/>
      <c r="M6" s="242">
        <v>75934</v>
      </c>
      <c r="N6" s="242">
        <v>78</v>
      </c>
      <c r="O6" s="242"/>
      <c r="P6" s="242">
        <v>995654</v>
      </c>
      <c r="Q6" s="242"/>
      <c r="R6" s="242">
        <v>3785.9999999999991</v>
      </c>
      <c r="S6" s="242">
        <v>4353509.666666667</v>
      </c>
      <c r="T6" s="242"/>
      <c r="U6" s="242">
        <v>330026</v>
      </c>
      <c r="V6" s="242"/>
      <c r="W6" s="242"/>
      <c r="X6" s="242"/>
      <c r="Y6" s="242">
        <v>28645.000000000004</v>
      </c>
      <c r="Z6" s="242"/>
      <c r="AA6" s="242">
        <v>2668834</v>
      </c>
      <c r="AB6" s="242">
        <v>2914869.3333333335</v>
      </c>
      <c r="AC6" s="242"/>
      <c r="AD6" s="242"/>
      <c r="AE6" s="242"/>
      <c r="AF6" s="242"/>
      <c r="AG6" s="242"/>
      <c r="AH6" s="242"/>
      <c r="AI6" s="242"/>
      <c r="AJ6" s="242">
        <v>13090417.500000002</v>
      </c>
    </row>
    <row r="7" spans="1:36" x14ac:dyDescent="0.25">
      <c r="A7" s="79">
        <v>2030</v>
      </c>
      <c r="B7" s="242"/>
      <c r="C7" s="242"/>
      <c r="D7" s="242">
        <v>363995</v>
      </c>
      <c r="E7" s="242">
        <v>1204392.371220411</v>
      </c>
      <c r="F7" s="242"/>
      <c r="G7" s="242">
        <v>6510.908203702802</v>
      </c>
      <c r="H7" s="242"/>
      <c r="I7" s="242"/>
      <c r="J7" s="242">
        <v>142742</v>
      </c>
      <c r="K7" s="242">
        <v>85677</v>
      </c>
      <c r="L7" s="242"/>
      <c r="M7" s="242">
        <v>75934.000000000015</v>
      </c>
      <c r="N7" s="242">
        <v>78</v>
      </c>
      <c r="O7" s="242"/>
      <c r="P7" s="242">
        <v>725968.00000000012</v>
      </c>
      <c r="Q7" s="242"/>
      <c r="R7" s="242">
        <v>3785.9999999999991</v>
      </c>
      <c r="S7" s="242">
        <v>10012525.836481437</v>
      </c>
      <c r="T7" s="242"/>
      <c r="U7" s="242">
        <v>330026</v>
      </c>
      <c r="V7" s="242"/>
      <c r="W7" s="242"/>
      <c r="X7" s="242"/>
      <c r="Y7" s="242">
        <v>28645.000000000004</v>
      </c>
      <c r="Z7" s="242"/>
      <c r="AA7" s="242">
        <v>2765437.867297628</v>
      </c>
      <c r="AB7" s="242">
        <v>12426575.77002522</v>
      </c>
      <c r="AC7" s="242"/>
      <c r="AD7" s="242"/>
      <c r="AE7" s="242"/>
      <c r="AF7" s="242"/>
      <c r="AG7" s="242"/>
      <c r="AH7" s="242"/>
      <c r="AI7" s="242"/>
      <c r="AJ7" s="242">
        <v>28172293.7532284</v>
      </c>
    </row>
    <row r="8" spans="1:36" x14ac:dyDescent="0.25">
      <c r="A8" s="79">
        <v>2050</v>
      </c>
      <c r="B8" s="242"/>
      <c r="C8" s="242"/>
      <c r="D8" s="242">
        <v>369777</v>
      </c>
      <c r="E8" s="242">
        <v>1262014.3338818299</v>
      </c>
      <c r="F8" s="242"/>
      <c r="G8" s="242">
        <v>6723.8136862927022</v>
      </c>
      <c r="H8" s="242"/>
      <c r="I8" s="242"/>
      <c r="J8" s="242">
        <v>142742</v>
      </c>
      <c r="K8" s="242">
        <v>85677.000000000015</v>
      </c>
      <c r="L8" s="242"/>
      <c r="M8" s="242">
        <v>75934.000000000015</v>
      </c>
      <c r="N8" s="242">
        <v>78</v>
      </c>
      <c r="O8" s="242"/>
      <c r="P8" s="242">
        <v>723032.00000000012</v>
      </c>
      <c r="Q8" s="242"/>
      <c r="R8" s="242">
        <v>3786</v>
      </c>
      <c r="S8" s="242">
        <v>9821205.2946832664</v>
      </c>
      <c r="T8" s="242"/>
      <c r="U8" s="242">
        <v>330026</v>
      </c>
      <c r="V8" s="242"/>
      <c r="W8" s="242"/>
      <c r="X8" s="242"/>
      <c r="Y8" s="242">
        <v>28645</v>
      </c>
      <c r="Z8" s="242"/>
      <c r="AA8" s="242">
        <v>2880969.7698136596</v>
      </c>
      <c r="AB8" s="242">
        <v>11896912.23063612</v>
      </c>
      <c r="AC8" s="242"/>
      <c r="AD8" s="242"/>
      <c r="AE8" s="242"/>
      <c r="AF8" s="242"/>
      <c r="AG8" s="242"/>
      <c r="AH8" s="242"/>
      <c r="AI8" s="242"/>
      <c r="AJ8" s="242">
        <v>27627522.442701168</v>
      </c>
    </row>
    <row r="9" spans="1:36" x14ac:dyDescent="0.25">
      <c r="A9" s="78" t="s">
        <v>113</v>
      </c>
      <c r="B9" s="242"/>
      <c r="C9" s="242">
        <v>188279.23979522343</v>
      </c>
      <c r="D9" s="242"/>
      <c r="E9" s="242"/>
      <c r="F9" s="242"/>
      <c r="G9" s="242"/>
      <c r="H9" s="242"/>
      <c r="I9" s="242"/>
      <c r="J9" s="242"/>
      <c r="K9" s="242">
        <v>35723370.761702038</v>
      </c>
      <c r="L9" s="242"/>
      <c r="M9" s="242">
        <v>2256735.8881010804</v>
      </c>
      <c r="N9" s="242"/>
      <c r="O9" s="242">
        <v>14094793.090225756</v>
      </c>
      <c r="P9" s="242"/>
      <c r="Q9" s="242">
        <v>0</v>
      </c>
      <c r="R9" s="242">
        <v>17162175.705222934</v>
      </c>
      <c r="S9" s="242"/>
      <c r="T9" s="242">
        <v>4424562.1351877507</v>
      </c>
      <c r="U9" s="242">
        <v>16513658.323706053</v>
      </c>
      <c r="V9" s="242"/>
      <c r="W9" s="242"/>
      <c r="X9" s="242"/>
      <c r="Y9" s="242">
        <v>2455475.0856627058</v>
      </c>
      <c r="Z9" s="242">
        <v>115059.53543041431</v>
      </c>
      <c r="AA9" s="242"/>
      <c r="AB9" s="242"/>
      <c r="AC9" s="242"/>
      <c r="AD9" s="242"/>
      <c r="AE9" s="242"/>
      <c r="AF9" s="242">
        <v>624982.47654247773</v>
      </c>
      <c r="AG9" s="242"/>
      <c r="AH9" s="242"/>
      <c r="AI9" s="242"/>
      <c r="AJ9" s="242">
        <v>93559092.241576418</v>
      </c>
    </row>
    <row r="10" spans="1:36" x14ac:dyDescent="0.25">
      <c r="A10" s="79">
        <v>2019</v>
      </c>
      <c r="B10" s="242"/>
      <c r="C10" s="242">
        <v>72415.092228932088</v>
      </c>
      <c r="D10" s="242"/>
      <c r="E10" s="242"/>
      <c r="F10" s="242"/>
      <c r="G10" s="242"/>
      <c r="H10" s="242"/>
      <c r="I10" s="242"/>
      <c r="J10" s="242"/>
      <c r="K10" s="242">
        <v>13739757.985270014</v>
      </c>
      <c r="L10" s="242"/>
      <c r="M10" s="242">
        <v>867975.34157733875</v>
      </c>
      <c r="N10" s="242"/>
      <c r="O10" s="242">
        <v>5421074.2654714445</v>
      </c>
      <c r="P10" s="242"/>
      <c r="Q10" s="242">
        <v>0</v>
      </c>
      <c r="R10" s="242">
        <v>6600836.8097011279</v>
      </c>
      <c r="S10" s="242"/>
      <c r="T10" s="242">
        <v>1701754.6673799041</v>
      </c>
      <c r="U10" s="242">
        <v>6351407.0475792512</v>
      </c>
      <c r="V10" s="242"/>
      <c r="W10" s="242"/>
      <c r="X10" s="242"/>
      <c r="Y10" s="242">
        <v>944413.49448565592</v>
      </c>
      <c r="Z10" s="242">
        <v>44253.667473236274</v>
      </c>
      <c r="AA10" s="242"/>
      <c r="AB10" s="242"/>
      <c r="AC10" s="242"/>
      <c r="AD10" s="242"/>
      <c r="AE10" s="242"/>
      <c r="AF10" s="242">
        <v>240377.87559326066</v>
      </c>
      <c r="AG10" s="242"/>
      <c r="AH10" s="242"/>
      <c r="AI10" s="242"/>
      <c r="AJ10" s="242">
        <v>35984266.24676016</v>
      </c>
    </row>
    <row r="11" spans="1:36" x14ac:dyDescent="0.25">
      <c r="A11" s="79">
        <v>2030</v>
      </c>
      <c r="B11" s="242"/>
      <c r="C11" s="242">
        <v>57932.073783145664</v>
      </c>
      <c r="D11" s="242"/>
      <c r="E11" s="242"/>
      <c r="F11" s="242"/>
      <c r="G11" s="242"/>
      <c r="H11" s="242"/>
      <c r="I11" s="242"/>
      <c r="J11" s="242"/>
      <c r="K11" s="242">
        <v>10991806.388216011</v>
      </c>
      <c r="L11" s="242"/>
      <c r="M11" s="242">
        <v>694380.27326187096</v>
      </c>
      <c r="N11" s="242"/>
      <c r="O11" s="242">
        <v>4336859.4123771554</v>
      </c>
      <c r="P11" s="242"/>
      <c r="Q11" s="242">
        <v>0</v>
      </c>
      <c r="R11" s="242">
        <v>5280669.4477609023</v>
      </c>
      <c r="S11" s="242"/>
      <c r="T11" s="242">
        <v>1361403.7339039231</v>
      </c>
      <c r="U11" s="242">
        <v>5081125.638063401</v>
      </c>
      <c r="V11" s="242"/>
      <c r="W11" s="242"/>
      <c r="X11" s="242"/>
      <c r="Y11" s="242">
        <v>755530.79558852478</v>
      </c>
      <c r="Z11" s="242">
        <v>35402.933978589019</v>
      </c>
      <c r="AA11" s="242"/>
      <c r="AB11" s="242"/>
      <c r="AC11" s="242"/>
      <c r="AD11" s="242"/>
      <c r="AE11" s="242"/>
      <c r="AF11" s="242">
        <v>192302.30047460849</v>
      </c>
      <c r="AG11" s="242"/>
      <c r="AH11" s="242"/>
      <c r="AI11" s="242"/>
      <c r="AJ11" s="242">
        <v>28787412.997408129</v>
      </c>
    </row>
    <row r="12" spans="1:36" x14ac:dyDescent="0.25">
      <c r="A12" s="79">
        <v>2050</v>
      </c>
      <c r="B12" s="242"/>
      <c r="C12" s="242">
        <v>57932.073783145672</v>
      </c>
      <c r="D12" s="242"/>
      <c r="E12" s="242"/>
      <c r="F12" s="242"/>
      <c r="G12" s="242"/>
      <c r="H12" s="242"/>
      <c r="I12" s="242"/>
      <c r="J12" s="242"/>
      <c r="K12" s="242">
        <v>10991806.388216011</v>
      </c>
      <c r="L12" s="242"/>
      <c r="M12" s="242">
        <v>694380.27326187096</v>
      </c>
      <c r="N12" s="242"/>
      <c r="O12" s="242">
        <v>4336859.4123771554</v>
      </c>
      <c r="P12" s="242"/>
      <c r="Q12" s="242">
        <v>0</v>
      </c>
      <c r="R12" s="242">
        <v>5280669.4477609023</v>
      </c>
      <c r="S12" s="242"/>
      <c r="T12" s="242">
        <v>1361403.7339039231</v>
      </c>
      <c r="U12" s="242">
        <v>5081125.638063401</v>
      </c>
      <c r="V12" s="242"/>
      <c r="W12" s="242"/>
      <c r="X12" s="242"/>
      <c r="Y12" s="242">
        <v>755530.79558852478</v>
      </c>
      <c r="Z12" s="242">
        <v>35402.933978589019</v>
      </c>
      <c r="AA12" s="242"/>
      <c r="AB12" s="242"/>
      <c r="AC12" s="242"/>
      <c r="AD12" s="242"/>
      <c r="AE12" s="242"/>
      <c r="AF12" s="242">
        <v>192302.30047460849</v>
      </c>
      <c r="AG12" s="242"/>
      <c r="AH12" s="242"/>
      <c r="AI12" s="242"/>
      <c r="AJ12" s="242">
        <v>28787412.997408129</v>
      </c>
    </row>
    <row r="13" spans="1:36" x14ac:dyDescent="0.25">
      <c r="A13" s="78" t="s">
        <v>128</v>
      </c>
      <c r="B13" s="242">
        <v>182574.19618217932</v>
      </c>
      <c r="C13" s="242">
        <v>0</v>
      </c>
      <c r="D13" s="242"/>
      <c r="E13" s="242"/>
      <c r="F13" s="242">
        <v>281468.55244752642</v>
      </c>
      <c r="G13" s="242"/>
      <c r="H13" s="242">
        <v>197788.71253069426</v>
      </c>
      <c r="I13" s="242">
        <v>1445379.0531089196</v>
      </c>
      <c r="J13" s="242"/>
      <c r="K13" s="242"/>
      <c r="L13" s="242">
        <v>1513844.376677237</v>
      </c>
      <c r="M13" s="242"/>
      <c r="N13" s="242"/>
      <c r="O13" s="242"/>
      <c r="P13" s="242"/>
      <c r="Q13" s="242">
        <v>692260.49385742994</v>
      </c>
      <c r="R13" s="242">
        <v>1658382.281988129</v>
      </c>
      <c r="S13" s="242"/>
      <c r="T13" s="242"/>
      <c r="U13" s="242"/>
      <c r="V13" s="242">
        <v>2647325.8446415998</v>
      </c>
      <c r="W13" s="242">
        <v>336392.95646566537</v>
      </c>
      <c r="X13" s="242"/>
      <c r="Y13" s="242"/>
      <c r="Z13" s="242"/>
      <c r="AA13" s="242"/>
      <c r="AB13" s="242"/>
      <c r="AC13" s="242">
        <v>682979.63888483576</v>
      </c>
      <c r="AD13" s="242"/>
      <c r="AE13" s="242"/>
      <c r="AF13" s="242"/>
      <c r="AG13" s="242"/>
      <c r="AH13" s="242"/>
      <c r="AI13" s="242"/>
      <c r="AJ13" s="242">
        <v>9638396.1067842171</v>
      </c>
    </row>
    <row r="14" spans="1:36" x14ac:dyDescent="0.25">
      <c r="A14" s="79">
        <v>2019</v>
      </c>
      <c r="B14" s="242">
        <v>58403.100598004137</v>
      </c>
      <c r="C14" s="242">
        <v>0</v>
      </c>
      <c r="D14" s="242"/>
      <c r="E14" s="242"/>
      <c r="F14" s="242">
        <v>90038.113421923044</v>
      </c>
      <c r="G14" s="242"/>
      <c r="H14" s="242">
        <v>63270.025647837821</v>
      </c>
      <c r="I14" s="242">
        <v>462357.87973419944</v>
      </c>
      <c r="J14" s="242"/>
      <c r="K14" s="242"/>
      <c r="L14" s="242">
        <v>484259.042458451</v>
      </c>
      <c r="M14" s="242"/>
      <c r="N14" s="242"/>
      <c r="O14" s="242"/>
      <c r="P14" s="242"/>
      <c r="Q14" s="242">
        <v>221445.08976743236</v>
      </c>
      <c r="R14" s="242">
        <v>530494.83043187088</v>
      </c>
      <c r="S14" s="242"/>
      <c r="T14" s="242"/>
      <c r="U14" s="242"/>
      <c r="V14" s="242">
        <v>846844.95867106004</v>
      </c>
      <c r="W14" s="242">
        <v>107607.71285182264</v>
      </c>
      <c r="X14" s="242"/>
      <c r="Y14" s="242"/>
      <c r="Z14" s="242"/>
      <c r="AA14" s="242"/>
      <c r="AB14" s="242"/>
      <c r="AC14" s="242">
        <v>218476.26548703379</v>
      </c>
      <c r="AD14" s="242"/>
      <c r="AE14" s="242"/>
      <c r="AF14" s="242"/>
      <c r="AG14" s="242"/>
      <c r="AH14" s="242"/>
      <c r="AI14" s="242"/>
      <c r="AJ14" s="242">
        <v>3083197.0190696353</v>
      </c>
    </row>
    <row r="15" spans="1:36" x14ac:dyDescent="0.25">
      <c r="A15" s="79">
        <v>2030</v>
      </c>
      <c r="B15" s="242">
        <v>60789.12467762841</v>
      </c>
      <c r="C15" s="242">
        <v>0</v>
      </c>
      <c r="D15" s="242"/>
      <c r="E15" s="242"/>
      <c r="F15" s="242">
        <v>93716.56721134379</v>
      </c>
      <c r="G15" s="242"/>
      <c r="H15" s="242">
        <v>65854.885067430776</v>
      </c>
      <c r="I15" s="242">
        <v>481247.23703122488</v>
      </c>
      <c r="J15" s="242"/>
      <c r="K15" s="242"/>
      <c r="L15" s="242">
        <v>504043.1587853356</v>
      </c>
      <c r="M15" s="242"/>
      <c r="N15" s="242"/>
      <c r="O15" s="242"/>
      <c r="P15" s="242"/>
      <c r="Q15" s="242">
        <v>230492.09773600774</v>
      </c>
      <c r="R15" s="242">
        <v>552167.88248845807</v>
      </c>
      <c r="S15" s="242"/>
      <c r="T15" s="242"/>
      <c r="U15" s="242"/>
      <c r="V15" s="242">
        <v>881442.3078256119</v>
      </c>
      <c r="W15" s="242">
        <v>112003.96221853035</v>
      </c>
      <c r="X15" s="242"/>
      <c r="Y15" s="242"/>
      <c r="Z15" s="242"/>
      <c r="AA15" s="242"/>
      <c r="AB15" s="242"/>
      <c r="AC15" s="242">
        <v>227401.98389822827</v>
      </c>
      <c r="AD15" s="242"/>
      <c r="AE15" s="242"/>
      <c r="AF15" s="242"/>
      <c r="AG15" s="242"/>
      <c r="AH15" s="242"/>
      <c r="AI15" s="242"/>
      <c r="AJ15" s="242">
        <v>3209159.2069397997</v>
      </c>
    </row>
    <row r="16" spans="1:36" x14ac:dyDescent="0.25">
      <c r="A16" s="79">
        <v>2050</v>
      </c>
      <c r="B16" s="242">
        <v>63381.970906546776</v>
      </c>
      <c r="C16" s="242">
        <v>0</v>
      </c>
      <c r="D16" s="242"/>
      <c r="E16" s="242"/>
      <c r="F16" s="242">
        <v>97713.871814259604</v>
      </c>
      <c r="G16" s="242"/>
      <c r="H16" s="242">
        <v>68663.801815425672</v>
      </c>
      <c r="I16" s="242">
        <v>501773.93634349527</v>
      </c>
      <c r="J16" s="242"/>
      <c r="K16" s="242"/>
      <c r="L16" s="242">
        <v>525542.17543345026</v>
      </c>
      <c r="M16" s="242"/>
      <c r="N16" s="242"/>
      <c r="O16" s="242"/>
      <c r="P16" s="242"/>
      <c r="Q16" s="242">
        <v>240323.30635398987</v>
      </c>
      <c r="R16" s="242">
        <v>575719.56906779984</v>
      </c>
      <c r="S16" s="242"/>
      <c r="T16" s="242"/>
      <c r="U16" s="242"/>
      <c r="V16" s="242">
        <v>919038.57814492821</v>
      </c>
      <c r="W16" s="242">
        <v>116781.28139531243</v>
      </c>
      <c r="X16" s="242"/>
      <c r="Y16" s="242"/>
      <c r="Z16" s="242"/>
      <c r="AA16" s="242"/>
      <c r="AB16" s="242"/>
      <c r="AC16" s="242">
        <v>237101.38949957371</v>
      </c>
      <c r="AD16" s="242"/>
      <c r="AE16" s="242"/>
      <c r="AF16" s="242"/>
      <c r="AG16" s="242"/>
      <c r="AH16" s="242"/>
      <c r="AI16" s="242"/>
      <c r="AJ16" s="242">
        <v>3346039.8807747816</v>
      </c>
    </row>
    <row r="17" spans="1:36" x14ac:dyDescent="0.25">
      <c r="A17" s="78" t="s">
        <v>121</v>
      </c>
      <c r="B17" s="242"/>
      <c r="C17" s="242"/>
      <c r="D17" s="242">
        <v>0</v>
      </c>
      <c r="E17" s="242"/>
      <c r="F17" s="242"/>
      <c r="G17" s="242"/>
      <c r="H17" s="242"/>
      <c r="I17" s="242"/>
      <c r="J17" s="242"/>
      <c r="K17" s="242"/>
      <c r="L17" s="242"/>
      <c r="M17" s="242">
        <v>6582976.2459011851</v>
      </c>
      <c r="N17" s="242">
        <v>2948193</v>
      </c>
      <c r="O17" s="242"/>
      <c r="P17" s="242"/>
      <c r="Q17" s="242"/>
      <c r="R17" s="242"/>
      <c r="S17" s="242"/>
      <c r="T17" s="242"/>
      <c r="U17" s="242"/>
      <c r="V17" s="242"/>
      <c r="W17" s="242"/>
      <c r="X17" s="242"/>
      <c r="Y17" s="242"/>
      <c r="Z17" s="242"/>
      <c r="AA17" s="242"/>
      <c r="AB17" s="242"/>
      <c r="AC17" s="242"/>
      <c r="AD17" s="242">
        <v>608691.6287406272</v>
      </c>
      <c r="AE17" s="242">
        <v>8733568.819759516</v>
      </c>
      <c r="AF17" s="242"/>
      <c r="AG17" s="242">
        <v>425267.56849537406</v>
      </c>
      <c r="AH17" s="242"/>
      <c r="AI17" s="242"/>
      <c r="AJ17" s="242">
        <v>19298697.262896702</v>
      </c>
    </row>
    <row r="18" spans="1:36" x14ac:dyDescent="0.25">
      <c r="A18" s="79">
        <v>2019</v>
      </c>
      <c r="B18" s="242"/>
      <c r="C18" s="242"/>
      <c r="D18" s="242">
        <v>0</v>
      </c>
      <c r="E18" s="242"/>
      <c r="F18" s="242"/>
      <c r="G18" s="242"/>
      <c r="H18" s="242"/>
      <c r="I18" s="242"/>
      <c r="J18" s="242"/>
      <c r="K18" s="242"/>
      <c r="L18" s="242"/>
      <c r="M18" s="242">
        <v>1893765.2125355615</v>
      </c>
      <c r="N18" s="242">
        <v>982731</v>
      </c>
      <c r="O18" s="242"/>
      <c r="P18" s="242"/>
      <c r="Q18" s="242"/>
      <c r="R18" s="242"/>
      <c r="S18" s="242"/>
      <c r="T18" s="242"/>
      <c r="U18" s="242"/>
      <c r="V18" s="242"/>
      <c r="W18" s="242"/>
      <c r="X18" s="242"/>
      <c r="Y18" s="242"/>
      <c r="Z18" s="242"/>
      <c r="AA18" s="242"/>
      <c r="AB18" s="242"/>
      <c r="AC18" s="242"/>
      <c r="AD18" s="242">
        <v>209782.38739500003</v>
      </c>
      <c r="AE18" s="242">
        <v>3010238.4923246857</v>
      </c>
      <c r="AF18" s="242"/>
      <c r="AG18" s="242">
        <v>112887.06079513082</v>
      </c>
      <c r="AH18" s="242"/>
      <c r="AI18" s="242"/>
      <c r="AJ18" s="242">
        <v>6209404.1530503789</v>
      </c>
    </row>
    <row r="19" spans="1:36" x14ac:dyDescent="0.25">
      <c r="A19" s="79">
        <v>2030</v>
      </c>
      <c r="B19" s="242"/>
      <c r="C19" s="242"/>
      <c r="D19" s="242">
        <v>0</v>
      </c>
      <c r="E19" s="242"/>
      <c r="F19" s="242"/>
      <c r="G19" s="242"/>
      <c r="H19" s="242"/>
      <c r="I19" s="242"/>
      <c r="J19" s="242"/>
      <c r="K19" s="242"/>
      <c r="L19" s="242"/>
      <c r="M19" s="242">
        <v>2420027.9136025696</v>
      </c>
      <c r="N19" s="242">
        <v>982731</v>
      </c>
      <c r="O19" s="242"/>
      <c r="P19" s="242"/>
      <c r="Q19" s="242"/>
      <c r="R19" s="242"/>
      <c r="S19" s="242"/>
      <c r="T19" s="242"/>
      <c r="U19" s="242"/>
      <c r="V19" s="242"/>
      <c r="W19" s="242"/>
      <c r="X19" s="242"/>
      <c r="Y19" s="242"/>
      <c r="Z19" s="242"/>
      <c r="AA19" s="242"/>
      <c r="AB19" s="242"/>
      <c r="AC19" s="242"/>
      <c r="AD19" s="242">
        <v>196559.60980685451</v>
      </c>
      <c r="AE19" s="242">
        <v>2863430.3661416383</v>
      </c>
      <c r="AF19" s="242"/>
      <c r="AG19" s="242">
        <v>154246.84100889968</v>
      </c>
      <c r="AH19" s="242"/>
      <c r="AI19" s="242"/>
      <c r="AJ19" s="242">
        <v>6616995.7305599619</v>
      </c>
    </row>
    <row r="20" spans="1:36" x14ac:dyDescent="0.25">
      <c r="A20" s="79">
        <v>2050</v>
      </c>
      <c r="B20" s="242"/>
      <c r="C20" s="242"/>
      <c r="D20" s="242">
        <v>0</v>
      </c>
      <c r="E20" s="242"/>
      <c r="F20" s="242"/>
      <c r="G20" s="242"/>
      <c r="H20" s="242"/>
      <c r="I20" s="242"/>
      <c r="J20" s="242"/>
      <c r="K20" s="242"/>
      <c r="L20" s="242"/>
      <c r="M20" s="242">
        <v>2269183.119763054</v>
      </c>
      <c r="N20" s="242">
        <v>982731</v>
      </c>
      <c r="O20" s="242"/>
      <c r="P20" s="242"/>
      <c r="Q20" s="242"/>
      <c r="R20" s="242"/>
      <c r="S20" s="242"/>
      <c r="T20" s="242"/>
      <c r="U20" s="242"/>
      <c r="V20" s="242"/>
      <c r="W20" s="242"/>
      <c r="X20" s="242"/>
      <c r="Y20" s="242"/>
      <c r="Z20" s="242"/>
      <c r="AA20" s="242"/>
      <c r="AB20" s="242"/>
      <c r="AC20" s="242"/>
      <c r="AD20" s="242">
        <v>202349.63153877269</v>
      </c>
      <c r="AE20" s="242">
        <v>2859899.9612931921</v>
      </c>
      <c r="AF20" s="242"/>
      <c r="AG20" s="242">
        <v>158133.66669134353</v>
      </c>
      <c r="AH20" s="242"/>
      <c r="AI20" s="242"/>
      <c r="AJ20" s="242">
        <v>6472297.3792863619</v>
      </c>
    </row>
    <row r="21" spans="1:36" x14ac:dyDescent="0.25">
      <c r="A21" s="78" t="s">
        <v>165</v>
      </c>
      <c r="B21" s="242"/>
      <c r="C21" s="242"/>
      <c r="D21" s="242">
        <v>0</v>
      </c>
      <c r="E21" s="242"/>
      <c r="F21" s="242"/>
      <c r="G21" s="242"/>
      <c r="H21" s="242"/>
      <c r="I21" s="242"/>
      <c r="J21" s="242"/>
      <c r="K21" s="242"/>
      <c r="L21" s="242"/>
      <c r="M21" s="242">
        <v>0</v>
      </c>
      <c r="N21" s="242">
        <v>0</v>
      </c>
      <c r="O21" s="242"/>
      <c r="P21" s="242"/>
      <c r="Q21" s="242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/>
      <c r="AD21" s="242">
        <v>0</v>
      </c>
      <c r="AE21" s="242">
        <v>0</v>
      </c>
      <c r="AF21" s="242"/>
      <c r="AG21" s="242">
        <v>104203.4407339669</v>
      </c>
      <c r="AH21" s="242"/>
      <c r="AI21" s="242"/>
      <c r="AJ21" s="242">
        <v>104203.4407339669</v>
      </c>
    </row>
    <row r="22" spans="1:36" x14ac:dyDescent="0.25">
      <c r="A22" s="79">
        <v>2019</v>
      </c>
      <c r="B22" s="242"/>
      <c r="C22" s="242"/>
      <c r="D22" s="242">
        <v>0</v>
      </c>
      <c r="E22" s="242"/>
      <c r="F22" s="242"/>
      <c r="G22" s="242"/>
      <c r="H22" s="242"/>
      <c r="I22" s="242"/>
      <c r="J22" s="242"/>
      <c r="K22" s="242"/>
      <c r="L22" s="242"/>
      <c r="M22" s="242">
        <v>0</v>
      </c>
      <c r="N22" s="242">
        <v>0</v>
      </c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242"/>
      <c r="AA22" s="242"/>
      <c r="AB22" s="242"/>
      <c r="AC22" s="242"/>
      <c r="AD22" s="242">
        <v>0</v>
      </c>
      <c r="AE22" s="242">
        <v>0</v>
      </c>
      <c r="AF22" s="242"/>
      <c r="AG22" s="242">
        <v>104203.4407339669</v>
      </c>
      <c r="AH22" s="242"/>
      <c r="AI22" s="242"/>
      <c r="AJ22" s="242">
        <v>104203.4407339669</v>
      </c>
    </row>
    <row r="23" spans="1:36" x14ac:dyDescent="0.25">
      <c r="A23" s="79">
        <v>2030</v>
      </c>
      <c r="B23" s="242"/>
      <c r="C23" s="242"/>
      <c r="D23" s="242">
        <v>0</v>
      </c>
      <c r="E23" s="242"/>
      <c r="F23" s="242"/>
      <c r="G23" s="242"/>
      <c r="H23" s="242"/>
      <c r="I23" s="242"/>
      <c r="J23" s="242"/>
      <c r="K23" s="242"/>
      <c r="L23" s="242"/>
      <c r="M23" s="242">
        <v>0</v>
      </c>
      <c r="N23" s="242">
        <v>0</v>
      </c>
      <c r="O23" s="242"/>
      <c r="P23" s="242"/>
      <c r="Q23" s="242"/>
      <c r="R23" s="242"/>
      <c r="S23" s="242"/>
      <c r="T23" s="242"/>
      <c r="U23" s="242"/>
      <c r="V23" s="242"/>
      <c r="W23" s="242"/>
      <c r="X23" s="242"/>
      <c r="Y23" s="242"/>
      <c r="Z23" s="242"/>
      <c r="AA23" s="242"/>
      <c r="AB23" s="242"/>
      <c r="AC23" s="242"/>
      <c r="AD23" s="242">
        <v>0</v>
      </c>
      <c r="AE23" s="242">
        <v>0</v>
      </c>
      <c r="AF23" s="242"/>
      <c r="AG23" s="242">
        <v>0</v>
      </c>
      <c r="AH23" s="242"/>
      <c r="AI23" s="242"/>
      <c r="AJ23" s="242">
        <v>0</v>
      </c>
    </row>
    <row r="24" spans="1:36" x14ac:dyDescent="0.25">
      <c r="A24" s="79">
        <v>2050</v>
      </c>
      <c r="B24" s="242"/>
      <c r="C24" s="242"/>
      <c r="D24" s="242">
        <v>0</v>
      </c>
      <c r="E24" s="242"/>
      <c r="F24" s="242"/>
      <c r="G24" s="242"/>
      <c r="H24" s="242"/>
      <c r="I24" s="242"/>
      <c r="J24" s="242"/>
      <c r="K24" s="242"/>
      <c r="L24" s="242"/>
      <c r="M24" s="242">
        <v>0</v>
      </c>
      <c r="N24" s="242">
        <v>0</v>
      </c>
      <c r="O24" s="242"/>
      <c r="P24" s="242"/>
      <c r="Q24" s="242"/>
      <c r="R24" s="242"/>
      <c r="S24" s="242"/>
      <c r="T24" s="242"/>
      <c r="U24" s="242"/>
      <c r="V24" s="242"/>
      <c r="W24" s="242"/>
      <c r="X24" s="242"/>
      <c r="Y24" s="242"/>
      <c r="Z24" s="242"/>
      <c r="AA24" s="242"/>
      <c r="AB24" s="242"/>
      <c r="AC24" s="242"/>
      <c r="AD24" s="242">
        <v>0</v>
      </c>
      <c r="AE24" s="242">
        <v>0</v>
      </c>
      <c r="AF24" s="242"/>
      <c r="AG24" s="242">
        <v>0</v>
      </c>
      <c r="AH24" s="242"/>
      <c r="AI24" s="242"/>
      <c r="AJ24" s="242">
        <v>0</v>
      </c>
    </row>
    <row r="25" spans="1:36" x14ac:dyDescent="0.25">
      <c r="A25" s="78" t="s">
        <v>115</v>
      </c>
      <c r="B25" s="242"/>
      <c r="C25" s="242"/>
      <c r="D25" s="242"/>
      <c r="E25" s="242">
        <v>1757476.1026458484</v>
      </c>
      <c r="F25" s="242"/>
      <c r="G25" s="242">
        <v>4476.2472383647009</v>
      </c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>
        <v>7883907.8318774002</v>
      </c>
      <c r="T25" s="242"/>
      <c r="U25" s="242"/>
      <c r="V25" s="242"/>
      <c r="W25" s="242"/>
      <c r="X25" s="242"/>
      <c r="Y25" s="242"/>
      <c r="Z25" s="242"/>
      <c r="AA25" s="242"/>
      <c r="AB25" s="242">
        <v>17444740.444517922</v>
      </c>
      <c r="AC25" s="242"/>
      <c r="AD25" s="242"/>
      <c r="AE25" s="242"/>
      <c r="AF25" s="242"/>
      <c r="AG25" s="242"/>
      <c r="AH25" s="242">
        <v>54285664.77337721</v>
      </c>
      <c r="AI25" s="242">
        <v>3302871.1450952319</v>
      </c>
      <c r="AJ25" s="242">
        <v>84679136.544751987</v>
      </c>
    </row>
    <row r="26" spans="1:36" x14ac:dyDescent="0.25">
      <c r="A26" s="79">
        <v>2019</v>
      </c>
      <c r="B26" s="242"/>
      <c r="C26" s="242"/>
      <c r="D26" s="242"/>
      <c r="E26" s="242">
        <v>823764.99285714305</v>
      </c>
      <c r="F26" s="242"/>
      <c r="G26" s="242">
        <v>3362.8500000000004</v>
      </c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/>
      <c r="S26" s="242">
        <v>6423924.8458333323</v>
      </c>
      <c r="T26" s="242"/>
      <c r="U26" s="242"/>
      <c r="V26" s="242"/>
      <c r="W26" s="242"/>
      <c r="X26" s="242"/>
      <c r="Y26" s="242"/>
      <c r="Z26" s="242"/>
      <c r="AA26" s="242"/>
      <c r="AB26" s="242">
        <v>14742130.666666664</v>
      </c>
      <c r="AC26" s="242"/>
      <c r="AD26" s="242"/>
      <c r="AE26" s="242"/>
      <c r="AF26" s="242"/>
      <c r="AG26" s="242"/>
      <c r="AH26" s="242">
        <v>8803491.7355084848</v>
      </c>
      <c r="AI26" s="242">
        <v>1108490.5539925825</v>
      </c>
      <c r="AJ26" s="242">
        <v>31905165.644858211</v>
      </c>
    </row>
    <row r="27" spans="1:36" x14ac:dyDescent="0.25">
      <c r="A27" s="79">
        <v>2030</v>
      </c>
      <c r="B27" s="242"/>
      <c r="C27" s="242"/>
      <c r="D27" s="242"/>
      <c r="E27" s="242">
        <v>455948.54053344129</v>
      </c>
      <c r="F27" s="242"/>
      <c r="G27" s="242">
        <v>547.74307110515622</v>
      </c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/>
      <c r="S27" s="242">
        <v>737033.15185210551</v>
      </c>
      <c r="T27" s="242"/>
      <c r="U27" s="242"/>
      <c r="V27" s="242"/>
      <c r="W27" s="242"/>
      <c r="X27" s="242"/>
      <c r="Y27" s="242"/>
      <c r="Z27" s="242"/>
      <c r="AA27" s="242"/>
      <c r="AB27" s="242">
        <v>1380730.6411139129</v>
      </c>
      <c r="AC27" s="242"/>
      <c r="AD27" s="242"/>
      <c r="AE27" s="242"/>
      <c r="AF27" s="242"/>
      <c r="AG27" s="242"/>
      <c r="AH27" s="242">
        <v>23057912.630213477</v>
      </c>
      <c r="AI27" s="242">
        <v>1125633.7412362914</v>
      </c>
      <c r="AJ27" s="242">
        <v>26757806.448020332</v>
      </c>
    </row>
    <row r="28" spans="1:36" x14ac:dyDescent="0.25">
      <c r="A28" s="79">
        <v>2050</v>
      </c>
      <c r="B28" s="242"/>
      <c r="C28" s="242"/>
      <c r="D28" s="242"/>
      <c r="E28" s="242">
        <v>477762.56925526413</v>
      </c>
      <c r="F28" s="242"/>
      <c r="G28" s="242">
        <v>565.65416725954469</v>
      </c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/>
      <c r="S28" s="242">
        <v>722949.83419196249</v>
      </c>
      <c r="T28" s="242"/>
      <c r="U28" s="242"/>
      <c r="V28" s="242"/>
      <c r="W28" s="242"/>
      <c r="X28" s="242"/>
      <c r="Y28" s="242"/>
      <c r="Z28" s="242"/>
      <c r="AA28" s="242"/>
      <c r="AB28" s="242">
        <v>1321879.1367373462</v>
      </c>
      <c r="AC28" s="242"/>
      <c r="AD28" s="242"/>
      <c r="AE28" s="242"/>
      <c r="AF28" s="242"/>
      <c r="AG28" s="242"/>
      <c r="AH28" s="242">
        <v>22424260.40765525</v>
      </c>
      <c r="AI28" s="242">
        <v>1068746.8498663581</v>
      </c>
      <c r="AJ28" s="242">
        <v>26016164.45187344</v>
      </c>
    </row>
    <row r="29" spans="1:36" x14ac:dyDescent="0.25">
      <c r="A29" s="78" t="s">
        <v>239</v>
      </c>
      <c r="B29" s="242"/>
      <c r="C29" s="24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2"/>
      <c r="T29" s="242"/>
      <c r="U29" s="242"/>
      <c r="V29" s="242"/>
      <c r="W29" s="242"/>
      <c r="X29" s="242">
        <v>1654596.9038416902</v>
      </c>
      <c r="Y29" s="242"/>
      <c r="Z29" s="242"/>
      <c r="AA29" s="242"/>
      <c r="AB29" s="242"/>
      <c r="AC29" s="242"/>
      <c r="AD29" s="242"/>
      <c r="AE29" s="242"/>
      <c r="AF29" s="242"/>
      <c r="AG29" s="242"/>
      <c r="AH29" s="242"/>
      <c r="AI29" s="242"/>
      <c r="AJ29" s="242">
        <v>1654596.9038416902</v>
      </c>
    </row>
    <row r="30" spans="1:36" x14ac:dyDescent="0.25">
      <c r="A30" s="79">
        <v>2019</v>
      </c>
      <c r="B30" s="242"/>
      <c r="C30" s="24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2"/>
      <c r="T30" s="242"/>
      <c r="U30" s="242"/>
      <c r="V30" s="242"/>
      <c r="W30" s="242"/>
      <c r="X30" s="242">
        <v>678407.81727843033</v>
      </c>
      <c r="Y30" s="242"/>
      <c r="Z30" s="242"/>
      <c r="AA30" s="242"/>
      <c r="AB30" s="242"/>
      <c r="AC30" s="242"/>
      <c r="AD30" s="242"/>
      <c r="AE30" s="242"/>
      <c r="AF30" s="242"/>
      <c r="AG30" s="242"/>
      <c r="AH30" s="242"/>
      <c r="AI30" s="242"/>
      <c r="AJ30" s="242">
        <v>678407.81727843033</v>
      </c>
    </row>
    <row r="31" spans="1:36" x14ac:dyDescent="0.25">
      <c r="A31" s="79">
        <v>2030</v>
      </c>
      <c r="B31" s="242"/>
      <c r="C31" s="242"/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2"/>
      <c r="T31" s="242"/>
      <c r="U31" s="242"/>
      <c r="V31" s="242"/>
      <c r="W31" s="242"/>
      <c r="X31" s="242">
        <v>482021.37815281149</v>
      </c>
      <c r="Y31" s="242"/>
      <c r="Z31" s="242"/>
      <c r="AA31" s="242"/>
      <c r="AB31" s="242"/>
      <c r="AC31" s="242"/>
      <c r="AD31" s="242"/>
      <c r="AE31" s="242"/>
      <c r="AF31" s="242"/>
      <c r="AG31" s="242"/>
      <c r="AH31" s="242"/>
      <c r="AI31" s="242"/>
      <c r="AJ31" s="242">
        <v>482021.37815281149</v>
      </c>
    </row>
    <row r="32" spans="1:36" x14ac:dyDescent="0.25">
      <c r="A32" s="79">
        <v>2050</v>
      </c>
      <c r="B32" s="242"/>
      <c r="C32" s="242"/>
      <c r="D32" s="242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2"/>
      <c r="V32" s="242"/>
      <c r="W32" s="242"/>
      <c r="X32" s="242">
        <v>494167.70841044851</v>
      </c>
      <c r="Y32" s="242"/>
      <c r="Z32" s="242"/>
      <c r="AA32" s="242"/>
      <c r="AB32" s="242"/>
      <c r="AC32" s="242"/>
      <c r="AD32" s="242"/>
      <c r="AE32" s="242"/>
      <c r="AF32" s="242"/>
      <c r="AG32" s="242"/>
      <c r="AH32" s="242"/>
      <c r="AI32" s="242"/>
      <c r="AJ32" s="242">
        <v>494167.70841044851</v>
      </c>
    </row>
    <row r="33" spans="1:36" x14ac:dyDescent="0.25">
      <c r="A33" s="78" t="s">
        <v>61</v>
      </c>
      <c r="B33" s="242">
        <v>182574.19618217932</v>
      </c>
      <c r="C33" s="242">
        <v>188279.23979522343</v>
      </c>
      <c r="D33" s="242">
        <v>1462906</v>
      </c>
      <c r="E33" s="242">
        <v>4980969.8077480895</v>
      </c>
      <c r="F33" s="242">
        <v>281468.55244752642</v>
      </c>
      <c r="G33" s="242">
        <v>22152.469128360204</v>
      </c>
      <c r="H33" s="242">
        <v>197788.71253069426</v>
      </c>
      <c r="I33" s="242">
        <v>1445379.0531089196</v>
      </c>
      <c r="J33" s="242">
        <v>428226</v>
      </c>
      <c r="K33" s="242">
        <v>35980401.761702038</v>
      </c>
      <c r="L33" s="242">
        <v>1513844.376677237</v>
      </c>
      <c r="M33" s="242">
        <v>9067514.1340022665</v>
      </c>
      <c r="N33" s="242">
        <v>2948427</v>
      </c>
      <c r="O33" s="242">
        <v>14094793.090225756</v>
      </c>
      <c r="P33" s="242">
        <v>2444654</v>
      </c>
      <c r="Q33" s="242">
        <v>692260.49385742994</v>
      </c>
      <c r="R33" s="242">
        <v>18831915.987211064</v>
      </c>
      <c r="S33" s="242">
        <v>32071148.629708771</v>
      </c>
      <c r="T33" s="242">
        <v>4424562.1351877507</v>
      </c>
      <c r="U33" s="242">
        <v>17503736.323706053</v>
      </c>
      <c r="V33" s="242">
        <v>2647325.8446415998</v>
      </c>
      <c r="W33" s="242">
        <v>336392.95646566537</v>
      </c>
      <c r="X33" s="242">
        <v>1654596.9038416902</v>
      </c>
      <c r="Y33" s="242">
        <v>2541410.0856627058</v>
      </c>
      <c r="Z33" s="242">
        <v>115059.53543041431</v>
      </c>
      <c r="AA33" s="242">
        <v>8315241.6371112876</v>
      </c>
      <c r="AB33" s="242">
        <v>44683097.778512597</v>
      </c>
      <c r="AC33" s="242">
        <v>682979.63888483576</v>
      </c>
      <c r="AD33" s="242">
        <v>608691.6287406272</v>
      </c>
      <c r="AE33" s="242">
        <v>8733568.819759516</v>
      </c>
      <c r="AF33" s="242">
        <v>624982.47654247773</v>
      </c>
      <c r="AG33" s="242">
        <v>529471.00922934094</v>
      </c>
      <c r="AH33" s="242">
        <v>54285664.77337721</v>
      </c>
      <c r="AI33" s="242">
        <v>3302871.1450952319</v>
      </c>
      <c r="AJ33" s="242">
        <v>277824356.19651455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3" width="11.5703125" bestFit="1" customWidth="1"/>
    <col min="14" max="14" width="5.28515625" bestFit="1" customWidth="1"/>
    <col min="15" max="15" width="13.28515625" bestFit="1" customWidth="1"/>
    <col min="16" max="16" width="13.85546875" bestFit="1" customWidth="1"/>
    <col min="17" max="17" width="5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288</v>
      </c>
      <c r="B2" s="78">
        <v>1</v>
      </c>
    </row>
    <row r="4" spans="1:10" x14ac:dyDescent="0.25">
      <c r="A4" s="77" t="s">
        <v>315</v>
      </c>
      <c r="B4" s="77" t="s">
        <v>62</v>
      </c>
    </row>
    <row r="5" spans="1:10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14</v>
      </c>
      <c r="G5" s="171" t="s">
        <v>159</v>
      </c>
      <c r="H5" s="171" t="s">
        <v>54</v>
      </c>
      <c r="I5" s="171" t="s">
        <v>160</v>
      </c>
      <c r="J5" s="171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1108490.5539925825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7949378.1351335607</v>
      </c>
    </row>
    <row r="7" spans="1:10" x14ac:dyDescent="0.25">
      <c r="A7" s="78">
        <v>2030</v>
      </c>
      <c r="B7" s="76">
        <v>2.825725611182861E-2</v>
      </c>
      <c r="C7" s="76">
        <v>220017.54042545299</v>
      </c>
      <c r="D7" s="76">
        <v>74189.67769150075</v>
      </c>
      <c r="E7" s="76">
        <v>1125633.7412362914</v>
      </c>
      <c r="F7" s="76">
        <v>21032.815128937291</v>
      </c>
      <c r="G7" s="76">
        <v>142742</v>
      </c>
      <c r="H7" s="76">
        <v>439387.69075181423</v>
      </c>
      <c r="I7" s="76">
        <v>4336859.4123771554</v>
      </c>
      <c r="J7" s="76">
        <v>6359862.9058684073</v>
      </c>
    </row>
    <row r="8" spans="1:10" x14ac:dyDescent="0.25">
      <c r="A8" s="78">
        <v>2050</v>
      </c>
      <c r="B8" s="76">
        <v>0.18489040050189942</v>
      </c>
      <c r="C8" s="76">
        <v>236197.68983003267</v>
      </c>
      <c r="D8" s="76">
        <v>73602.891942499205</v>
      </c>
      <c r="E8" s="76">
        <v>1068746.8498663581</v>
      </c>
      <c r="F8" s="76">
        <v>28706.337967901869</v>
      </c>
      <c r="G8" s="76">
        <v>142742</v>
      </c>
      <c r="H8" s="76">
        <v>458817.74928054027</v>
      </c>
      <c r="I8" s="76">
        <v>4336859.4123771554</v>
      </c>
      <c r="J8" s="76">
        <v>6345673.1161548877</v>
      </c>
    </row>
    <row r="9" spans="1:10" x14ac:dyDescent="0.25">
      <c r="A9" s="78" t="s">
        <v>61</v>
      </c>
      <c r="B9" s="76">
        <v>370459.88762915425</v>
      </c>
      <c r="C9" s="76">
        <v>659864.85126099177</v>
      </c>
      <c r="D9" s="76">
        <v>430124.59997510223</v>
      </c>
      <c r="E9" s="76">
        <v>3302871.1450952319</v>
      </c>
      <c r="F9" s="76">
        <v>49739.15309683916</v>
      </c>
      <c r="G9" s="76">
        <v>428226</v>
      </c>
      <c r="H9" s="76">
        <v>1318835.4298737824</v>
      </c>
      <c r="I9" s="76">
        <v>14094793.090225754</v>
      </c>
      <c r="J9" s="76">
        <v>20654914.157156855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7" width="9.85546875" style="171" bestFit="1" customWidth="1"/>
    <col min="8" max="8" width="11" style="171" bestFit="1" customWidth="1"/>
    <col min="9" max="10" width="9.85546875" style="171" bestFit="1" customWidth="1"/>
    <col min="11" max="11" width="13.85546875" style="171" bestFit="1" customWidth="1"/>
    <col min="12" max="12" width="9.85546875" style="171" bestFit="1" customWidth="1"/>
    <col min="13" max="13" width="16" style="171" bestFit="1" customWidth="1"/>
    <col min="14" max="14" width="10" style="171" bestFit="1" customWidth="1"/>
    <col min="15" max="15" width="8.7109375" style="171" bestFit="1" customWidth="1"/>
    <col min="16" max="17" width="11" style="171" bestFit="1" customWidth="1"/>
    <col min="18" max="18" width="21" style="171" bestFit="1" customWidth="1"/>
    <col min="19" max="19" width="20.7109375" style="171" bestFit="1" customWidth="1"/>
    <col min="20" max="20" width="9.85546875" style="171" bestFit="1" customWidth="1"/>
    <col min="21" max="21" width="7.140625" style="171" bestFit="1" customWidth="1"/>
    <col min="22" max="22" width="13.85546875" style="171" bestFit="1" customWidth="1"/>
    <col min="23" max="23" width="10.140625" style="171" bestFit="1" customWidth="1"/>
    <col min="24" max="24" width="12.140625" style="171" bestFit="1" customWidth="1"/>
    <col min="25" max="25" width="16" style="171" bestFit="1" customWidth="1"/>
    <col min="26" max="27" width="9.85546875" style="171" bestFit="1" customWidth="1"/>
    <col min="28" max="28" width="9.28515625" style="171" bestFit="1" customWidth="1"/>
    <col min="29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310</v>
      </c>
      <c r="B2" s="78">
        <v>1</v>
      </c>
    </row>
    <row r="4" spans="1:48" x14ac:dyDescent="0.25">
      <c r="A4" s="77" t="s">
        <v>258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12</v>
      </c>
      <c r="J5" s="171" t="s">
        <v>48</v>
      </c>
      <c r="K5" s="171" t="s">
        <v>109</v>
      </c>
      <c r="L5" s="171" t="s">
        <v>53</v>
      </c>
      <c r="M5" s="171" t="s">
        <v>117</v>
      </c>
      <c r="N5" s="171" t="s">
        <v>107</v>
      </c>
      <c r="O5" s="171" t="s">
        <v>14</v>
      </c>
      <c r="P5" s="171" t="s">
        <v>118</v>
      </c>
      <c r="Q5" s="171" t="s">
        <v>52</v>
      </c>
      <c r="R5" s="171" t="s">
        <v>122</v>
      </c>
      <c r="S5" s="171" t="s">
        <v>108</v>
      </c>
      <c r="T5" s="171" t="s">
        <v>13</v>
      </c>
      <c r="U5" s="171" t="s">
        <v>100</v>
      </c>
      <c r="V5" s="171" t="s">
        <v>119</v>
      </c>
      <c r="W5" s="171" t="s">
        <v>137</v>
      </c>
      <c r="X5" s="171" t="s">
        <v>138</v>
      </c>
      <c r="Y5" s="171" t="s">
        <v>141</v>
      </c>
      <c r="Z5" s="171" t="s">
        <v>56</v>
      </c>
      <c r="AA5" s="171" t="s">
        <v>55</v>
      </c>
      <c r="AB5" s="171" t="s">
        <v>240</v>
      </c>
      <c r="AC5" s="171" t="s">
        <v>61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827693.20492220437</v>
      </c>
      <c r="W6" s="98">
        <v>3272565.4875000007</v>
      </c>
      <c r="X6" s="98">
        <v>1078.6499999999999</v>
      </c>
      <c r="Y6" s="98">
        <v>4368323.901678659</v>
      </c>
      <c r="Z6" s="98">
        <v>911574.64248506655</v>
      </c>
      <c r="AA6" s="98">
        <v>2005102.1714007764</v>
      </c>
      <c r="AB6" s="98">
        <v>98826.033045954537</v>
      </c>
      <c r="AC6" s="98">
        <v>38726531.363933533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124599.21875499978</v>
      </c>
      <c r="C7" s="98">
        <v>232958.9113036553</v>
      </c>
      <c r="D7" s="98">
        <v>2840877.0171293938</v>
      </c>
      <c r="E7" s="98">
        <v>748443.83068696968</v>
      </c>
      <c r="F7" s="98">
        <v>91643.463111055491</v>
      </c>
      <c r="G7" s="98">
        <v>1462811.7838699373</v>
      </c>
      <c r="H7" s="98">
        <v>25246455.421058252</v>
      </c>
      <c r="I7" s="98">
        <v>2063763.1734135598</v>
      </c>
      <c r="J7" s="98">
        <v>1153235.9133280301</v>
      </c>
      <c r="K7" s="98">
        <v>27559.785504281797</v>
      </c>
      <c r="L7" s="98">
        <v>2222801.0578479809</v>
      </c>
      <c r="M7" s="98">
        <v>1798536.4273682984</v>
      </c>
      <c r="N7" s="98">
        <v>148232.6739623498</v>
      </c>
      <c r="O7" s="98"/>
      <c r="P7" s="98">
        <v>4173274.1072842204</v>
      </c>
      <c r="Q7" s="98">
        <v>5647725.4199956926</v>
      </c>
      <c r="R7" s="98">
        <v>170927.12035893119</v>
      </c>
      <c r="S7" s="98">
        <v>82984.069195880496</v>
      </c>
      <c r="T7" s="98">
        <v>1034744.5263498498</v>
      </c>
      <c r="U7" s="98">
        <v>14400</v>
      </c>
      <c r="V7" s="98">
        <v>792440.79236345144</v>
      </c>
      <c r="W7" s="98">
        <v>375469.71886805235</v>
      </c>
      <c r="X7" s="98">
        <v>175.69117375071085</v>
      </c>
      <c r="Y7" s="98">
        <v>4526444.2578007793</v>
      </c>
      <c r="Z7" s="98">
        <v>925011.48221335816</v>
      </c>
      <c r="AA7" s="98">
        <v>1327226.7147852567</v>
      </c>
      <c r="AB7" s="98">
        <v>48708.38860179724</v>
      </c>
      <c r="AC7" s="98">
        <v>57281450.966329776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117177.49996050939</v>
      </c>
      <c r="C8" s="98">
        <v>240593.49413246571</v>
      </c>
      <c r="D8" s="98">
        <v>2973720.9739199379</v>
      </c>
      <c r="E8" s="98">
        <v>784251.76462656562</v>
      </c>
      <c r="F8" s="98">
        <v>81923.291098767033</v>
      </c>
      <c r="G8" s="98">
        <v>1502781.1107008122</v>
      </c>
      <c r="H8" s="98">
        <v>26659475.31868159</v>
      </c>
      <c r="I8" s="98">
        <v>2114999.9774601497</v>
      </c>
      <c r="J8" s="98">
        <v>1346330.5062768157</v>
      </c>
      <c r="K8" s="98">
        <v>1759.4160492342635</v>
      </c>
      <c r="L8" s="98">
        <v>2513965.6315076901</v>
      </c>
      <c r="M8" s="98">
        <v>1711158.8341175241</v>
      </c>
      <c r="N8" s="98">
        <v>243411.82603765032</v>
      </c>
      <c r="O8" s="98"/>
      <c r="P8" s="98">
        <v>4095754.4227852407</v>
      </c>
      <c r="Q8" s="98">
        <v>5811586.052382024</v>
      </c>
      <c r="R8" s="98">
        <v>165969.71296028496</v>
      </c>
      <c r="S8" s="98">
        <v>79705.883661789994</v>
      </c>
      <c r="T8" s="98">
        <v>990366.50688011281</v>
      </c>
      <c r="U8" s="98">
        <v>18000</v>
      </c>
      <c r="V8" s="98">
        <v>871392.37125140009</v>
      </c>
      <c r="W8" s="98">
        <v>368295.19855062116</v>
      </c>
      <c r="X8" s="98">
        <v>181.43624232853313</v>
      </c>
      <c r="Y8" s="98">
        <v>4715545.854665624</v>
      </c>
      <c r="Z8" s="98">
        <v>949345.99548394862</v>
      </c>
      <c r="AA8" s="98">
        <v>1362725.53997907</v>
      </c>
      <c r="AB8" s="98">
        <v>54781.553730615735</v>
      </c>
      <c r="AC8" s="98">
        <v>59775200.173142761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418373.61811750499</v>
      </c>
      <c r="C9" s="98">
        <v>686263.41519186785</v>
      </c>
      <c r="D9" s="98">
        <v>9045127.0632908437</v>
      </c>
      <c r="E9" s="98">
        <v>2884913.6024563927</v>
      </c>
      <c r="F9" s="98">
        <v>311842.03423872165</v>
      </c>
      <c r="G9" s="98">
        <v>4468150.9301789645</v>
      </c>
      <c r="H9" s="98">
        <v>56023934.450040013</v>
      </c>
      <c r="I9" s="98">
        <v>6219636.9017398441</v>
      </c>
      <c r="J9" s="98">
        <v>4474236.7489162646</v>
      </c>
      <c r="K9" s="98">
        <v>81211.334173612384</v>
      </c>
      <c r="L9" s="98">
        <v>6003028.9356231634</v>
      </c>
      <c r="M9" s="98">
        <v>6046478.5028147623</v>
      </c>
      <c r="N9" s="98">
        <v>392524.60000000009</v>
      </c>
      <c r="O9" s="98">
        <v>8064.2063400965635</v>
      </c>
      <c r="P9" s="98">
        <v>13538028.530069461</v>
      </c>
      <c r="Q9" s="98">
        <v>13115676.11387863</v>
      </c>
      <c r="R9" s="98">
        <v>553907.20075473934</v>
      </c>
      <c r="S9" s="98">
        <v>268636.26442962571</v>
      </c>
      <c r="T9" s="98">
        <v>3407762.4644088694</v>
      </c>
      <c r="U9" s="98">
        <v>32476.5</v>
      </c>
      <c r="V9" s="98">
        <v>2491526.3685370558</v>
      </c>
      <c r="W9" s="98">
        <v>4016330.4049186744</v>
      </c>
      <c r="X9" s="98">
        <v>1435.7774160792439</v>
      </c>
      <c r="Y9" s="98">
        <v>13610314.014145063</v>
      </c>
      <c r="Z9" s="98">
        <v>2785932.1201823736</v>
      </c>
      <c r="AA9" s="98">
        <v>4695054.426165103</v>
      </c>
      <c r="AB9" s="98">
        <v>202315.9753783675</v>
      </c>
      <c r="AC9" s="98">
        <v>155783182.50340608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232</v>
      </c>
      <c r="C4" s="171" t="s">
        <v>159</v>
      </c>
      <c r="D4" s="171" t="s">
        <v>226</v>
      </c>
      <c r="E4" s="171" t="s">
        <v>229</v>
      </c>
      <c r="F4" s="171" t="s">
        <v>228</v>
      </c>
      <c r="G4" s="171" t="s">
        <v>224</v>
      </c>
      <c r="H4" s="171" t="s">
        <v>233</v>
      </c>
      <c r="I4" s="171" t="s">
        <v>227</v>
      </c>
      <c r="J4" s="171" t="s">
        <v>322</v>
      </c>
      <c r="K4" s="171" t="s">
        <v>61</v>
      </c>
    </row>
    <row r="5" spans="1:11" x14ac:dyDescent="0.25">
      <c r="A5" s="78" t="s">
        <v>295</v>
      </c>
      <c r="B5" s="240"/>
      <c r="C5" s="240"/>
      <c r="D5" s="240"/>
      <c r="E5" s="240"/>
      <c r="F5" s="240"/>
      <c r="G5" s="240"/>
      <c r="H5" s="240"/>
      <c r="I5" s="240"/>
      <c r="J5" s="240"/>
      <c r="K5" s="240"/>
    </row>
    <row r="6" spans="1:11" x14ac:dyDescent="0.25">
      <c r="A6" s="79">
        <v>2019</v>
      </c>
      <c r="B6" s="240">
        <v>17.543930524502301</v>
      </c>
      <c r="C6" s="240">
        <v>0</v>
      </c>
      <c r="D6" s="240">
        <v>0</v>
      </c>
      <c r="E6" s="240">
        <v>19.573590488557194</v>
      </c>
      <c r="F6" s="240">
        <v>0</v>
      </c>
      <c r="G6" s="240">
        <v>0</v>
      </c>
      <c r="H6" s="240">
        <v>3.951047127829578</v>
      </c>
      <c r="I6" s="240">
        <v>47.489094924341849</v>
      </c>
      <c r="J6" s="240">
        <v>0</v>
      </c>
      <c r="K6" s="240">
        <v>88.557663065230912</v>
      </c>
    </row>
    <row r="7" spans="1:11" x14ac:dyDescent="0.25">
      <c r="A7" s="79">
        <v>2030</v>
      </c>
      <c r="B7" s="240">
        <v>19.802671473587463</v>
      </c>
      <c r="C7" s="240">
        <v>0</v>
      </c>
      <c r="D7" s="240">
        <v>69.758330664378917</v>
      </c>
      <c r="E7" s="240">
        <v>28.962611400416186</v>
      </c>
      <c r="F7" s="240">
        <v>0.14596282488120896</v>
      </c>
      <c r="G7" s="240">
        <v>1.8022896540956554</v>
      </c>
      <c r="H7" s="240">
        <v>5.3986394353114884</v>
      </c>
      <c r="I7" s="240">
        <v>45.11802212469226</v>
      </c>
      <c r="J7" s="240">
        <v>0</v>
      </c>
      <c r="K7" s="240">
        <v>170.98852757736319</v>
      </c>
    </row>
    <row r="8" spans="1:11" x14ac:dyDescent="0.25">
      <c r="A8" s="79">
        <v>2050</v>
      </c>
      <c r="B8" s="240">
        <v>19.897035061438991</v>
      </c>
      <c r="C8" s="240">
        <v>0</v>
      </c>
      <c r="D8" s="240">
        <v>73.848115778678817</v>
      </c>
      <c r="E8" s="240">
        <v>28.064830771630888</v>
      </c>
      <c r="F8" s="240">
        <v>0.23461711386879117</v>
      </c>
      <c r="G8" s="240">
        <v>1.8757909752103661</v>
      </c>
      <c r="H8" s="240">
        <v>5.5346783341970225</v>
      </c>
      <c r="I8" s="240">
        <v>45.173390358640965</v>
      </c>
      <c r="J8" s="240">
        <v>0</v>
      </c>
      <c r="K8" s="240">
        <v>174.62845839366585</v>
      </c>
    </row>
    <row r="9" spans="1:11" x14ac:dyDescent="0.25">
      <c r="A9" s="78" t="s">
        <v>247</v>
      </c>
      <c r="B9" s="240"/>
      <c r="C9" s="240"/>
      <c r="D9" s="240"/>
      <c r="E9" s="240"/>
      <c r="F9" s="240"/>
      <c r="G9" s="240"/>
      <c r="H9" s="240"/>
      <c r="I9" s="240"/>
      <c r="J9" s="240"/>
      <c r="K9" s="240"/>
    </row>
    <row r="10" spans="1:11" x14ac:dyDescent="0.25">
      <c r="A10" s="79">
        <v>2019</v>
      </c>
      <c r="B10" s="240">
        <v>7.483154704207001</v>
      </c>
      <c r="C10" s="240">
        <v>2.1694819870080004</v>
      </c>
      <c r="D10" s="240">
        <v>1.4201719861750002</v>
      </c>
      <c r="E10" s="240">
        <v>0.45076703431999998</v>
      </c>
      <c r="F10" s="240">
        <v>0</v>
      </c>
      <c r="G10" s="240">
        <v>5.0922829580050024</v>
      </c>
      <c r="H10" s="240">
        <v>0</v>
      </c>
      <c r="I10" s="240">
        <v>0</v>
      </c>
      <c r="J10" s="240">
        <v>0</v>
      </c>
      <c r="K10" s="240">
        <v>16.615858669715003</v>
      </c>
    </row>
    <row r="11" spans="1:11" x14ac:dyDescent="0.25">
      <c r="A11" s="79">
        <v>2030</v>
      </c>
      <c r="B11" s="240">
        <v>5.2940684669341902</v>
      </c>
      <c r="C11" s="240">
        <v>2.1694819870080004</v>
      </c>
      <c r="D11" s="240">
        <v>1.4201719861750002</v>
      </c>
      <c r="E11" s="240">
        <v>0.45076703432000009</v>
      </c>
      <c r="F11" s="240">
        <v>0</v>
      </c>
      <c r="G11" s="240">
        <v>13.01893247752329</v>
      </c>
      <c r="H11" s="240">
        <v>0</v>
      </c>
      <c r="I11" s="240">
        <v>0</v>
      </c>
      <c r="J11" s="240">
        <v>0</v>
      </c>
      <c r="K11" s="240">
        <v>22.353421951960478</v>
      </c>
    </row>
    <row r="12" spans="1:11" x14ac:dyDescent="0.25">
      <c r="A12" s="79">
        <v>2050</v>
      </c>
      <c r="B12" s="240">
        <v>5.3606050360007158</v>
      </c>
      <c r="C12" s="240">
        <v>2.1694819870080004</v>
      </c>
      <c r="D12" s="240">
        <v>1.4201719861750002</v>
      </c>
      <c r="E12" s="240">
        <v>0.45076703432000009</v>
      </c>
      <c r="F12" s="240">
        <v>0</v>
      </c>
      <c r="G12" s="240">
        <v>12.818126714593753</v>
      </c>
      <c r="H12" s="240">
        <v>0</v>
      </c>
      <c r="I12" s="240">
        <v>0</v>
      </c>
      <c r="J12" s="240">
        <v>0</v>
      </c>
      <c r="K12" s="240">
        <v>22.219152758097472</v>
      </c>
    </row>
    <row r="13" spans="1:11" x14ac:dyDescent="0.25">
      <c r="A13" s="78" t="s">
        <v>296</v>
      </c>
      <c r="B13" s="240">
        <v>57.243637059528758</v>
      </c>
      <c r="C13" s="240">
        <v>0</v>
      </c>
      <c r="D13" s="240">
        <v>143.60644644305773</v>
      </c>
      <c r="E13" s="240">
        <v>76.601032660604261</v>
      </c>
      <c r="F13" s="240">
        <v>0.38057993875000012</v>
      </c>
      <c r="G13" s="240">
        <v>3.6780806293060215</v>
      </c>
      <c r="H13" s="240">
        <v>14.884364897338088</v>
      </c>
      <c r="I13" s="240">
        <v>137.78050740767509</v>
      </c>
      <c r="J13" s="240">
        <v>0</v>
      </c>
      <c r="K13" s="240">
        <v>434.17464903625989</v>
      </c>
    </row>
    <row r="14" spans="1:11" x14ac:dyDescent="0.25">
      <c r="A14" s="78" t="s">
        <v>248</v>
      </c>
      <c r="B14" s="240">
        <v>18.137828207141908</v>
      </c>
      <c r="C14" s="240">
        <v>6.5084459610240017</v>
      </c>
      <c r="D14" s="240">
        <v>4.2605159585250005</v>
      </c>
      <c r="E14" s="240">
        <v>1.3523011029600003</v>
      </c>
      <c r="F14" s="240">
        <v>0</v>
      </c>
      <c r="G14" s="240">
        <v>30.929342150122046</v>
      </c>
      <c r="H14" s="240">
        <v>0</v>
      </c>
      <c r="I14" s="240">
        <v>0</v>
      </c>
      <c r="J14" s="240">
        <v>0</v>
      </c>
      <c r="K14" s="240">
        <v>61.188433379772952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241</v>
      </c>
      <c r="B1" s="77" t="s">
        <v>62</v>
      </c>
    </row>
    <row r="2" spans="1:9" x14ac:dyDescent="0.25">
      <c r="A2" s="77" t="s">
        <v>60</v>
      </c>
      <c r="B2" s="171" t="s">
        <v>232</v>
      </c>
      <c r="C2" s="171" t="s">
        <v>159</v>
      </c>
      <c r="D2" s="171" t="s">
        <v>226</v>
      </c>
      <c r="E2" s="171" t="s">
        <v>229</v>
      </c>
      <c r="F2" s="171" t="s">
        <v>228</v>
      </c>
      <c r="G2" s="171" t="s">
        <v>224</v>
      </c>
      <c r="H2" s="171" t="s">
        <v>227</v>
      </c>
      <c r="I2" s="171" t="s">
        <v>61</v>
      </c>
    </row>
    <row r="3" spans="1:9" x14ac:dyDescent="0.25">
      <c r="A3" s="78">
        <v>2019</v>
      </c>
      <c r="B3" s="241">
        <v>1077304.94</v>
      </c>
      <c r="C3" s="241">
        <v>128467.8</v>
      </c>
      <c r="D3" s="241">
        <v>128726.35999999999</v>
      </c>
      <c r="E3" s="241">
        <v>1675417.9906552273</v>
      </c>
      <c r="F3" s="241">
        <v>0</v>
      </c>
      <c r="G3" s="241">
        <v>704016.11583333346</v>
      </c>
      <c r="H3" s="241">
        <v>1575873.4784311759</v>
      </c>
      <c r="I3" s="241">
        <v>5289806.6849197373</v>
      </c>
    </row>
    <row r="4" spans="1:9" x14ac:dyDescent="0.25">
      <c r="A4" s="78">
        <v>2030</v>
      </c>
      <c r="B4" s="241">
        <v>1139180.7875059044</v>
      </c>
      <c r="C4" s="241">
        <v>128467.8</v>
      </c>
      <c r="D4" s="241">
        <v>8994119.2792498432</v>
      </c>
      <c r="E4" s="241">
        <v>2480244.4196938737</v>
      </c>
      <c r="F4" s="241">
        <v>24394.90109435247</v>
      </c>
      <c r="G4" s="241">
        <v>1997088.5670408159</v>
      </c>
      <c r="H4" s="241">
        <v>1497777.1733240632</v>
      </c>
      <c r="I4" s="241">
        <v>16261272.927908855</v>
      </c>
    </row>
    <row r="5" spans="1:9" x14ac:dyDescent="0.25">
      <c r="A5" s="78">
        <v>2050</v>
      </c>
      <c r="B5" s="241">
        <v>1157844.6374687571</v>
      </c>
      <c r="C5" s="241">
        <v>128467.8</v>
      </c>
      <c r="D5" s="241">
        <v>9509886.3491595574</v>
      </c>
      <c r="E5" s="241">
        <v>2411885.668744409</v>
      </c>
      <c r="F5" s="241">
        <v>39211.773905647548</v>
      </c>
      <c r="G5" s="241">
        <v>1983562.5093156029</v>
      </c>
      <c r="H5" s="241">
        <v>1498433.9529448485</v>
      </c>
      <c r="I5" s="241">
        <v>16729292.691538824</v>
      </c>
    </row>
    <row r="6" spans="1:9" x14ac:dyDescent="0.25">
      <c r="A6" s="78" t="s">
        <v>61</v>
      </c>
      <c r="B6" s="241">
        <v>3374330.3649746617</v>
      </c>
      <c r="C6" s="241">
        <v>385403.4</v>
      </c>
      <c r="D6" s="241">
        <v>18632731.9884094</v>
      </c>
      <c r="E6" s="241">
        <v>6567548.0790935103</v>
      </c>
      <c r="F6" s="241">
        <v>63606.675000000017</v>
      </c>
      <c r="G6" s="241">
        <v>4684667.1921897531</v>
      </c>
      <c r="H6" s="241">
        <v>4572084.6047000876</v>
      </c>
      <c r="I6" s="241">
        <v>38280372.304367416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1.28515625" bestFit="1" customWidth="1"/>
    <col min="10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9" x14ac:dyDescent="0.25">
      <c r="A1" s="77" t="s">
        <v>200</v>
      </c>
      <c r="B1" s="77" t="s">
        <v>62</v>
      </c>
    </row>
    <row r="2" spans="1:9" x14ac:dyDescent="0.25">
      <c r="A2" s="77" t="s">
        <v>60</v>
      </c>
      <c r="B2" s="171" t="s">
        <v>112</v>
      </c>
      <c r="C2" s="171" t="s">
        <v>202</v>
      </c>
      <c r="D2" s="171" t="s">
        <v>195</v>
      </c>
      <c r="E2" s="171" t="s">
        <v>196</v>
      </c>
      <c r="F2" s="171" t="s">
        <v>10</v>
      </c>
      <c r="G2" s="171" t="s">
        <v>267</v>
      </c>
      <c r="H2" s="171" t="s">
        <v>320</v>
      </c>
      <c r="I2" s="171" t="s">
        <v>61</v>
      </c>
    </row>
    <row r="3" spans="1:9" x14ac:dyDescent="0.25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25">
      <c r="A4" s="78">
        <v>2030</v>
      </c>
      <c r="B4" s="98">
        <v>11073393.997208262</v>
      </c>
      <c r="C4" s="98">
        <v>-24610.813181900667</v>
      </c>
      <c r="D4" s="98">
        <v>4405853.505497627</v>
      </c>
      <c r="E4" s="98">
        <v>8852683.6564139053</v>
      </c>
      <c r="F4" s="98">
        <v>-1707739.728033402</v>
      </c>
      <c r="G4" s="98">
        <v>-452792.62348796544</v>
      </c>
      <c r="H4" s="98">
        <v>0</v>
      </c>
      <c r="I4" s="98">
        <v>22146787.994416527</v>
      </c>
    </row>
    <row r="5" spans="1:9" x14ac:dyDescent="0.25">
      <c r="A5" s="78">
        <v>2050</v>
      </c>
      <c r="B5" s="98">
        <v>10394060.267736506</v>
      </c>
      <c r="C5" s="98">
        <v>-40179.115818099352</v>
      </c>
      <c r="D5" s="98">
        <v>4388184.7278760895</v>
      </c>
      <c r="E5" s="98">
        <v>8714081.1908516288</v>
      </c>
      <c r="F5" s="98">
        <v>-2227605.1235059141</v>
      </c>
      <c r="G5" s="98">
        <v>-440421.41166719497</v>
      </c>
      <c r="H5" s="98">
        <v>0</v>
      </c>
      <c r="I5" s="98">
        <v>20788120.535473015</v>
      </c>
    </row>
    <row r="6" spans="1:9" x14ac:dyDescent="0.25">
      <c r="A6" s="78" t="s">
        <v>61</v>
      </c>
      <c r="B6" s="98">
        <v>35984916.707320616</v>
      </c>
      <c r="C6" s="98">
        <v>-64948.366200000019</v>
      </c>
      <c r="D6" s="98">
        <v>14313300.134110432</v>
      </c>
      <c r="E6" s="98">
        <v>27292231.036999717</v>
      </c>
      <c r="F6" s="98">
        <v>-4497244.8515393157</v>
      </c>
      <c r="G6" s="98">
        <v>-1058421.2460502202</v>
      </c>
      <c r="H6" s="98">
        <v>0</v>
      </c>
      <c r="I6" s="98">
        <v>71969833.414641216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201</v>
      </c>
      <c r="E1" t="s">
        <v>203</v>
      </c>
    </row>
    <row r="2" spans="1:9" x14ac:dyDescent="0.25">
      <c r="A2" t="s">
        <v>23</v>
      </c>
      <c r="B2">
        <f t="shared" ref="B2:B10" si="0">År1</f>
        <v>2019</v>
      </c>
      <c r="C2" s="98">
        <f>SUMIF('Resultater - Vestdanmark'!$F$3:$F$487,'CO2-udledning'!$D$2,'Resultater - Vestdanmark'!H$3:H$487)</f>
        <v>12546079.333675962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5070835.3540045777</v>
      </c>
      <c r="D3" t="s">
        <v>70</v>
      </c>
      <c r="E3" t="s">
        <v>195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4155736.1194644454</v>
      </c>
      <c r="D4" t="s">
        <v>70</v>
      </c>
      <c r="E4" t="s">
        <v>196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>
        <f>SUMIFS('Resultater - Vestdanmark'!H$3:H$474,'Resultater - Vestdanmark'!$F$3:$F$474,'CO2-udledning'!$D$2,'Resultater - Vestdanmark'!$C$3:$C$474,'CO2-udledning'!$F5)</f>
        <v>1324670.350202495</v>
      </c>
      <c r="D5" t="s">
        <v>70</v>
      </c>
      <c r="E5" t="s">
        <v>196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>
        <f>SUMIFS('Resultater - Vestdanmark'!H$3:H$474,'Resultater - Vestdanmark'!$F$3:$F$474,'CO2-udledning'!$D$2,'Resultater - Vestdanmark'!$C$3:$C$474,'CO2-udledning'!$F6)</f>
        <v>2581596.1188411801</v>
      </c>
      <c r="D6" t="s">
        <v>70</v>
      </c>
      <c r="E6" t="s">
        <v>196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-158.24317477886137</v>
      </c>
      <c r="D7" t="s">
        <v>202</v>
      </c>
      <c r="E7" t="s">
        <v>202</v>
      </c>
      <c r="G7" t="s">
        <v>197</v>
      </c>
      <c r="H7" t="s">
        <v>198</v>
      </c>
    </row>
    <row r="8" spans="1:9" x14ac:dyDescent="0.25">
      <c r="A8" t="s">
        <v>23</v>
      </c>
      <c r="B8" s="171">
        <f t="shared" si="0"/>
        <v>2019</v>
      </c>
      <c r="C8" s="98">
        <f>SUMIFS('Resultater - Vestdanmark'!H$3:H$474,'Resultater - Vestdanmark'!$F$3:$F$474,'CO2-udledning'!$D$2,'Resultater - Vestdanmark'!$A$3:$A$474,'CO2-udledning'!$G8)</f>
        <v>-434670</v>
      </c>
      <c r="D8" t="s">
        <v>10</v>
      </c>
      <c r="E8" t="s">
        <v>10</v>
      </c>
      <c r="G8" t="s">
        <v>199</v>
      </c>
    </row>
    <row r="9" spans="1:9" s="171" customFormat="1" x14ac:dyDescent="0.25">
      <c r="A9" s="171" t="s">
        <v>23</v>
      </c>
      <c r="B9" s="171">
        <f t="shared" si="0"/>
        <v>2019</v>
      </c>
      <c r="C9" s="98">
        <f>SUMIFS('Resultater - Vestdanmark'!H$3:H$474,'Resultater - Vestdanmark'!$F$3:$F$474,'CO2-udledning'!$D$2,'Resultater - Vestdanmark'!$A$3:$A$474,'CO2-udledning'!$G9)</f>
        <v>-151930.36566196129</v>
      </c>
      <c r="D9" s="171" t="s">
        <v>267</v>
      </c>
      <c r="E9" s="171" t="s">
        <v>267</v>
      </c>
      <c r="G9" s="171" t="s">
        <v>267</v>
      </c>
    </row>
    <row r="10" spans="1:9" s="171" customFormat="1" x14ac:dyDescent="0.25">
      <c r="A10" s="171" t="s">
        <v>23</v>
      </c>
      <c r="B10" s="171">
        <f t="shared" si="0"/>
        <v>2019</v>
      </c>
      <c r="C10" s="98">
        <f>SUMIFS('Resultater - Vestdanmark'!H$3:H$474,'Resultater - Vestdanmark'!$F$3:$F$474,'CO2-udledning'!$D$2,'Resultater - Vestdanmark'!$A$3:$A$474,'CO2-udledning'!$G10)</f>
        <v>0</v>
      </c>
      <c r="D10" s="171" t="s">
        <v>320</v>
      </c>
      <c r="E10" s="171" t="s">
        <v>320</v>
      </c>
      <c r="G10" s="171" t="s">
        <v>320</v>
      </c>
    </row>
    <row r="11" spans="1:9" x14ac:dyDescent="0.25">
      <c r="A11" t="s">
        <v>23</v>
      </c>
      <c r="B11">
        <f t="shared" ref="B11:B19" si="1">År2</f>
        <v>2030</v>
      </c>
      <c r="C11" s="98">
        <f>SUMIF('Resultater - Vestdanmark'!$F$3:$F$487,'CO2-udledning'!$D$2,'Resultater - Vestdanmark'!I$3:I$487)</f>
        <v>9460733.3446546644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25">
      <c r="A12" t="s">
        <v>23</v>
      </c>
      <c r="B12" s="171">
        <f t="shared" si="1"/>
        <v>2030</v>
      </c>
      <c r="C12" s="98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4046578.8260529838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25">
      <c r="A13" t="s">
        <v>23</v>
      </c>
      <c r="B13" s="171">
        <f t="shared" si="1"/>
        <v>2030</v>
      </c>
      <c r="C13" s="98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4031787.1463158978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25">
      <c r="A14" t="s">
        <v>23</v>
      </c>
      <c r="B14" s="171">
        <f t="shared" si="1"/>
        <v>2030</v>
      </c>
      <c r="C14" s="98">
        <f>SUMIFS('Resultater - Vestdanmark'!I$3:I$474,'Resultater - Vestdanmark'!$F$3:$F$474,'CO2-udledning'!$D$2,'Resultater - Vestdanmark'!$C$3:$C$474,'CO2-udledning'!$F5)</f>
        <v>1088045.8124689222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>
        <f>SUMIFS('Resultater - Vestdanmark'!I$3:I$474,'Resultater - Vestdanmark'!$F$3:$F$474,'CO2-udledning'!$D$2,'Resultater - Vestdanmark'!$C$3:$C$474,'CO2-udledning'!$F6)</f>
        <v>2154506.8629341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-23936.112883057391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>
        <f>SUMIFS('Resultater - Vestdanmark'!I$3:I$474,'Resultater - Vestdanmark'!$F$3:$F$474,'CO2-udledning'!$D$2,'Resultater - Vestdanmark'!$A$3:$A$474,'CO2-udledning'!$G8)</f>
        <v>-1423024.3224583613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25">
      <c r="A18" s="171" t="s">
        <v>23</v>
      </c>
      <c r="B18" s="171">
        <f t="shared" si="1"/>
        <v>2030</v>
      </c>
      <c r="C18" s="98">
        <f>SUMIFS('Resultater - Vestdanmark'!I$3:I$474,'Resultater - Vestdanmark'!$F$3:$F$474,'CO2-udledning'!$D$2,'Resultater - Vestdanmark'!$A$3:$A$474,'CO2-udledning'!$G9)</f>
        <v>-413224.8677758188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>
        <f>SUMIFS('Resultater - Vestdanmark'!I$3:I$474,'Resultater - Vestdanmark'!$F$3:$F$474,'CO2-udledning'!$D$2,'Resultater - Vestdanmark'!$A$3:$A$474,'CO2-udledning'!$G10)</f>
        <v>0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25">
      <c r="A20" t="s">
        <v>23</v>
      </c>
      <c r="B20">
        <f t="shared" ref="B20:B28" si="11">År3</f>
        <v>2050</v>
      </c>
      <c r="C20" s="98">
        <f>SUMIF('Resultater - Vestdanmark'!$F$3:$F$487,'CO2-udledning'!$D$2,'Resultater - Vestdanmark'!J$3:J$487)</f>
        <v>8895624.8229493164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25">
      <c r="A21" t="s">
        <v>23</v>
      </c>
      <c r="B21">
        <f t="shared" si="11"/>
        <v>2050</v>
      </c>
      <c r="C21" s="98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4029816.5016583097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25">
      <c r="A22" t="s">
        <v>23</v>
      </c>
      <c r="B22">
        <f t="shared" si="11"/>
        <v>2050</v>
      </c>
      <c r="C22" s="98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3906669.7542952816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25">
      <c r="A23" t="s">
        <v>23</v>
      </c>
      <c r="B23">
        <f t="shared" si="11"/>
        <v>2050</v>
      </c>
      <c r="C23" s="98">
        <f>SUMIFS('Resultater - Vestdanmark'!J$3:J$474,'Resultater - Vestdanmark'!$F$3:$F$474,'CO2-udledning'!$D$2,'Resultater - Vestdanmark'!$C$3:$C$474,'CO2-udledning'!$F5)</f>
        <v>1088045.8124689227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25">
      <c r="A24" t="s">
        <v>23</v>
      </c>
      <c r="B24">
        <f t="shared" si="11"/>
        <v>2050</v>
      </c>
      <c r="C24" s="98">
        <f>SUMIFS('Resultater - Vestdanmark'!J$3:J$474,'Resultater - Vestdanmark'!$F$3:$F$474,'CO2-udledning'!$D$2,'Resultater - Vestdanmark'!$C$3:$C$474,'CO2-udledning'!$F6)</f>
        <v>2154506.8629340995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25">
      <c r="A25" t="s">
        <v>23</v>
      </c>
      <c r="B25">
        <f t="shared" si="11"/>
        <v>2050</v>
      </c>
      <c r="C25" s="98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-32111.211335450222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25">
      <c r="A26" t="s">
        <v>23</v>
      </c>
      <c r="B26">
        <f t="shared" si="11"/>
        <v>2050</v>
      </c>
      <c r="C26" s="98">
        <f>SUMIFS('Resultater - Vestdanmark'!J$3:J$474,'Resultater - Vestdanmark'!$F$3:$F$474,'CO2-udledning'!$D$2,'Resultater - Vestdanmark'!$A$3:$A$474,'CO2-udledning'!$G8)</f>
        <v>-1849222.4776918571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25">
      <c r="A27" s="171" t="s">
        <v>23</v>
      </c>
      <c r="B27" s="171">
        <f t="shared" si="11"/>
        <v>2050</v>
      </c>
      <c r="C27" s="98">
        <f>SUMIFS('Resultater - Vestdanmark'!J$3:J$474,'Resultater - Vestdanmark'!$F$3:$F$474,'CO2-udledning'!$D$2,'Resultater - Vestdanmark'!$A$3:$A$474,'CO2-udledning'!$G9)</f>
        <v>-402080.41937998723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25">
      <c r="A28" s="171" t="s">
        <v>23</v>
      </c>
      <c r="B28" s="171">
        <f t="shared" si="11"/>
        <v>2050</v>
      </c>
      <c r="C28" s="98">
        <f>SUMIFS('Resultater - Vestdanmark'!J$3:J$474,'Resultater - Vestdanmark'!$F$3:$F$474,'CO2-udledning'!$D$2,'Resultater - Vestdanmark'!$A$3:$A$474,'CO2-udledning'!$G10)</f>
        <v>0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25">
      <c r="A29" t="s">
        <v>24</v>
      </c>
      <c r="B29" s="171">
        <f t="shared" ref="B29:B37" si="21">År1</f>
        <v>2019</v>
      </c>
      <c r="C29" s="98">
        <f>SUMIF('Resultater - Østdanmark'!$F$3:$F$487,'CO2-udledning'!$D$2,'Resultater - Østdanmark'!H$3:H$487)</f>
        <v>1971383.1086998824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25">
      <c r="A30" t="s">
        <v>24</v>
      </c>
      <c r="B30" s="171">
        <f t="shared" si="21"/>
        <v>2019</v>
      </c>
      <c r="C30" s="98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448426.54673213884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25">
      <c r="A31" t="s">
        <v>24</v>
      </c>
      <c r="B31" s="171">
        <f t="shared" si="21"/>
        <v>2019</v>
      </c>
      <c r="C31" s="76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1244619.4009225217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25">
      <c r="A32" t="s">
        <v>24</v>
      </c>
      <c r="B32" s="171">
        <f t="shared" si="21"/>
        <v>2019</v>
      </c>
      <c r="C32" s="76">
        <f>SUMIFS('Resultater - Østdanmark'!H$3:H$474,'Resultater - Østdanmark'!$F$3:$F$474,'CO2-udledning'!$D$2,'Resultater - Østdanmark'!$C$3:$C$474,'CO2-udledning'!$F5)</f>
        <v>142699.41800214813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25">
      <c r="A33" t="s">
        <v>24</v>
      </c>
      <c r="B33" s="171">
        <f t="shared" si="21"/>
        <v>2019</v>
      </c>
      <c r="C33" s="76">
        <f>SUMIFS('Resultater - Østdanmark'!H$3:H$474,'Resultater - Østdanmark'!$F$3:$F$474,'CO2-udledning'!$D$2,'Resultater - Østdanmark'!$C$3:$C$474,'CO2-udledning'!$F6)</f>
        <v>276144.78230139322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25">
      <c r="A34" t="s">
        <v>24</v>
      </c>
      <c r="B34" s="171">
        <f t="shared" si="21"/>
        <v>2019</v>
      </c>
      <c r="C34" s="98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-0.19402522113858015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25">
      <c r="A35" t="s">
        <v>24</v>
      </c>
      <c r="B35" s="171">
        <f t="shared" si="21"/>
        <v>2019</v>
      </c>
      <c r="C35" s="98">
        <f>SUMIFS('Resultater - Østdanmark'!H$3:H$474,'Resultater - Østdanmark'!$F$3:$F$474,'CO2-udledning'!$D$2,'Resultater - Østdanmark'!$A$3:$A$474,'CO2-udledning'!$G35)</f>
        <v>-127230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25">
      <c r="A36" s="171" t="s">
        <v>24</v>
      </c>
      <c r="B36" s="171">
        <f t="shared" si="21"/>
        <v>2019</v>
      </c>
      <c r="C36" s="98">
        <f>SUMIFS('Resultater - Østdanmark'!H$3:H$474,'Resultater - Østdanmark'!$F$3:$F$474,'CO2-udledning'!$D$2,'Resultater - Østdanmark'!$A$3:$A$474,'CO2-udledning'!$G36)</f>
        <v>-13276.84523309844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25">
      <c r="A37" s="171" t="s">
        <v>24</v>
      </c>
      <c r="B37" s="171">
        <f t="shared" si="21"/>
        <v>2019</v>
      </c>
      <c r="C37" s="98">
        <f>SUMIFS('Resultater - Østdanmark'!H$3:H$474,'Resultater - Østdanmark'!$F$3:$F$474,'CO2-udledning'!$D$2,'Resultater - Østdanmark'!$A$3:$A$474,'CO2-udledning'!$G37)</f>
        <v>0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25">
      <c r="A38" s="171" t="s">
        <v>24</v>
      </c>
      <c r="B38" s="171">
        <f t="shared" ref="B38:B46" si="31">År2</f>
        <v>2030</v>
      </c>
      <c r="C38" s="98">
        <f>SUMIF('Resultater - Østdanmark'!$F$3:$F$487,'CO2-udledning'!$D$2,'Resultater - Østdanmark'!I$3:I$487)</f>
        <v>1612660.652553597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25">
      <c r="A39" s="171" t="s">
        <v>24</v>
      </c>
      <c r="B39" s="171">
        <f t="shared" si="31"/>
        <v>2030</v>
      </c>
      <c r="C39" s="98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359274.67944464367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25">
      <c r="A40" s="171" t="s">
        <v>24</v>
      </c>
      <c r="B40" s="171">
        <f t="shared" si="31"/>
        <v>2030</v>
      </c>
      <c r="C40" s="76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1228927.7363285178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25">
      <c r="A41" s="171" t="s">
        <v>24</v>
      </c>
      <c r="B41" s="171">
        <f t="shared" si="31"/>
        <v>2030</v>
      </c>
      <c r="C41" s="76">
        <f>SUMIFS('Resultater - Østdanmark'!I$3:I$474,'Resultater - Østdanmark'!$F$3:$F$474,'CO2-udledning'!$D$2,'Resultater - Østdanmark'!$C$3:$C$474,'CO2-udledning'!$F5)</f>
        <v>117269.43380756295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25">
      <c r="A42" s="171" t="s">
        <v>24</v>
      </c>
      <c r="B42" s="171">
        <f t="shared" si="31"/>
        <v>2030</v>
      </c>
      <c r="C42" s="76">
        <f>SUMIFS('Resultater - Østdanmark'!I$3:I$474,'Resultater - Østdanmark'!$F$3:$F$474,'CO2-udledning'!$D$2,'Resultater - Østdanmark'!$C$3:$C$474,'CO2-udledning'!$F6)</f>
        <v>232146.66455890334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25">
      <c r="A43" s="171" t="s">
        <v>24</v>
      </c>
      <c r="B43" s="171">
        <f t="shared" si="31"/>
        <v>2030</v>
      </c>
      <c r="C43" s="98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-674.70029884327505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25">
      <c r="A44" s="171" t="s">
        <v>24</v>
      </c>
      <c r="B44" s="171">
        <f t="shared" si="31"/>
        <v>2030</v>
      </c>
      <c r="C44" s="98">
        <f>SUMIFS('Resultater - Østdanmark'!I$3:I$474,'Resultater - Østdanmark'!$F$3:$F$474,'CO2-udledning'!$D$2,'Resultater - Østdanmark'!$A$3:$A$474,'CO2-udledning'!$G35)</f>
        <v>-284715.40557504073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25">
      <c r="A45" s="171" t="s">
        <v>24</v>
      </c>
      <c r="B45" s="171">
        <f t="shared" si="31"/>
        <v>2030</v>
      </c>
      <c r="C45" s="98">
        <f>SUMIFS('Resultater - Østdanmark'!I$3:I$474,'Resultater - Østdanmark'!$F$3:$F$474,'CO2-udledning'!$D$2,'Resultater - Østdanmark'!$A$3:$A$474,'CO2-udledning'!$G36)</f>
        <v>-39567.755712146653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25">
      <c r="A46" s="171" t="s">
        <v>24</v>
      </c>
      <c r="B46" s="171">
        <f t="shared" si="31"/>
        <v>2030</v>
      </c>
      <c r="C46" s="98">
        <f>SUMIFS('Resultater - Østdanmark'!I$3:I$474,'Resultater - Østdanmark'!$F$3:$F$474,'CO2-udledning'!$D$2,'Resultater - Østdanmark'!$A$3:$A$474,'CO2-udledning'!$G37)</f>
        <v>0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25">
      <c r="A47" s="171" t="s">
        <v>24</v>
      </c>
      <c r="B47" s="171">
        <f t="shared" ref="B47:B55" si="41">År3</f>
        <v>2050</v>
      </c>
      <c r="C47" s="98">
        <f>SUMIF('Resultater - Østdanmark'!$F$3:$F$487,'CO2-udledning'!$D$2,'Resultater - Østdanmark'!J$3:J$487)</f>
        <v>1498435.4447871903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25">
      <c r="A48" s="171" t="s">
        <v>24</v>
      </c>
      <c r="B48" s="171">
        <f t="shared" si="41"/>
        <v>2050</v>
      </c>
      <c r="C48" s="98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358368.22621777962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25">
      <c r="A49" s="171" t="s">
        <v>24</v>
      </c>
      <c r="B49" s="171">
        <f t="shared" si="41"/>
        <v>2050</v>
      </c>
      <c r="C49" s="76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1215442.6627868579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25">
      <c r="A50" s="171" t="s">
        <v>24</v>
      </c>
      <c r="B50" s="171">
        <f t="shared" si="41"/>
        <v>2050</v>
      </c>
      <c r="C50" s="76">
        <f>SUMIFS('Resultater - Østdanmark'!J$3:J$474,'Resultater - Østdanmark'!$F$3:$F$474,'CO2-udledning'!$D$2,'Resultater - Østdanmark'!$C$3:$C$474,'CO2-udledning'!$F5)</f>
        <v>117269.43380756291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25">
      <c r="A51" s="171" t="s">
        <v>24</v>
      </c>
      <c r="B51" s="171">
        <f t="shared" si="41"/>
        <v>2050</v>
      </c>
      <c r="C51" s="76">
        <f>SUMIFS('Resultater - Østdanmark'!J$3:J$474,'Resultater - Østdanmark'!$F$3:$F$474,'CO2-udledning'!$D$2,'Resultater - Østdanmark'!$C$3:$C$474,'CO2-udledning'!$F6)</f>
        <v>232146.66455890334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25">
      <c r="A52" s="171" t="s">
        <v>24</v>
      </c>
      <c r="B52" s="171">
        <f t="shared" si="41"/>
        <v>2050</v>
      </c>
      <c r="C52" s="98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-8067.9044826491263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25">
      <c r="A53" s="171" t="s">
        <v>24</v>
      </c>
      <c r="B53" s="171">
        <f t="shared" si="41"/>
        <v>2050</v>
      </c>
      <c r="C53" s="98">
        <f>SUMIFS('Resultater - Østdanmark'!J$3:J$474,'Resultater - Østdanmark'!$F$3:$F$474,'CO2-udledning'!$D$2,'Resultater - Østdanmark'!$A$3:$A$474,'CO2-udledning'!$G35)</f>
        <v>-378382.64581405697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25">
      <c r="A54" s="171" t="s">
        <v>24</v>
      </c>
      <c r="B54" s="171">
        <f t="shared" si="41"/>
        <v>2050</v>
      </c>
      <c r="C54" s="98">
        <f>SUMIFS('Resultater - Østdanmark'!J$3:J$474,'Resultater - Østdanmark'!$F$3:$F$474,'CO2-udledning'!$D$2,'Resultater - Østdanmark'!$A$3:$A$474,'CO2-udledning'!$G36)</f>
        <v>-38340.992287207751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25">
      <c r="A55" s="171" t="s">
        <v>24</v>
      </c>
      <c r="B55" s="171">
        <f t="shared" si="41"/>
        <v>2050</v>
      </c>
      <c r="C55" s="98">
        <f>SUMIFS('Resultater - Østdanmark'!J$3:J$474,'Resultater - Østdanmark'!$F$3:$F$474,'CO2-udledning'!$D$2,'Resultater - Østdanmark'!$A$3:$A$474,'CO2-udledning'!$G37)</f>
        <v>0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290890.985086801</v>
      </c>
      <c r="C6" s="98">
        <v>1462811.7838699373</v>
      </c>
      <c r="D6" s="98">
        <v>41859.546279410672</v>
      </c>
      <c r="E6" s="98">
        <v>36323938.809274264</v>
      </c>
      <c r="F6" s="98">
        <v>284025.61835988262</v>
      </c>
      <c r="G6" s="98">
        <v>925011.48221335816</v>
      </c>
      <c r="H6" s="98">
        <v>2294255.2711495673</v>
      </c>
      <c r="I6" s="98">
        <v>6989859.2435773909</v>
      </c>
      <c r="J6" s="98">
        <v>7633952.6959113814</v>
      </c>
      <c r="K6" s="98">
        <v>1327226.7147852567</v>
      </c>
      <c r="L6" s="98">
        <v>196559.60980685451</v>
      </c>
      <c r="M6" s="98">
        <v>482021.37815281149</v>
      </c>
      <c r="N6" s="98">
        <v>6431901.2155842176</v>
      </c>
      <c r="O6" s="98">
        <v>64684314.354051135</v>
      </c>
    </row>
    <row r="7" spans="1:15" x14ac:dyDescent="0.25">
      <c r="A7" s="78">
        <v>2050</v>
      </c>
      <c r="B7" s="98">
        <v>298525.56791561138</v>
      </c>
      <c r="C7" s="98">
        <v>1502781.1107008122</v>
      </c>
      <c r="D7" s="98">
        <v>42956.187062954959</v>
      </c>
      <c r="E7" s="98">
        <v>37736958.706897601</v>
      </c>
      <c r="F7" s="98">
        <v>289344.48560341762</v>
      </c>
      <c r="G7" s="98">
        <v>949345.99548394862</v>
      </c>
      <c r="H7" s="98">
        <v>2355323.2838141397</v>
      </c>
      <c r="I7" s="98">
        <v>7206505.523105517</v>
      </c>
      <c r="J7" s="98">
        <v>7925117.269571091</v>
      </c>
      <c r="K7" s="98">
        <v>1362725.53997907</v>
      </c>
      <c r="L7" s="98">
        <v>202349.63153877269</v>
      </c>
      <c r="M7" s="98">
        <v>494167.70841044851</v>
      </c>
      <c r="N7" s="98">
        <v>6595761.847970549</v>
      </c>
      <c r="O7" s="98">
        <v>66961862.858053923</v>
      </c>
    </row>
    <row r="8" spans="1:15" x14ac:dyDescent="0.25">
      <c r="A8" s="78" t="s">
        <v>61</v>
      </c>
      <c r="B8" s="98">
        <v>874542.6549870912</v>
      </c>
      <c r="C8" s="98">
        <v>4468150.9301789645</v>
      </c>
      <c r="D8" s="98">
        <v>126543.62323513717</v>
      </c>
      <c r="E8" s="98">
        <v>92004336.211742043</v>
      </c>
      <c r="F8" s="98">
        <v>853979.5254162451</v>
      </c>
      <c r="G8" s="98">
        <v>2785932.1201823736</v>
      </c>
      <c r="H8" s="98">
        <v>6911897.3955972735</v>
      </c>
      <c r="I8" s="98">
        <v>23306152.736127324</v>
      </c>
      <c r="J8" s="98">
        <v>23506765.259329215</v>
      </c>
      <c r="K8" s="98">
        <v>4695054.426165103</v>
      </c>
      <c r="L8" s="98">
        <v>608691.6287406272</v>
      </c>
      <c r="M8" s="98">
        <v>1654596.9038416902</v>
      </c>
      <c r="N8" s="98">
        <v>15657086.199541338</v>
      </c>
      <c r="O8" s="98">
        <v>177453729.61508441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9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9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9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9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9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9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9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9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9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9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9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9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9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9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5381619.5037339376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9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224570.40950584275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9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370490.27594297461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9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28408153.283469509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9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217805.88377635827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9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1778992.2257450195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9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4923583.0761439931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9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5903489.3992296383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9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32105.259581147304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9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1025729.6203575714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9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1120053.9852881476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9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713505.92728443746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9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154484.73733408173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9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5523408.7197105791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9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229440.63810667559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9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378080.80621229054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9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29404263.983943939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9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220830.77573350482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9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1818589.8087592444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9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5024574.3595380196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9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6101831.6290168501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9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32793.097303413146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9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1048609.453845398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9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1145476.8591293055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9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729011.95091777691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9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158491.06742829576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9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9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9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9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9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9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9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9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9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9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9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9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9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9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1608239.7398434528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9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66320.575580958233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9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111531.10220983687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9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7915785.5258047525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9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66219.734583524318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9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515263.04540454788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9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1508318.1394402247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9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1730463.2966817433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9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9754.2866982633659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9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301497.09442768525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9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342757.79858178977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9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211505.55492892067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9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42074.872472772768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9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1683096.8033949384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9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69084.929808935805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9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116086.90219815794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9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8332694.7229536632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9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68513.709869912811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9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536733.47505489504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9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1571187.4884325294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9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1823285.6405542411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9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10163.089759541812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9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314116.08613367198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9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357304.25157150667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9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220334.04456617165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9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43858.564110476924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41">
        <v>3010238.4923246857</v>
      </c>
      <c r="C6" s="241">
        <v>827693.20492220437</v>
      </c>
      <c r="D6" s="241">
        <v>3837931.69724689</v>
      </c>
    </row>
    <row r="7" spans="1:4" x14ac:dyDescent="0.25">
      <c r="A7" s="78">
        <v>2030</v>
      </c>
      <c r="B7" s="241">
        <v>2863430.3661416383</v>
      </c>
      <c r="C7" s="241">
        <v>792440.79236345144</v>
      </c>
      <c r="D7" s="241">
        <v>3655871.1585050896</v>
      </c>
    </row>
    <row r="8" spans="1:4" x14ac:dyDescent="0.25">
      <c r="A8" s="78">
        <v>2050</v>
      </c>
      <c r="B8" s="241">
        <v>2859899.9612931921</v>
      </c>
      <c r="C8" s="241">
        <v>871392.37125140009</v>
      </c>
      <c r="D8" s="241">
        <v>3731292.3325445922</v>
      </c>
    </row>
    <row r="9" spans="1:4" x14ac:dyDescent="0.25">
      <c r="A9" s="78" t="s">
        <v>61</v>
      </c>
      <c r="B9" s="241">
        <v>8733568.819759516</v>
      </c>
      <c r="C9" s="241">
        <v>2491526.3685370558</v>
      </c>
      <c r="D9" s="241">
        <v>11225095.188296571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41">
        <v>880.09999999999991</v>
      </c>
      <c r="C6" s="241">
        <v>76.5</v>
      </c>
      <c r="D6" s="241">
        <v>956.59999999999991</v>
      </c>
    </row>
    <row r="7" spans="1:4" x14ac:dyDescent="0.25">
      <c r="A7" s="78">
        <v>2030</v>
      </c>
      <c r="B7" s="241">
        <v>148232.6739623498</v>
      </c>
      <c r="C7" s="241">
        <v>14400</v>
      </c>
      <c r="D7" s="241">
        <v>162632.6739623498</v>
      </c>
    </row>
    <row r="8" spans="1:4" x14ac:dyDescent="0.25">
      <c r="A8" s="78">
        <v>2050</v>
      </c>
      <c r="B8" s="241">
        <v>243411.82603765032</v>
      </c>
      <c r="C8" s="241">
        <v>18000</v>
      </c>
      <c r="D8" s="241">
        <v>261411.82603765032</v>
      </c>
    </row>
    <row r="9" spans="1:4" x14ac:dyDescent="0.25">
      <c r="A9" s="78" t="s">
        <v>61</v>
      </c>
      <c r="B9" s="241">
        <v>392524.60000000009</v>
      </c>
      <c r="C9" s="241">
        <v>32476.5</v>
      </c>
      <c r="D9" s="241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41">
        <v>65860</v>
      </c>
      <c r="C5" s="241">
        <v>591230</v>
      </c>
      <c r="D5" s="241">
        <v>2578370</v>
      </c>
      <c r="E5" s="241">
        <v>472920</v>
      </c>
      <c r="F5" s="241">
        <v>561900</v>
      </c>
      <c r="G5" s="241">
        <v>4270280</v>
      </c>
    </row>
    <row r="6" spans="1:7" x14ac:dyDescent="0.25">
      <c r="A6" s="78">
        <v>2030</v>
      </c>
      <c r="B6" s="241">
        <v>65860</v>
      </c>
      <c r="C6" s="241">
        <v>591230</v>
      </c>
      <c r="D6" s="241">
        <v>2501770</v>
      </c>
      <c r="E6" s="241">
        <v>487920</v>
      </c>
      <c r="F6" s="241">
        <v>623500</v>
      </c>
      <c r="G6" s="241">
        <v>4270280</v>
      </c>
    </row>
    <row r="7" spans="1:7" x14ac:dyDescent="0.25">
      <c r="A7" s="78">
        <v>2050</v>
      </c>
      <c r="B7" s="241">
        <v>65860</v>
      </c>
      <c r="C7" s="241">
        <v>591230</v>
      </c>
      <c r="D7" s="241">
        <v>2440169.9999999995</v>
      </c>
      <c r="E7" s="241">
        <v>487920</v>
      </c>
      <c r="F7" s="241">
        <v>685100</v>
      </c>
      <c r="G7" s="241">
        <v>4270280</v>
      </c>
    </row>
    <row r="8" spans="1:7" x14ac:dyDescent="0.25">
      <c r="A8" s="78" t="s">
        <v>61</v>
      </c>
      <c r="B8" s="241">
        <v>197580</v>
      </c>
      <c r="C8" s="241">
        <v>1773690</v>
      </c>
      <c r="D8" s="241">
        <v>7520310</v>
      </c>
      <c r="E8" s="241">
        <v>1448760</v>
      </c>
      <c r="F8" s="241">
        <v>1870500</v>
      </c>
      <c r="G8" s="241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41">
        <v>76853.212866422313</v>
      </c>
      <c r="C6" s="241">
        <v>5114.7808931059071</v>
      </c>
      <c r="D6" s="241">
        <v>288931.41565564787</v>
      </c>
      <c r="E6" s="241">
        <v>12752.078568827996</v>
      </c>
      <c r="F6" s="241">
        <v>18942.69646674622</v>
      </c>
      <c r="G6" s="241">
        <v>55075.520801981496</v>
      </c>
      <c r="H6" s="241">
        <v>1337821.3326830014</v>
      </c>
      <c r="I6" s="241">
        <v>180140.67588310441</v>
      </c>
      <c r="J6" s="241">
        <v>69938.636069140397</v>
      </c>
      <c r="K6" s="241">
        <v>161431.62233269325</v>
      </c>
      <c r="L6" s="241">
        <v>33966.356863719026</v>
      </c>
      <c r="M6" s="241">
        <v>221005.01507630604</v>
      </c>
      <c r="N6" s="241">
        <v>8579.6273865744097</v>
      </c>
      <c r="O6" s="241">
        <v>107817.02845272887</v>
      </c>
      <c r="P6" s="241">
        <v>2578370</v>
      </c>
    </row>
    <row r="7" spans="1:16" x14ac:dyDescent="0.25">
      <c r="A7" s="78">
        <v>2030</v>
      </c>
      <c r="B7" s="241">
        <v>74183.803587131348</v>
      </c>
      <c r="C7" s="241">
        <v>4853.1770030289581</v>
      </c>
      <c r="D7" s="241">
        <v>614009.9839605958</v>
      </c>
      <c r="E7" s="241">
        <v>12260.644279007083</v>
      </c>
      <c r="F7" s="241">
        <v>18194.810700511243</v>
      </c>
      <c r="G7" s="241">
        <v>52970.654930914927</v>
      </c>
      <c r="H7" s="241">
        <v>966609.27748625283</v>
      </c>
      <c r="I7" s="241">
        <v>162670.5326839725</v>
      </c>
      <c r="J7" s="241">
        <v>43656.858578083113</v>
      </c>
      <c r="K7" s="241">
        <v>108216.1106595821</v>
      </c>
      <c r="L7" s="241">
        <v>78362.46663239249</v>
      </c>
      <c r="M7" s="241">
        <v>257867.80103200703</v>
      </c>
      <c r="N7" s="241">
        <v>7716.8760454422081</v>
      </c>
      <c r="O7" s="241">
        <v>99823.678331425646</v>
      </c>
      <c r="P7" s="241">
        <v>2501396.6759103471</v>
      </c>
    </row>
    <row r="8" spans="1:16" x14ac:dyDescent="0.25">
      <c r="A8" s="78">
        <v>2050</v>
      </c>
      <c r="B8" s="241">
        <v>72275.665119207741</v>
      </c>
      <c r="C8" s="241">
        <v>4728.1172142829364</v>
      </c>
      <c r="D8" s="241">
        <v>598548.38396059559</v>
      </c>
      <c r="E8" s="241">
        <v>11939.949346977701</v>
      </c>
      <c r="F8" s="241">
        <v>17727.455506089249</v>
      </c>
      <c r="G8" s="241">
        <v>51621.782251781951</v>
      </c>
      <c r="H8" s="241">
        <v>941813.22356629348</v>
      </c>
      <c r="I8" s="241">
        <v>158496.56058649404</v>
      </c>
      <c r="J8" s="241">
        <v>42549.988492615776</v>
      </c>
      <c r="K8" s="241">
        <v>105423.80184271638</v>
      </c>
      <c r="L8" s="241">
        <v>76300.904828300088</v>
      </c>
      <c r="M8" s="241">
        <v>253508.19426480078</v>
      </c>
      <c r="N8" s="241">
        <v>7537.157461474726</v>
      </c>
      <c r="O8" s="241">
        <v>97335.327401064031</v>
      </c>
      <c r="P8" s="241">
        <v>2439806.5118426941</v>
      </c>
    </row>
    <row r="9" spans="1:16" x14ac:dyDescent="0.25">
      <c r="A9" s="78" t="s">
        <v>61</v>
      </c>
      <c r="B9" s="241">
        <v>223312.68157276139</v>
      </c>
      <c r="C9" s="241">
        <v>14696.075110417802</v>
      </c>
      <c r="D9" s="241">
        <v>1501489.7835768391</v>
      </c>
      <c r="E9" s="241">
        <v>36952.672194812782</v>
      </c>
      <c r="F9" s="241">
        <v>54864.962673346716</v>
      </c>
      <c r="G9" s="241">
        <v>159667.95798467839</v>
      </c>
      <c r="H9" s="241">
        <v>3246243.833735548</v>
      </c>
      <c r="I9" s="241">
        <v>501307.76915357099</v>
      </c>
      <c r="J9" s="241">
        <v>156145.48313983929</v>
      </c>
      <c r="K9" s="241">
        <v>375071.53483499179</v>
      </c>
      <c r="L9" s="241">
        <v>188629.72832441161</v>
      </c>
      <c r="M9" s="241">
        <v>732381.01037311379</v>
      </c>
      <c r="N9" s="241">
        <v>23833.660893491346</v>
      </c>
      <c r="O9" s="241">
        <v>304976.03418521857</v>
      </c>
      <c r="P9" s="241">
        <v>7519573.1877530413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1791858.8572342743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490276.74059587362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1736252.1166384006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545883.48119174724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546177.14276572561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133223.25940412635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540183.88336159918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139216.51880825273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8065001.0864567999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14232454.554315863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7721242.9104568008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877744.4345664084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13551675.866315866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528953.31354319979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623909.73940601887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4373607.2732361918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2056610.6420093102</v>
      </c>
      <c r="J16" s="76">
        <f t="shared" si="2"/>
        <v>2056610.6420093102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2787012.6456841351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48011.920691725383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185326.01387005998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79264.908013529261</v>
      </c>
      <c r="J17" s="76">
        <f t="shared" si="2"/>
        <v>79264.908013529261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872711.48954319966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70259.109449246753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309140.08157668571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237874.25042587356</v>
      </c>
      <c r="J18" s="76">
        <f t="shared" si="2"/>
        <v>237874.25042587356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236226.76543359147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389039.43578841945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19304136.803821374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19304136.803821374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3467791.3336841348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8069.2150499893842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167436.21228727975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167436.21228727975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33939.868192186092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1441456.730045914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1441456.730045914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51872.305654463133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4214818.3878044365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4214818.3878044365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105024.04342368516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4674620.172788227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4674620.172788227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3146.7111847138076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26715.577958220227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26715.577958220227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27850.682564630642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829837.36436016392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829837.36436016392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62611.02615456815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894640.23473164067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214121.570015223</v>
      </c>
      <c r="J26" s="76">
        <f t="shared" si="2"/>
        <v>214121.570015223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11759.429887638771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587971.4943819386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587971.4943819386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4522.0169004115751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110293.09513198964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110293.09513198964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109694.9188294395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1512692.9306579707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1512692.9306579707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576591.97905547544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4041909.7731788829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1900635.8217001744</v>
      </c>
      <c r="J30" s="76">
        <f t="shared" si="2"/>
        <v>1900635.8217001744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44370.662327297228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171270.75658336733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73253.400763838363</v>
      </c>
      <c r="J31" s="76">
        <f t="shared" si="2"/>
        <v>73253.400763838363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64930.608396310665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285694.67694376694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219833.69733892806</v>
      </c>
      <c r="J32" s="76">
        <f t="shared" si="2"/>
        <v>219833.69733892806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359534.40705289674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17840097.277964737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17840097.277964737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7457.2400160431316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154737.73033289498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154737.73033289498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31365.844342236556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1332135.6218790098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1332135.6218790098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47938.272936646019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3895163.5502552376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3895163.5502552376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97058.944942455943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4320093.639388714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4320093.639388714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2908.0623604905873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24689.449440565091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24689.449440565091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25738.466902719567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766901.90582075517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766901.90582075517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57862.561202403813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826790.08020882867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197882.43717926473</v>
      </c>
      <c r="J40" s="76">
        <f t="shared" si="2"/>
        <v>197882.43717926473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10867.586324157863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543379.31620789308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543379.31620789308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4179.063908207143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101928.38800505229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101928.38800505229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101375.57782061782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1397969.21814632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1397969.21814632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97373.196323482727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457332.69117250136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215052.52320201404</v>
      </c>
      <c r="J58" s="76">
        <f t="shared" si="2"/>
        <v>215052.52320201404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7493.1899345467373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16486.516493989733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7051.3695625908404</v>
      </c>
      <c r="J59" s="76">
        <f t="shared" si="2"/>
        <v>7051.3695625908404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10965.294538321748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26536.012782738631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20418.685657943486</v>
      </c>
      <c r="J60" s="76">
        <f t="shared" si="2"/>
        <v>20418.685657943486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60717.137377383391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2349971.7981992955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2349971.7981992955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1259.3572621370715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14895.048017926212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14895.048017926212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5296.973648491472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128231.32413529836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128231.32413529836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8095.677761101183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374948.29473011725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374948.29473011725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16391.035678841039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605538.94839412824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605538.94839412824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491.10521379926485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2376.6054611387822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2376.6054611387822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4346.6383193354177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73821.948193658493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73821.948193658493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9771.6630414643932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79586.781575259811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19048.155852799315</v>
      </c>
      <c r="J68" s="76">
        <f t="shared" si="2"/>
        <v>19048.155852799315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1835.286745469635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52305.672245884591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52305.672245884591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705.74830237637309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9811.6227403544544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9811.6227403544544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17120.016233496339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236085.02385991454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236085.02385991454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122307.389496616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574441.11624875641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270120.66678102472</v>
      </c>
      <c r="J72" s="76">
        <f t="shared" ref="J72:J139" si="15">IF(I72&lt;&gt;0,I72,H72)</f>
        <v>270120.66678102472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9411.9586754872907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20708.191477807137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8857.0020923550001</v>
      </c>
      <c r="J73" s="76">
        <f t="shared" si="15"/>
        <v>8857.0020923550001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13773.159356793169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33331.045643439473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25647.264689541604</v>
      </c>
      <c r="J74" s="76">
        <f t="shared" si="15"/>
        <v>25647.264689541604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76264.874223341743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2951725.1859905296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2951725.1859905296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1581.8387912818764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18709.198303886395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18709.198303886395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6653.3609210804825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161067.30700900755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161067.30700900755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10168.724562318854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470960.6838035878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470960.6838035878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20588.261048399749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760598.30438934651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760598.30438934651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616.86171283133672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2985.1788869046882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2985.1788869046882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5459.6747975465751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92725.412249236761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92725.412249236761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12273.876618691718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99966.436970703828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23925.78558622019</v>
      </c>
      <c r="J82" s="76">
        <f t="shared" si="15"/>
        <v>23925.78558622019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2305.2455839122736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65699.499141499793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65699.499141499793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886.46810174090911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12324.068731519956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12324.068731519956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21503.910446797723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296538.92506134062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296538.92506134062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12397.451002927566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104287.35783662667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49039.265886152367</v>
      </c>
      <c r="J100" s="76">
        <f t="shared" si="15"/>
        <v>49039.265886152367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1062.761606425149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4922.7117609612906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2105.4696357053253</v>
      </c>
      <c r="J101" s="76">
        <f t="shared" si="15"/>
        <v>2105.4696357053253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1137.9870596805204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6008.5716751131476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4623.4201532780708</v>
      </c>
      <c r="J102" s="76">
        <f t="shared" si="15"/>
        <v>4623.4201532780708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10501.746271795293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625315.98000777897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625315.98000777897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49.117062325833871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1223.0148519132633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1223.0148519132633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775.43110733760068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39519.907927612192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39519.907927612192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20.343682789424093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1983.6001630858166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1983.6001630858166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2626.0637331851003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140263.31611688258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140263.31611688258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44.737253203575285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455.78313563802504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455.78313563802504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791.21864877871178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28290.127393960796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28290.127393960796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1952.9609549061931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33486.704584058869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8014.6470970260507</v>
      </c>
      <c r="J110" s="76">
        <f t="shared" si="15"/>
        <v>8014.6470970260507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224.38166373606674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13462.899824164006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13462.899824164006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368.51743073956908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10785.876021645925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10785.876021645925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40667.094971784412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672959.08759308851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672959.08759308851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11824.158471000279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99464.821058054338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46771.554168873641</v>
      </c>
      <c r="J114" s="76">
        <f t="shared" si="15"/>
        <v>46771.554168873641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1013.616561041327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4695.0719107434261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2008.1068779848476</v>
      </c>
      <c r="J115" s="76">
        <f t="shared" si="15"/>
        <v>2008.1068779848476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1085.3633806201497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5730.7186496743898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4409.6203774039413</v>
      </c>
      <c r="J116" s="76">
        <f t="shared" si="15"/>
        <v>4409.6203774039413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10016.116386394353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596399.6341114653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596399.6341114653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46.845753085332873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1166.4592518247885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1166.4592518247885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739.57302144915673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37692.397734427817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37692.397734427817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19.402934452340897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1891.8729879142179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1891.8729879142179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2504.6272599742283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133777.15120974349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133777.15120974349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42.668478488959082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434.70645884551516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434.70645884551516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754.6305031704477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26981.913410425037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26981.913410425037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1862.6506217313402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31938.18645300412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7644.0275780884303</v>
      </c>
      <c r="J124" s="76">
        <f t="shared" si="15"/>
        <v>7644.0275780884303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214.00563304306942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12840.337982584166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12840.337982584166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351.476162266063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10287.107188275015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10287.107188275015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38786.535666730793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641839.59221306117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641839.59221306117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1934.8622952545911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10904.961290546686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5127.863120696511</v>
      </c>
      <c r="J142" s="76">
        <f t="shared" si="29"/>
        <v>5127.863120696511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165.86452817039898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437.9221618566142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187.30160516476849</v>
      </c>
      <c r="J143" s="76">
        <f t="shared" si="29"/>
        <v>187.30160516476849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177.60491682875178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515.76467847069523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396.86583396635473</v>
      </c>
      <c r="J144" s="76">
        <f t="shared" si="29"/>
        <v>396.86583396635473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1639.0008632281672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76122.280572045231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76122.280572045231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7.6656686866908359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108.79883567020302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108.79883567020302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121.0210398734984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3515.6727341384499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3515.6727341384499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3.1750256376557835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176.46015323636252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176.46015323636252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409.84809708669195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18169.369446123346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18169.369446123346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6.9821146618296694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40.54625697959078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40.54625697959078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123.48499142789146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2516.6766508269175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2516.6766508269175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304.79737446512843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2978.9617546165664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712.97929955624829</v>
      </c>
      <c r="J152" s="76">
        <f t="shared" si="29"/>
        <v>712.97929955624829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35.01910358886591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1197.6533427392139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1197.6533427392139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57.514281098083039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959.50654319728767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959.50654319728767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6346.8876545559488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105028.29690759185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105028.29690759185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2508.1548271818774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14136.060932190147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6647.2299712732556</v>
      </c>
      <c r="J156" s="76">
        <f t="shared" si="29"/>
        <v>6647.2299712732556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215.00957355422085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567.67687648079607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242.79837706544063</v>
      </c>
      <c r="J157" s="76">
        <f t="shared" si="29"/>
        <v>242.79837706544063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230.22859588912263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668.58384246201217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514.45571069712639</v>
      </c>
      <c r="J158" s="76">
        <f t="shared" si="29"/>
        <v>514.45571069712639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2124.6307486291057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98677.030371169749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98677.030371169749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9.9369779271918226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141.03552772063352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141.03552772063352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156.87912576194233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4557.3535442535449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4557.3535442535449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4.1157739747389783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228.74464308417362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228.74464308417362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531.28457029756362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23552.886319048779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23552.886319048779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9.0508893764458662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52.559962751321372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52.559962751321372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160.07313703615557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3262.3586214422994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3262.3586214422994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395.1077076399813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3861.6170893177714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924.2324253506921</v>
      </c>
      <c r="J166" s="76">
        <f t="shared" si="29"/>
        <v>924.2324253506921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45.395134281863214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1552.5135924397218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1552.5135924397218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74.555549571589111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1243.8047782187059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1243.8047782187059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8227.4469596095623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136147.79228761903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136147.79228761903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6829.6764788402734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67026.444963338436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31517.987646306185</v>
      </c>
      <c r="J184" s="76">
        <f t="shared" si="29"/>
        <v>31517.987646306185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393.24746020858441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2125.1092749671902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908.9203813398658</v>
      </c>
      <c r="J185" s="76">
        <f t="shared" si="29"/>
        <v>908.9203813398658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509.2376538265151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3136.903947571333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2413.7558332156746</v>
      </c>
      <c r="J186" s="76">
        <f t="shared" si="29"/>
        <v>2413.7558332156746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11744.627821749295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815875.80552127992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815875.80552127992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13.650927813648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396.55945298647441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396.55945298647441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722.54761223276046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42962.145802906423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42962.145802906423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7.81367517821608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888.84636922823381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888.84636922823381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971.70700105983565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60550.950064042598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60550.950064042598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27.846169827307591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330.97957456737799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330.97957456737799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492.48461375505457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20543.661222135182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20543.661222135182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1566.9213854799195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31345.33009747367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7502.1344139856974</v>
      </c>
      <c r="J194" s="76">
        <f t="shared" si="29"/>
        <v>7502.1344139856974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139.66369115457903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9776.4583808205316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9776.4583808205316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329.67947330545348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11257.347868966703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11257.347868966703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31481.370371455621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607779.3363913222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607779.3363913222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6513.8532890673114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63926.956178906585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30060.508448789125</v>
      </c>
      <c r="J198" s="76">
        <f t="shared" si="29"/>
        <v>30060.508448789125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375.06260655732041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2026.8383258357594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866.88938104669273</v>
      </c>
      <c r="J199" s="76">
        <f t="shared" si="29"/>
        <v>866.88938104669273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485.68909179985542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2991.8448054871092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2302.1370663617704</v>
      </c>
      <c r="J200" s="76">
        <f t="shared" si="29"/>
        <v>2302.1370663617704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11201.523645021003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778147.44457231904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778147.44457231904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13.019671036138266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378.22144359981667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378.22144359981667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689.13500588673674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40975.456979650633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40975.456979650633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7.4523491584141794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847.7436469517836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847.7436469517836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926.7725732651611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57750.906130445248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57750.906130445248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26.558485673443656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315.67416071455131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315.67416071455131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469.71075878372255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19593.665327469971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19593.665327469971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1494.4625930877842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29895.835064064475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7155.2149035123675</v>
      </c>
      <c r="J208" s="76">
        <f t="shared" si="29"/>
        <v>7155.2149035123675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133.20525456939615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9324.3678198577309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9324.3678198577309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314.43417974219551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10736.776869245699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10736.776869245699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30025.584458324727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579673.93355241721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579673.93355241721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1065.9032654837422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7008.7190137964881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3295.7248353854275</v>
      </c>
      <c r="J226" s="76">
        <f t="shared" si="42"/>
        <v>3295.7248353854275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61.373881073016072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189.04873839158992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80.857136813991545</v>
      </c>
      <c r="J227" s="76">
        <f t="shared" si="42"/>
        <v>80.857136813991545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79.476396839976346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269.26603249383987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207.19233597255936</v>
      </c>
      <c r="J228" s="76">
        <f t="shared" si="42"/>
        <v>207.19233597255936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1832.9765964579826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99319.910198139638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99319.910198139638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2.1304916240953529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35.277745557582897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35.277745557582897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112.76754641782966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3821.8926237383225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3821.8926237383225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1.2194753168314114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79.071361979320926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79.071361979320926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151.6536938070264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7843.6230689895647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7843.6230689895647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4.3459340192907803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29.443789899375417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29.443789899375417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76.861760528245512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1827.5546023621989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1827.5546023621989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244.54842432345563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2788.4660705209226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667.3864082730629</v>
      </c>
      <c r="J236" s="76">
        <f t="shared" si="42"/>
        <v>667.3864082730629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21.797223474992101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869.70921665218475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869.70921665218475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51.452865775995633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1001.4484607132807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1001.4484607132807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4913.2774568167742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94855.734581304656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94855.734581304656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1381.7264552567024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9085.3764993658169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4272.2358977218491</v>
      </c>
      <c r="J240" s="76">
        <f t="shared" si="42"/>
        <v>4272.2358977218491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79.558734724280086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245.06317939650546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104.81480698110011</v>
      </c>
      <c r="J241" s="76">
        <f t="shared" si="42"/>
        <v>104.81480698110011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103.024958866636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349.0485606401628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268.58265774220655</v>
      </c>
      <c r="J242" s="76">
        <f t="shared" si="42"/>
        <v>268.58265774220655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2376.0807731862733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128748.03173832915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128748.03173832915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2.7617484016050868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45.730410907977834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45.730410907977834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146.18015276385327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4954.3052529941224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4954.3052529941224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1.5808013366333109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102.49991367689748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102.49991367689748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196.58812160170083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10167.65953387536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10167.65953387536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5.6336181731547148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38.167875795486651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38.167875795486651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99.635615499577497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2369.0522623213683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2369.0522623213683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317.00721671559063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3614.678239564159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865.13052924285921</v>
      </c>
      <c r="J250" s="76">
        <f t="shared" si="42"/>
        <v>865.13052924285921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28.255660060174939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1127.4008364009799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1127.4008364009799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66.698159339253593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1298.1739305542526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1298.1739305542526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6369.0633699476693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122961.13742020971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122961.13742020971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190174.15207493372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1333120.8060452854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626876.22950838727</v>
      </c>
      <c r="J268" s="76">
        <f t="shared" si="42"/>
        <v>626876.22950838727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14634.530814874721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56489.288945416425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24160.765121444623</v>
      </c>
      <c r="J269" s="76">
        <f t="shared" si="42"/>
        <v>24160.765121444623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21415.704421878378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94229.09945626487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72506.535830436726</v>
      </c>
      <c r="J270" s="76">
        <f t="shared" si="42"/>
        <v>72506.535830436726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118583.25035158051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5884100.8824454248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5884100.8824454248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2459.5803417061084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51036.292090401752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51036.292090401752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10345.22343108295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439370.94434551767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439370.94434551767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15811.216143862219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1284720.3087639688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1284720.3087639688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32012.416450807639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1424872.6562254482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1424872.6562254482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959.15016801528964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8143.1849264498105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8143.1849264498105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8489.1765698018808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252943.02550483562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252943.02550483562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19084.489401980361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272695.61173093005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65266.472771150577</v>
      </c>
      <c r="J278" s="76">
        <f t="shared" si="55"/>
        <v>65266.472771150577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3584.3960536589798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179219.802682949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179219.802682949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1378.3575978842866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33618.477997177724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33618.477997177724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33436.147663246578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461084.4762761704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461084.4762761704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179389.67006955924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1257521.5871876103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591327.04817660281</v>
      </c>
      <c r="J282" s="76">
        <f t="shared" si="55"/>
        <v>591327.04817660281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13804.629208856637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53285.868746186621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22790.645502950778</v>
      </c>
      <c r="J283" s="76">
        <f t="shared" si="55"/>
        <v>22790.645502950778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20201.252949634338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88885.512978391082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68394.802335617322</v>
      </c>
      <c r="J284" s="76">
        <f t="shared" si="55"/>
        <v>68394.802335617322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111858.57764710314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5550422.6228492586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5550422.6228492586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2320.101344973416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48142.102908198387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48142.102908198387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9758.5618121573061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414454.89770469151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414454.89770469151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14914.586532918138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1211865.8072418857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1211865.8072418857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30197.041830253234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1344070.3318645717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1344070.3318645717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904.75824558759291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7681.3975050386643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7681.3975050386643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8007.7684974714139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238599.01777729217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238599.01777729217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18002.237527623009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257231.46539153677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61565.312053592112</v>
      </c>
      <c r="J292" s="76">
        <f t="shared" si="55"/>
        <v>61565.312053592112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3381.1304977511027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169056.52488755516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169056.52488755516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1300.1930705330769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31712.026110562852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31712.026110562852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31540.035447842853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434937.08882575296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434937.08882575296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29680.358994353821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139399.74208878161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65550.236946859717</v>
      </c>
      <c r="J310" s="76">
        <f t="shared" si="55"/>
        <v>65550.236946859717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2284.0019190844941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5025.2610223697038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2149.3304925955649</v>
      </c>
      <c r="J311" s="76">
        <f t="shared" si="55"/>
        <v>2149.3304925955649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3342.3353722006718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8088.4516007256261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6223.8269195490493</v>
      </c>
      <c r="J312" s="76">
        <f t="shared" si="55"/>
        <v>6223.8269195490493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18507.212482616615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716295.74904220039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716295.74904220039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383.86514003505738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4540.1649437646402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4540.1649437646402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1614.5724430013856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39086.236031661952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39086.236031661952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2467.64645019815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114288.12457732647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114288.12457732647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4996.1574807618863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184574.54465903059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184574.54465903059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149.69395685787757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724.4139654223269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724.4139654223269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1324.9003895066519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22501.694581037111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22501.694581037111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2978.5041263206344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24258.87551756655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5806.0752366936849</v>
      </c>
      <c r="J320" s="76">
        <f t="shared" si="55"/>
        <v>5806.0752366936849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559.41441299880034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15943.31077046581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15943.31077046581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215.11939388945515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2990.6842565119373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2990.6842565119373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5218.3583058246104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71961.161037321377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71961.161037321377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38052.354257179235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178720.49223969373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84040.116846917197</v>
      </c>
      <c r="J324" s="76">
        <f t="shared" si="55"/>
        <v>84040.116846917197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2928.2546806665596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6442.745948402564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2755.596228993139</v>
      </c>
      <c r="J325" s="76">
        <f t="shared" si="55"/>
        <v>2755.596228993139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4285.1142620436467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10369.976514145626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7979.3936058220206</v>
      </c>
      <c r="J326" s="76">
        <f t="shared" si="55"/>
        <v>7979.3936058220206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23727.577076658243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918342.65214414988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918342.65214414988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492.14270953981543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5820.8178970821664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5820.8178970821664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2069.9979601545801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50111.364904294518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50111.364904294518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3163.7001736493021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146525.59305742799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146525.59305742799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6405.4331155082618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236637.83721615636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236637.83721615636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191.91841573070153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928.75078924558386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928.75078924558386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1698.6175600696938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28848.790331254411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28848.790331254411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3818.6564452533657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31101.622633703992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7443.8059119343161</v>
      </c>
      <c r="J334" s="76">
        <f t="shared" si="55"/>
        <v>7443.8059119343161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717.2094995229611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20440.47073640439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20440.47073640439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275.79853011307694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3834.2722479135091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3834.2722479135091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6690.3105495424243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92259.382478190048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92259.382478190048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1752.9487519585884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14745.804901475647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6933.951173656309</v>
      </c>
      <c r="J352" s="76">
        <f t="shared" si="60"/>
        <v>6933.951173656309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47.402536309570174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219.56854818592902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93.910619514131326</v>
      </c>
      <c r="J353" s="76">
        <f t="shared" si="60"/>
        <v>93.910619514131326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191.46624906280843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1010.9417950516286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777.89014124472294</v>
      </c>
      <c r="J354" s="76">
        <f t="shared" si="60"/>
        <v>777.89014124472294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562.99099727781993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33522.735941910505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33522.735941910505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10.662439786194978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265.49475067625497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265.49475067625497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18.127123488677832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923.85028726105998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923.85028726105998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50.643369270114505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4937.9552651911044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4937.9552651911044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53.993646777040333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2883.9086616552786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2883.9086616552786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11.647539532185737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118.66513275390831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118.66513275390831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83.169081452753318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2973.7215031127798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2973.7215031127798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603.80358732362868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10353.198462420129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2477.9157290165494</v>
      </c>
      <c r="J362" s="76">
        <f t="shared" si="60"/>
        <v>2477.9157290165494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18.25162816502359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1095.0976899014156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1095.0976899014156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38.736771764982237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1133.7591736092363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1133.7591736092363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4383.0738282155862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72531.105709311538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72531.105709311538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1671.8875379951853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14063.917969615499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6613.3060326779805</v>
      </c>
      <c r="J366" s="76">
        <f t="shared" si="60"/>
        <v>6613.3060326779805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45.21051150912762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209.41508931027917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89.56793190654146</v>
      </c>
      <c r="J367" s="76">
        <f t="shared" si="60"/>
        <v>89.56793190654146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182.61231847030859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964.19304152322934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741.91834280566047</v>
      </c>
      <c r="J368" s="76">
        <f t="shared" si="60"/>
        <v>741.91834280566047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536.95673150774724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31972.551620897299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31972.551620897299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10.169378986833362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253.21753677215071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253.21753677215071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17.288875003652265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881.12888669407448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881.12888669407448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48.301479361669905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4709.6105130435399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4709.6105130435399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51.496830741107829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2750.5487235440514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2750.5487235440514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11.108924987344778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113.17772777106862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113.17772777106862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79.323112368232927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2836.2083700208591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2836.2083700208591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575.88203415259386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9874.4378398804711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2363.3300305649177</v>
      </c>
      <c r="J376" s="76">
        <f t="shared" si="60"/>
        <v>2363.3300305649177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17.407622238317295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1044.4573342990377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1044.4573342990377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36.945475960821213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1081.3310037313527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1081.3310037313527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4180.3883332692003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69177.066138938724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69177.066138938724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273.58159712648495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1541.9168246687541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725.05882503724069</v>
      </c>
      <c r="J394" s="76">
        <f t="shared" si="60"/>
        <v>725.05882503724069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7.3980837014936114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19.532716512031495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8.3542452851010474</v>
      </c>
      <c r="J395" s="76">
        <f t="shared" si="60"/>
        <v>8.3542452851010474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29.882015749686865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86.77737373709067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66.772650852509457</v>
      </c>
      <c r="J396" s="76">
        <f t="shared" si="60"/>
        <v>66.772650852509457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87.865646973995027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4080.8602250672566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4080.8602250672566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1.6640801978454596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23.618290248020603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23.618290248020603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2.8290886369612802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82.185294340738224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82.185294340738224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7.9038784410005301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439.27821694387916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439.27821694387916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8.4267541212721913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373.57452663407389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373.57452663407389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1.8178240888382367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10.556395335737855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10.556395335737855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12.9801456602563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264.54088978558201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264.54088978558201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94.235241952242646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921.01574761066934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220.43423739632777</v>
      </c>
      <c r="J404" s="76">
        <f t="shared" si="60"/>
        <v>220.43423739632777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2.8485200026337401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97.419384090073905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97.419384090073905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6.0456233390434706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100.85869180257887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100.85869180257887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684.06354544405099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11319.883550008157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11319.883550008157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354.6428110898878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1998.7810690150513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939.89106949271923</v>
      </c>
      <c r="J408" s="76">
        <f t="shared" si="64"/>
        <v>939.89106949271923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9.5901085019361609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25.320188071151932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10.829577221427284</v>
      </c>
      <c r="J409" s="76">
        <f t="shared" si="64"/>
        <v>10.829577221427284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38.735946342186679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112.48918817771012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86.557139993993758</v>
      </c>
      <c r="J410" s="76">
        <f t="shared" si="64"/>
        <v>86.557139993993758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113.89991274406761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5290.003995457555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5290.003995457555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2.1571409972070765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30.61630217336004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30.61630217336004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3.6673371219868445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106.53649266391993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106.53649266391993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10.245768349445131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569.43472566799153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569.43472566799153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10.923570157204692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484.2632752663921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484.2632752663921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2.3564386336791951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13.684216175956474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13.684216175956474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16.826114744776682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342.92337564797663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342.92337564797663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122.15679512327748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1193.9093024582751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285.7480855137581</v>
      </c>
      <c r="J418" s="76">
        <f t="shared" si="64"/>
        <v>285.7480855137581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3.6925259293400323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126.2843867834291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126.2843867834291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7.8369191432044989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130.74274863297259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130.74274863297259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886.74904039043645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14673.923120380941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14673.923120380941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1053.0573109296802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10334.704449463881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4859.7100345183562</v>
      </c>
      <c r="J436" s="76">
        <f t="shared" si="64"/>
        <v>4859.7100345183562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19.126993325199422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103.36227192937768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44.208585753622174</v>
      </c>
      <c r="J437" s="76">
        <f t="shared" si="64"/>
        <v>44.208585753622174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93.430886843548848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575.53426295626093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442.85678096765128</v>
      </c>
      <c r="J438" s="76">
        <f t="shared" si="64"/>
        <v>442.85678096765128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686.58489509283288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47695.679492308911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47695.679492308911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3.2314797199590726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93.874485864811049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93.874485864811049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18.419048913328059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1095.1830046465504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1095.1830046465504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21.211111456389141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2412.8747324778428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2412.8747324778428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21.786516121482823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1357.6049655940806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1357.6049655940806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7.9057923278821436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93.968247609207168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93.968247609207168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56.451191622853806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2354.8231231900932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2354.8231231900932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528.28027242495364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10567.932556534564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2529.3097973610966</v>
      </c>
      <c r="J446" s="76">
        <f t="shared" si="64"/>
        <v>2529.3097973610966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12.388331588802384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867.18321121616691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867.18321121616691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37.789605201644072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1290.3767629829683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1290.3767629829683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3393.0422285443651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65506.073264277518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65506.073264277518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1004.3610190947816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9856.7990413961852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4634.9835589336917</v>
      </c>
      <c r="J450" s="76">
        <f t="shared" si="64"/>
        <v>4634.9835589336917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18.242508084727771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98.582513689868875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42.164258088714782</v>
      </c>
      <c r="J451" s="76">
        <f t="shared" si="64"/>
        <v>42.164258088714782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89.110383405696865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548.91996177909266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422.37785468012981</v>
      </c>
      <c r="J452" s="76">
        <f t="shared" si="64"/>
        <v>422.37785468012981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654.83530456830886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45490.098937751281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45490.098937751281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3.0820471317528724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89.53346917742094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89.53346917742094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17.567300986700172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1044.5387038536462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1044.5387038536462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20.230250811006982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2301.2967101667286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2301.2967101667286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20.77904716788824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1294.825545219788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1294.825545219788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7.5402065554945299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89.622895118608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89.622895118608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53.840731894629357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2245.9295683604932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2245.9295683604932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503.85112687929109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10079.242033689035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2412.3474945929534</v>
      </c>
      <c r="J460" s="76">
        <f t="shared" si="64"/>
        <v>2412.3474945929534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11.815460763886664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827.08225347206644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827.08225347206644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36.042109007348387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1230.7061612265302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1230.7061612265302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3236.1385416752614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62476.890685582592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62476.890685582592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164.34998494278247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1080.6636039930729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508.16274291582124</v>
      </c>
      <c r="J478" s="76">
        <f t="shared" si="68"/>
        <v>508.16274291582124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2.9851376865918176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9.1950599132550419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3.9327753453655783</v>
      </c>
      <c r="J479" s="76">
        <f t="shared" si="68"/>
        <v>3.9327753453655783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14.581699102750399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49.402796560118354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38.014006921211696</v>
      </c>
      <c r="J480" s="76">
        <f t="shared" si="68"/>
        <v>38.014006921211696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107.15486802026872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5806.1908098729809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5806.1908098729809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0.50433498519592468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8.3510308523667174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8.3510308523667174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2.8746492523691192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97.426973650349197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97.426973650349197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3.3104046781647791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214.64822042100579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214.64822042100579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3.4002077183817128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175.86085132348759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175.86085132348759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1.2338519818081959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8.3593718537901633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8.3593718537901633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8.8103015827575319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209.48397610344239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209.48397610344239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82.448366216611277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940.11839332408658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225.00622995021547</v>
      </c>
      <c r="J488" s="76">
        <f t="shared" ref="J488:J505" si="70">IF(I488&lt;&gt;0,I488,H488)</f>
        <v>225.00622995021547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1.9334390340905452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77.144217460212744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77.144217460212744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5.8977996557479182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114.79132012894728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114.79132012894728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529.54994318322474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10223.491203095338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10223.491203095338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213.04627677768096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1400.8602273984279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658.72948155754602</v>
      </c>
      <c r="J492" s="76">
        <f t="shared" si="70"/>
        <v>658.72948155754602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3.8696229270634666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11.919522109775052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5.0980421143627872</v>
      </c>
      <c r="J493" s="76">
        <f t="shared" si="70"/>
        <v>5.0980421143627872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18.902202540602364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64.040662207560814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49.277416379348487</v>
      </c>
      <c r="J494" s="76">
        <f t="shared" si="70"/>
        <v>49.277416379348487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138.90445854479279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7526.5436424279396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7526.5436424279396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0.65376757340212444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10.825410364179078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10.825410364179078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3.7263971789970061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126.29422510230449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126.29422510230449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4.291265323546936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278.24769313834076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278.24769313834076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4.4076766719762936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227.96777023415052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227.96777023415052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1.5994377541958094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10.836222773431693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10.836222773431693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11.420761310981984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271.55330235631408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271.55330235631408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106.87751176227387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1218.6719913460379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291.6747425280571</v>
      </c>
      <c r="J502" s="76">
        <f t="shared" si="70"/>
        <v>291.6747425280571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2.5063098590062625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100.00176337434986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100.00176337434986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7.6452958500435964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148.80356313011683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148.80356313011683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686.45363005232821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13252.673781790247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13252.673781790247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2021-09-10T12:39:52Z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99026203155517</vt:r8>
  </property>
</Properties>
</file>